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1640" activeTab="0"/>
  </bookViews>
  <sheets>
    <sheet name="Proj. Uch. RM nr z 24 .04.2013." sheetId="1" r:id="rId1"/>
    <sheet name="zał. nr 1" sheetId="2" r:id="rId2"/>
    <sheet name="Zał. nr 2" sheetId="3" r:id="rId3"/>
    <sheet name="Zał. nr 3" sheetId="4" r:id="rId4"/>
    <sheet name="Zał. nr 4" sheetId="5" r:id="rId5"/>
    <sheet name="zał. nr 5" sheetId="6" r:id="rId6"/>
    <sheet name="Wolny" sheetId="7" r:id="rId7"/>
  </sheets>
  <definedNames>
    <definedName name="_xlnm.Print_Titles" localSheetId="1">'zał. nr 1'!$10:$12</definedName>
    <definedName name="_xlnm.Print_Titles" localSheetId="3">'Zał. nr 3'!$12:$13</definedName>
    <definedName name="_xlnm.Print_Titles" localSheetId="4">'Zał. nr 4'!$12:$12</definedName>
    <definedName name="_xlnm.Print_Titles" localSheetId="5">'zał. nr 5'!$13:$13</definedName>
  </definedNames>
  <calcPr fullCalcOnLoad="1"/>
</workbook>
</file>

<file path=xl/sharedStrings.xml><?xml version="1.0" encoding="utf-8"?>
<sst xmlns="http://schemas.openxmlformats.org/spreadsheetml/2006/main" count="1162" uniqueCount="744">
  <si>
    <t>prowadzenie placówki opiekuńczo - wychowawczej typu rodzinnego -  Rodzinny Dom Dziecka</t>
  </si>
  <si>
    <t>działalność na rzecz rozwoju gospodarczego wspierająca lokalny rynek pracy</t>
  </si>
  <si>
    <t>OGÓŁEM</t>
  </si>
  <si>
    <t>85395</t>
  </si>
  <si>
    <t>4017</t>
  </si>
  <si>
    <t>4117</t>
  </si>
  <si>
    <t>4127</t>
  </si>
  <si>
    <t>4177</t>
  </si>
  <si>
    <t>4217</t>
  </si>
  <si>
    <t>4307</t>
  </si>
  <si>
    <t>4367</t>
  </si>
  <si>
    <t>4417</t>
  </si>
  <si>
    <t>2007</t>
  </si>
  <si>
    <t xml:space="preserve"> Limit wydatków bieżących na  programy  finansowane z udziałem środków  </t>
  </si>
  <si>
    <t xml:space="preserve"> o których mowa w art. 5 ust. 1 pkt 2 i 3 ustawy o finansach publicznych</t>
  </si>
  <si>
    <t xml:space="preserve"> na 2013 rok</t>
  </si>
  <si>
    <t xml:space="preserve">                  2013 rok</t>
  </si>
  <si>
    <t>Lp.</t>
  </si>
  <si>
    <t>Nazwa programu, cel i zadanie</t>
  </si>
  <si>
    <t>Jednostka organizacyjna</t>
  </si>
  <si>
    <t>Okres realizacji</t>
  </si>
  <si>
    <t>Środki budżetu państwa; środki własne gminy</t>
  </si>
  <si>
    <t>Środki z EFS ; WRPO, inne</t>
  </si>
  <si>
    <t>Zadania gminy</t>
  </si>
  <si>
    <t>Europejski Fundusz Społeczny - Program  Operacyjny Kapitał Ludzki</t>
  </si>
  <si>
    <t xml:space="preserve">Przedszkole nr 25 "Bajka" w Koninie </t>
  </si>
  <si>
    <r>
      <t xml:space="preserve">Cel: </t>
    </r>
    <r>
      <rPr>
        <sz val="9"/>
        <rFont val="Times New Roman"/>
        <family val="1"/>
      </rPr>
      <t>upowszechnianie edukacji przedszkolnej nastawionej na działalność ekologiczną i prozdrowotną</t>
    </r>
  </si>
  <si>
    <t>Wyrównywanie szans edukacyjnych i zapewnienie wysokiej jakości usług edukacyjnych świadczonych w systemie oświaty, zmniejszenie nierówności w stopniu upowszechniania edukacji przedszkolnej poprzez realizację Projektu pt.: "W  Bajkowym Ogrodzie"</t>
  </si>
  <si>
    <t xml:space="preserve">Miasto Konin - Urząd Miejski w Koninie </t>
  </si>
  <si>
    <t>cel: Rozwój wykształcenia i kompetencji w regionach</t>
  </si>
  <si>
    <t>Wyrównywanie szans edukacyjnych uczniów z grup o utrudnionym dostępie do edukacji oraz zmniejszenie różnic w jakości usług edukacyjnych poprzez realizację projektu Pt. "Edukacja wczesnoszkolna na dobry początek"</t>
  </si>
  <si>
    <t xml:space="preserve">Urząd Miejski w Koninie,  Niepubliczne Przedszkole "Bajkowa Kraina"   w Koninie                       </t>
  </si>
  <si>
    <t>Zmniejszenie nierówności w stopniu upowszechniania edukacji przedszkolnej poprzez realizację projektu pt. "Bajkowa kraina bez barier"</t>
  </si>
  <si>
    <t>2012-2013</t>
  </si>
  <si>
    <t>Urząd Miejski w Koninie</t>
  </si>
  <si>
    <t>Budowa chodnika ze schodami przy ul. Paderewskiego w Koninie</t>
  </si>
  <si>
    <t>(za przystankiem nr 336-02)</t>
  </si>
  <si>
    <t xml:space="preserve"> Oddziałami Integracyjnymi Nr 9</t>
  </si>
  <si>
    <t xml:space="preserve">Zakup busa do przewozu dzieci niepełnosprawnych w Szkole Podstawowej </t>
  </si>
  <si>
    <t xml:space="preserve">      na rachunku bankowym.</t>
  </si>
  <si>
    <t>pkt 3)  ustala się kwotę rezerwy celowej na inwestycjne i zakupy inwestycyjne</t>
  </si>
  <si>
    <t>4610</t>
  </si>
  <si>
    <t>dz. 921 rozdz.92109 § 6050 zwiększa się o kwotę</t>
  </si>
  <si>
    <t xml:space="preserve">Budowa ulic na osiedlu Przydziałki - etap II </t>
  </si>
  <si>
    <t>Opracowanie dokumentacji projektowo - kosztorysowej na budowę parkingu  przy ulicy Powstańców Styczniowych 1 -3 -5</t>
  </si>
  <si>
    <t>Opracowanie dokumentacji  projektowo - kosztorysowej na budowę parkingu oraz drogi dojazdowej przy cmentarzu na ulicy Kolskiej</t>
  </si>
  <si>
    <t>wykonanie projektu, wykonanie prac, wymiana rejestratora, zakup kamer i urządzeń</t>
  </si>
  <si>
    <t>ZOUM</t>
  </si>
  <si>
    <t>Różne rozliczenia</t>
  </si>
  <si>
    <t>Rezerwy ogólne i celowe</t>
  </si>
  <si>
    <t>Zakup busa do przewozu dzieci niepełnosprawnych w Szkole Podstawowej Oddziałami Integracyjnymi Nr 9</t>
  </si>
  <si>
    <t>SP nr 9/WO</t>
  </si>
  <si>
    <t>Wykonanie ścianki boulderowej  dla Gimnazjum nr 3 w Koninie</t>
  </si>
  <si>
    <t>Szpitale ogólne</t>
  </si>
  <si>
    <t>WS</t>
  </si>
  <si>
    <t>Budowa chodnika ze schodami przy ul. Paderewskiego w Koninie(za przystankiem nr 336-02)</t>
  </si>
  <si>
    <t>Domy i ośrodki kultury, świetlice i kluby</t>
  </si>
  <si>
    <t>4530</t>
  </si>
  <si>
    <t>CKU/WO</t>
  </si>
  <si>
    <t>IILO.WO</t>
  </si>
  <si>
    <t>Licea ogólnokształcące</t>
  </si>
  <si>
    <t>Centra kształcenia ustawicznego i praktycznego oraz ośrodki doksztalcania zawodowego</t>
  </si>
  <si>
    <t>cel: Rozwój przedsiębiorczości w Mieście Koninie oraz poprawa sytuacji na rynku pracy poprzez wsparcie 70 osób zamierzających rozpocząć działalność gospodarczą w terminie od 2.01.2012 r. do 30.09.2013 r.</t>
  </si>
  <si>
    <t>Projekt pt. "Dobry pomysł na firmę - wspomagamy przedsiębiorczość w Koninie"</t>
  </si>
  <si>
    <t>cel. Poprawa warunków prawnych i administracyjnych do prowadzenia efektywnej polityki rozwoju gospodarczego przez Miasto Konin</t>
  </si>
  <si>
    <t xml:space="preserve">Projekt pt. „PI  Wsparcie rozwoju narzędzi związanych z kontraktowaniem usług społecznych w Koninie”  </t>
  </si>
  <si>
    <t>Przedszkole nr 2 w Koninie "Kraina Wesołej Zabawy"</t>
  </si>
  <si>
    <t>Podniesienie i uzupełnienie kwalifikacji kadry pedagogicznej i administracyjnej poprzez realizacje projektu Pt. "Dokształcanie to Twoja szansa"</t>
  </si>
  <si>
    <t>wkład własny niepieniężny</t>
  </si>
  <si>
    <t xml:space="preserve">Przedszkole nr 32 w Koninie </t>
  </si>
  <si>
    <t>cel: Podniesienie jakości  edukacji</t>
  </si>
  <si>
    <t>Doskonalenie i dokształcanie kadry pedagogicznej i administracyjnej poprzez realizację projektu Pt. "W drodze do wiedzy"</t>
  </si>
  <si>
    <t>Wyrównywanie szans edukacyjnych uczniów z grup o utrudnionym dostępie do edukacji oraz zmniejszenie różnic w jakości usług edukacyjnych  poprzez realizację projektu Pt. "Pierwsze kroki w edukacji"</t>
  </si>
  <si>
    <t>cel: Podniesienie poziomu aktywności zawodowej osób niepełnosprawnych pozostających bez zatrudnienia</t>
  </si>
  <si>
    <t>Projekt pt. "Nowe możliwości zawodowe - Twoja szansa na konińskim rynku pracy"</t>
  </si>
  <si>
    <t>cel: Poprawa sytuacji na konińskim rynku pracy bezrobotnych mieszkańców miasta Konina zamierzających rozpocząć działalność gospodarczą poprzez wsparcie postaw służących rozwojowi przedsiębiorczości i samozatrudnienie</t>
  </si>
  <si>
    <t>Projekt pt. "Jesteś przedsiębiorczy! Zacznij działać już dziś w Koninie"</t>
  </si>
  <si>
    <t>cel: Poprawa sutuacji niepełnosprawnych osób bezrobotnych na rynku pracy oraz rozwój przedsiębiorczości w Koninie</t>
  </si>
  <si>
    <t xml:space="preserve">Projekt pt. "Twoja firma - wspomagamy przedsiębiorczych w Koninie" </t>
  </si>
  <si>
    <t>2013-2014</t>
  </si>
  <si>
    <t>cel: Wspomaganie osób bezrobotnych w przekwalifikowaniu i znalezieniu zatrudnienia</t>
  </si>
  <si>
    <t xml:space="preserve">        PLAN DOTACJI DLA PODMIOTÓW ZALICZANYCH DO SEKTORA FINANSÓW </t>
  </si>
  <si>
    <t xml:space="preserve">PUBLICZNYCH NA CELE PUBLICZNE ZWIĄZANE Z REALIZACJĄ ZADAŃ MIASTA  </t>
  </si>
  <si>
    <t xml:space="preserve">                                                             NA 2013 ROK</t>
  </si>
  <si>
    <t>Dotacje podmiotowe</t>
  </si>
  <si>
    <t>Koniński Dom Kultury</t>
  </si>
  <si>
    <t>Młodzieżowy Dom Kultury</t>
  </si>
  <si>
    <t>Dotacje przedmiotowe</t>
  </si>
  <si>
    <t>do kosztów utrzymania zbiorowej komunikacji miejskiej</t>
  </si>
  <si>
    <t>Gospodarka komunalna  i ochrona środowiska</t>
  </si>
  <si>
    <t>Miejska Biblioteka Publiczna</t>
  </si>
  <si>
    <t>koszty utrzymania dzieci  z miasta Konina umieszczonych w placówkach opiekuńczych na terenie kraju</t>
  </si>
  <si>
    <t>koszty utrzymania dzieci  z miasta Konina umieszczonych w rodzinach zastępczych na terenie kraju</t>
  </si>
  <si>
    <t>prowadzenie działalności Powiatowego Urzędu Pracy</t>
  </si>
  <si>
    <t>Załącznik nr 5</t>
  </si>
  <si>
    <t xml:space="preserve">z dnia  24 kwietnia 2013 roku     </t>
  </si>
  <si>
    <t>Adaptacja pomieszczeń budynku Klubu Energetyk na potrzeby Młodzieżowego Domu Kultury z Koninie</t>
  </si>
  <si>
    <t>a/ nabycie działek gruntu obrębach: Pawłówek, Przydziałki, Grójec, Łężyn, Nowy Dwór ;  b/ nabycie gruntów w związku z przebudową ulic: Europejskiej, Kolskiej, Warszawskiej                                                          c/ wykupy gruntów pod budowę przyszłych dróg na terenie całego miasta</t>
  </si>
  <si>
    <t>Dotacja celowa na dofinansowanie zakupu oprogramowania wraz z licencją w ramach informatyzacji Wojewódzkiego Szpitala Zespolonego w Koninie</t>
  </si>
  <si>
    <t xml:space="preserve">do Uchwały nr </t>
  </si>
  <si>
    <t>renowacja ołtarza w kościele pw. św. Marii Magdaleny w Klasztorze oo Franciszkanów w Koninie</t>
  </si>
  <si>
    <t>Budowa ulic: Jesionowej, Modrzewiowej, Lipowej, Klonowej i Cisowej  w Koninie</t>
  </si>
  <si>
    <t>Budowa - przedłużenie ulicy Solnej - odcinek od ul. Kaliskiej do ul. Świętojańskiej</t>
  </si>
  <si>
    <t>Budowa chodnika na ul. Działkowej w Koninie</t>
  </si>
  <si>
    <t>Budowa ulicy Leopolda Staffa w Koninie</t>
  </si>
  <si>
    <t xml:space="preserve">Opracowanie dokumentacji projektowo - kosztorysowej na budowę parkingu </t>
  </si>
  <si>
    <t xml:space="preserve"> przy ulicy Powstańców Styczniowych 1 -3 -5</t>
  </si>
  <si>
    <t>6060</t>
  </si>
  <si>
    <t>Rozbudowa monitoringu miejskiego</t>
  </si>
  <si>
    <t>Rozbudowa miejskiej sieci szerokopasmowej KoMAN</t>
  </si>
  <si>
    <t>dz. 758 rozdz.75818 § 6800 zwiększa się o kwotę</t>
  </si>
  <si>
    <t>75095</t>
  </si>
  <si>
    <t>dz. 750   zwiększa się o kwotę</t>
  </si>
  <si>
    <t xml:space="preserve">          rozdz.75023 § 6050   zwiększa się o kwotę</t>
  </si>
  <si>
    <t xml:space="preserve">          w tym:</t>
  </si>
  <si>
    <t xml:space="preserve">          rozdz.75095 § 6050   zwiększa się o kwotę</t>
  </si>
  <si>
    <t xml:space="preserve">          rozdz.80101   zwiększa się o kwotę</t>
  </si>
  <si>
    <t>§ 6050   zwiększa się o kwotę</t>
  </si>
  <si>
    <t>§ 6060   zwiększa się o kwotę</t>
  </si>
  <si>
    <t>Zakup i montowanie windy dla uczniów niepełnosprawnych w  SP nr 15 w Koninie</t>
  </si>
  <si>
    <t xml:space="preserve">          rozdz.80104  § 6050   zwiększa się o kwotę</t>
  </si>
  <si>
    <t>Budowa windy schodowej dla osób niepełnosprawnych w Przedszkolu nr 32</t>
  </si>
  <si>
    <t>Budowa podjazdu dla osób niepełnosprawnych przy Przedszkolu nr 32</t>
  </si>
  <si>
    <t xml:space="preserve">          rozdz.80110  § 6050   zwiększa się o kwotę</t>
  </si>
  <si>
    <t>dz. 801   zwiększa się o kwotę</t>
  </si>
  <si>
    <t>dz. 851 rozdz.85111 § 6220 zwiększa się o kwotę</t>
  </si>
  <si>
    <t xml:space="preserve">Dotacja celowa na dofinansowanie zakupu oprogramowania wraz z licencją </t>
  </si>
  <si>
    <t xml:space="preserve"> w ramach informatyzacji Wojewódzkiego Szpitala Zespolonego w Koninie</t>
  </si>
  <si>
    <t xml:space="preserve">         rozdz.90095  zwiększa się o kwotę</t>
  </si>
  <si>
    <t>Budowa placów zabaw w mieście Koninie</t>
  </si>
  <si>
    <t>§ 6230   zwiększa się o kwotę</t>
  </si>
  <si>
    <t xml:space="preserve">Budowa przyłączy kanalizacyjnych i przyłączenie nieruchomości </t>
  </si>
  <si>
    <t xml:space="preserve"> do miejskiej sieci kanalizacyjnej</t>
  </si>
  <si>
    <t xml:space="preserve">Adaptacja pomieszczeń budynku Klubu Energetyk na potrzeby Młodzieżowego </t>
  </si>
  <si>
    <t xml:space="preserve"> Domu Kultury z Koninie</t>
  </si>
  <si>
    <t>dz. 600 rozdz.60015 § 6050   zwiększa się o kwotę</t>
  </si>
  <si>
    <t xml:space="preserve">Opracowanie dokumentacji  projektowo - kosztorysowej na budowę parkingu </t>
  </si>
  <si>
    <t xml:space="preserve"> oraz drogi dojazdowej przy cmentarzu na ulicy Kolskiej</t>
  </si>
  <si>
    <t xml:space="preserve">Wykonanie ścianki boulderowej  dla Gimnazjum nr 3 w Koninie </t>
  </si>
  <si>
    <t>Przebudowa chodnika przy ulicy Staromorzysławskiej w Koninie</t>
  </si>
  <si>
    <t>dz.801 zwiększa się o kowtę</t>
  </si>
  <si>
    <t xml:space="preserve">w tym: </t>
  </si>
  <si>
    <t xml:space="preserve">         rozdz.80120 § 6050   zwiększa się o kwotę</t>
  </si>
  <si>
    <t>Termomodernizacja budynku II Liceum w Koninie</t>
  </si>
  <si>
    <t xml:space="preserve">         rozdz.80140 § 6050   zwiększa się o kwotę</t>
  </si>
  <si>
    <t>Budowa hangaru przy Zespole Szkól Centrum Kształcenia Ustawicznego w Koninie</t>
  </si>
  <si>
    <t xml:space="preserve">         rozdz.90004 § 6050   zwiększa się o kwotę</t>
  </si>
  <si>
    <t>Projekt pt. "Twój zawód, Twoja praca - poprawa dostępu do zatrudnienia na konińskim rynku pracy"</t>
  </si>
  <si>
    <t xml:space="preserve">Przedszkole nr 4 w Koninie </t>
  </si>
  <si>
    <t>cel:  Upowszechnianie edukacji przedszkolnej na terenie miasta Konina i powiatu konińskiego</t>
  </si>
  <si>
    <t>Upowszechnianie edukacji przedszkolnej na terenie miasta Konina i powiatu konińskiego poprzez wydłużenie czasu pracy przedszkola i dokonanie dodatkowego naboru w ramach  realizacji Projektu pt. "Dobre przedszkole na dobry start"</t>
  </si>
  <si>
    <t>„Uczenie się przez całe życie” Comenius współfinansowany z Polskiej Narodowej Agencji</t>
  </si>
  <si>
    <t>cel:  Wzmacnianie europejskiego wymiaru edukacji poprzez promowanie współpracy międzynarodowej</t>
  </si>
  <si>
    <t>Wymiana doświadczenia i uczenie się od siebie nawzajem w dziedzinie ekologii  poprzez realizację  Projektu pt. "The Earth  cannot be recycled! Eco kids - Eco parents" (Eko dzieci  - eko rodzice)</t>
  </si>
  <si>
    <t>cel: Zwiększenie rozwiązań służących godzeniu życia zawodowego i rodzinnego dla rodziców dzieci w wieku 1-3 lat z terenu m. Konina oraz powiatu konińskiego wracających po przerwie związanej z urodzeniem i wychowaniem dzieci</t>
  </si>
  <si>
    <t xml:space="preserve"> projekt Pt. "Klub dziecięcy - mama wraca do pracy"</t>
  </si>
  <si>
    <t xml:space="preserve">Przedszkole nr 10 z oddziałami integracyjnymi "Leszczynowa Górka" </t>
  </si>
  <si>
    <t>cel: Upowszechnianie edukacji przedszkolnej wśród 35 dzieci w wieku 3 - 5 lat z terenu m. Konina, powiatu konińskiego, tureckiego, kolskiego i słupeckiego</t>
  </si>
  <si>
    <t xml:space="preserve"> projekt Pt. "Słoneczny Świat Przedszkolaka""</t>
  </si>
  <si>
    <t>2013-2015</t>
  </si>
  <si>
    <t>Zadania powiatu</t>
  </si>
  <si>
    <t>Europejski Fundusz Społeczny - Program  Operacyjny  Kapitał Ludzki</t>
  </si>
  <si>
    <t xml:space="preserve"> Miejski Ośrodek Doskonalenia Nauczycieli  w Koninie </t>
  </si>
  <si>
    <t>Wyrównywanie szans edukacyjnych uczniów z grup o utrudnionym dostępie do edukacji oraz zmniejszenie różnic w jakości usług edukacyjnych projekt pn. "Startuj z nami w przyszłość"</t>
  </si>
  <si>
    <t>ZS im. Kopernika w  Koninie</t>
  </si>
  <si>
    <t>"Wykwalifikowana Kadra w Koperniku"</t>
  </si>
  <si>
    <t xml:space="preserve"> I LO                          </t>
  </si>
  <si>
    <t>cel: Poznawanie krajów partnerskich, doskonalenie umiejętności językowych i promowanie regionu</t>
  </si>
  <si>
    <t xml:space="preserve">Projekt pt. "Towards a European Rememberance" (W poszukiwani europejskiej pamięci) </t>
  </si>
  <si>
    <t>cel: podniesienie atrakcyjności  i jakości szkolnictwa zawodowego</t>
  </si>
  <si>
    <t>"Zawodowcy z  Kopernika"</t>
  </si>
  <si>
    <t xml:space="preserve">Wielkopolski Regionalny Program Operacyjny na lata 2007 - 2013 </t>
  </si>
  <si>
    <t>cel: Profesjonalna, kompleksowa kampania promocyjna markowego produktu o nazwie Wielka Pętla Wielkopolski łączącego 690 km dróg wodnych w wodny szlak turystyczny</t>
  </si>
  <si>
    <t>cel: Kompleksowa  promocja markowego produktu turystyki wodnej  Wielka Pętla Wielkopolski l</t>
  </si>
  <si>
    <t>Wysoko wykwalifikowane kadry systemu oświaty w ramach  projektu pt. "Podniesienie kwalifikacji dla kadry pedagogicznej szkół subregionu konińskiego"</t>
  </si>
  <si>
    <t>ZAŁĄCZNIK nr 3</t>
  </si>
  <si>
    <t>Przedszkole nr 14</t>
  </si>
  <si>
    <t xml:space="preserve"> projekt Pt. "Wszystko zaczyna się od przedszkola"</t>
  </si>
  <si>
    <t>Miasto Konin - Miejski Ośrodek Pomocy Rodzinie w Koninie</t>
  </si>
  <si>
    <t>cel - Rozwój i upowszechnianie aktywnej integracji społecznej</t>
  </si>
  <si>
    <t>Rozwój i upowszechnianie aktywnej integracji przez MOPR w Projekcie systemowym "Wykorzystaj swoją szansę!" w ramach Programu Operacyjnego Kapitał Ludzki</t>
  </si>
  <si>
    <t>Załącznik nr  2</t>
  </si>
  <si>
    <t xml:space="preserve">z dnia   24 kwietnia  2013 roku     </t>
  </si>
  <si>
    <t xml:space="preserve"> PLAN  PRZYCHODÓW  I  ROZCHODÓW    BUDŻETU   MIASTA  KONINA  NA 2013 ROK</t>
  </si>
  <si>
    <t>Wolne środki na rachunkach bankowych</t>
  </si>
  <si>
    <t>cel: upowszechniania edukacji przedszkolnej na terenie miasta Konina i gminy Ślesin i Kramsk poprzez utworzenie nowego oddziału przedszkolnego dla dzieci z miasta Konina i gmin: Ślesin i Kramsk oraz  włączenie ich rodziców w proces edikacji w okresie od 01.01.2013r. do 30.06.2015r.</t>
  </si>
  <si>
    <t>Budowa placu zabaw w ramach programu rządowego "Radosna Szkoła" przy Szkole Podstawowej Nr 3</t>
  </si>
  <si>
    <t>SPnr 3/WO (realizacja pod warunkiem otrzymania środków z budżetu państwa)</t>
  </si>
  <si>
    <t>Budowa placu zabaw w ramach programu rządowego "Radosna Szkoła" przy Szkole Podstawowej Nr 9</t>
  </si>
  <si>
    <t>Budowa placu zabaw w ramach programu rządowego "Radosna Szkoła" przy Szkole Podstawowej Nr 12</t>
  </si>
  <si>
    <t>SPnr 12/WO (realizacja pod warunkiem otrzymania środków z budżetu państwa)</t>
  </si>
  <si>
    <t>Zakup tablicy interaktywnej dla Przedszkola nr 14</t>
  </si>
  <si>
    <t>Zakup zestawu komputerowego dla Przedszkola nr 14</t>
  </si>
  <si>
    <t>zestaw komputerowy</t>
  </si>
  <si>
    <t>tablica ineteraktywna</t>
  </si>
  <si>
    <t>P nr 14/WO</t>
  </si>
  <si>
    <r>
      <t>­</t>
    </r>
    <r>
      <rPr>
        <i/>
        <sz val="11"/>
        <rFont val="Times New Roman"/>
        <family val="1"/>
      </rPr>
      <t xml:space="preserve"> kwotę wydatków na programy finansowane z udziałem środków</t>
    </r>
  </si>
  <si>
    <t xml:space="preserve">Rozbudowa skrzyżowania ulic Stanisława Staszica, Romana Dmowskiego </t>
  </si>
  <si>
    <t>i Tadeusza Kościuszki na skrzyżowanie typu "rondo" w Koninie</t>
  </si>
  <si>
    <t xml:space="preserve">Budowa  sygnalizacji świetlnej na skrzyżowaniu ulic Zagórowska - Pułaskiego </t>
  </si>
  <si>
    <t xml:space="preserve">  - Marii  Dąbrowskiej</t>
  </si>
  <si>
    <t>dz. 900  zwiększa się o kwotę</t>
  </si>
  <si>
    <t>756</t>
  </si>
  <si>
    <t>75616</t>
  </si>
  <si>
    <t>0310</t>
  </si>
  <si>
    <t>60015</t>
  </si>
  <si>
    <t>90004</t>
  </si>
  <si>
    <t>4170</t>
  </si>
  <si>
    <t>4260</t>
  </si>
  <si>
    <t>6207</t>
  </si>
  <si>
    <t>6209</t>
  </si>
  <si>
    <t>80104</t>
  </si>
  <si>
    <t>2701</t>
  </si>
  <si>
    <t>80195</t>
  </si>
  <si>
    <t>4010</t>
  </si>
  <si>
    <t>4350</t>
  </si>
  <si>
    <t>4129</t>
  </si>
  <si>
    <t>2827</t>
  </si>
  <si>
    <t>2829</t>
  </si>
  <si>
    <t>4111</t>
  </si>
  <si>
    <t>4301</t>
  </si>
  <si>
    <t>4421</t>
  </si>
  <si>
    <t>4247</t>
  </si>
  <si>
    <t>4707</t>
  </si>
  <si>
    <t>90002</t>
  </si>
  <si>
    <t>90095</t>
  </si>
  <si>
    <t>6230</t>
  </si>
  <si>
    <t>921</t>
  </si>
  <si>
    <t>92109</t>
  </si>
  <si>
    <t>2480</t>
  </si>
  <si>
    <t>6220</t>
  </si>
  <si>
    <t>92120</t>
  </si>
  <si>
    <t>2720</t>
  </si>
  <si>
    <t>92195</t>
  </si>
  <si>
    <t>80132</t>
  </si>
  <si>
    <t>754</t>
  </si>
  <si>
    <t>75406</t>
  </si>
  <si>
    <t>3000</t>
  </si>
  <si>
    <t>75412</t>
  </si>
  <si>
    <t>851</t>
  </si>
  <si>
    <t>85111</t>
  </si>
  <si>
    <t>85154</t>
  </si>
  <si>
    <t>4110</t>
  </si>
  <si>
    <t>4600</t>
  </si>
  <si>
    <t>60004</t>
  </si>
  <si>
    <t>80120</t>
  </si>
  <si>
    <t>80130</t>
  </si>
  <si>
    <t>4240</t>
  </si>
  <si>
    <t>75818</t>
  </si>
  <si>
    <t>4810</t>
  </si>
  <si>
    <t>6800</t>
  </si>
  <si>
    <t>o których mowa w art. 5 ust. 1 pkt 2 i 3 ufp w części związanej</t>
  </si>
  <si>
    <t>z realizacją zadań jst</t>
  </si>
  <si>
    <t>w tym;</t>
  </si>
  <si>
    <t>kwotę środków i dotacji na realizację zadań w ramach</t>
  </si>
  <si>
    <t>programów i projektów funduszy strukturalnych</t>
  </si>
  <si>
    <t xml:space="preserve">        b) dochody majątkowe w wysokości                                        </t>
  </si>
  <si>
    <t>ZAŁĄCZNIK nr 4</t>
  </si>
  <si>
    <t xml:space="preserve">                                     UCHWAŁA  NR   </t>
  </si>
  <si>
    <t xml:space="preserve">                                     z dnia  24 kwietnia  2013 roku</t>
  </si>
  <si>
    <t>2009</t>
  </si>
  <si>
    <t>3027</t>
  </si>
  <si>
    <t>3029</t>
  </si>
  <si>
    <t>4019</t>
  </si>
  <si>
    <t>4119</t>
  </si>
  <si>
    <t>4179</t>
  </si>
  <si>
    <t>4219</t>
  </si>
  <si>
    <t>\</t>
  </si>
  <si>
    <t>4267</t>
  </si>
  <si>
    <t>4269</t>
  </si>
  <si>
    <t>4287</t>
  </si>
  <si>
    <t>4289</t>
  </si>
  <si>
    <t>4309</t>
  </si>
  <si>
    <t>4369</t>
  </si>
  <si>
    <t>4377</t>
  </si>
  <si>
    <t>4379</t>
  </si>
  <si>
    <t>4419</t>
  </si>
  <si>
    <t>4439</t>
  </si>
  <si>
    <t>4447</t>
  </si>
  <si>
    <t>4449</t>
  </si>
  <si>
    <t>3119</t>
  </si>
  <si>
    <t>4437</t>
  </si>
  <si>
    <t>85295</t>
  </si>
  <si>
    <t>3110</t>
  </si>
  <si>
    <t>758</t>
  </si>
  <si>
    <t>75801</t>
  </si>
  <si>
    <t>2920</t>
  </si>
  <si>
    <t>75832</t>
  </si>
  <si>
    <t>80101</t>
  </si>
  <si>
    <t>4210</t>
  </si>
  <si>
    <t>80140</t>
  </si>
  <si>
    <t>4270</t>
  </si>
  <si>
    <t>80110</t>
  </si>
  <si>
    <t>0960</t>
  </si>
  <si>
    <t>4300</t>
  </si>
  <si>
    <t>750</t>
  </si>
  <si>
    <t>75022</t>
  </si>
  <si>
    <t>3030</t>
  </si>
  <si>
    <t>75023</t>
  </si>
  <si>
    <t>926</t>
  </si>
  <si>
    <t>92604</t>
  </si>
  <si>
    <t>700</t>
  </si>
  <si>
    <t>70005</t>
  </si>
  <si>
    <t>900</t>
  </si>
  <si>
    <t>90015</t>
  </si>
  <si>
    <t>6050</t>
  </si>
  <si>
    <t xml:space="preserve">         rozdz.90015 § 6050   zwiększa się o kwotę</t>
  </si>
  <si>
    <t>Przebudowa - likwidacja kolizji sieci elektroenergetycznej obręb Maliniec</t>
  </si>
  <si>
    <t>0970</t>
  </si>
  <si>
    <t>75814</t>
  </si>
  <si>
    <t>6680</t>
  </si>
  <si>
    <t>600</t>
  </si>
  <si>
    <t>60016</t>
  </si>
  <si>
    <t xml:space="preserve">do Uchwały nr  </t>
  </si>
  <si>
    <t>z dnia 24 kwietnia 2013 roku</t>
  </si>
  <si>
    <t>854</t>
  </si>
  <si>
    <t>85415</t>
  </si>
  <si>
    <t>3240</t>
  </si>
  <si>
    <t>85214</t>
  </si>
  <si>
    <r>
      <t xml:space="preserve">        "</t>
    </r>
    <r>
      <rPr>
        <sz val="12"/>
        <rFont val="Times New Roman"/>
        <family val="1"/>
      </rPr>
      <t xml:space="preserve">Ustala się kwotę wydatków na ochronę środowiska związanych z realizacją ustawy </t>
    </r>
  </si>
  <si>
    <t xml:space="preserve">      Prawo ochrony środowiska z tego:</t>
  </si>
  <si>
    <r>
      <t xml:space="preserve">         a)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 xml:space="preserve">wydatki bieżące  </t>
    </r>
  </si>
  <si>
    <t>(dz.900)</t>
  </si>
  <si>
    <r>
      <t xml:space="preserve">         b)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 xml:space="preserve">wydatki majątkowe  </t>
    </r>
  </si>
  <si>
    <t>(dz. 600; 700; 754; 801; 900 i 926)"</t>
  </si>
  <si>
    <t xml:space="preserve"> - łączne przychody w wysokości</t>
  </si>
  <si>
    <t>zł</t>
  </si>
  <si>
    <t xml:space="preserve"> - łączne rozchody w wysokości</t>
  </si>
  <si>
    <t>zł"</t>
  </si>
  <si>
    <r>
      <t xml:space="preserve">W Załączniku nr  10 do uchwały budżetowej obejmujący  </t>
    </r>
    <r>
      <rPr>
        <i/>
        <sz val="13"/>
        <rFont val="Times New Roman"/>
        <family val="1"/>
      </rPr>
      <t>"Plan przychodów i rozchodów budżetu</t>
    </r>
  </si>
  <si>
    <t>Zwiększa się plan przychodów o kwotę</t>
  </si>
  <si>
    <t xml:space="preserve">§ 950 zwiększa się o kwotę </t>
  </si>
  <si>
    <t>2. Ustala się plan przychodów i rozchodów budżetu miasta na 2013 rok w tym:</t>
  </si>
  <si>
    <r>
      <t xml:space="preserve"> miasta Konina na 2013 rok" </t>
    </r>
    <r>
      <rPr>
        <sz val="13"/>
        <rFont val="Times New Roman"/>
        <family val="1"/>
      </rPr>
      <t>dokonuje się następujących zmian:</t>
    </r>
  </si>
  <si>
    <r>
      <t xml:space="preserve">Załącznik nr  10 do uchwały budżetowej otrzymuje brzmienie  w treści   </t>
    </r>
    <r>
      <rPr>
        <b/>
        <sz val="13"/>
        <rFont val="Times New Roman"/>
        <family val="1"/>
      </rPr>
      <t>Załącznika nr  2</t>
    </r>
  </si>
  <si>
    <t xml:space="preserve">    Rozchody</t>
  </si>
  <si>
    <t>Nazwa</t>
  </si>
  <si>
    <r>
      <t xml:space="preserve"> § 952</t>
    </r>
    <r>
      <rPr>
        <sz val="9"/>
        <rFont val="Times New Roman"/>
        <family val="1"/>
      </rPr>
      <t xml:space="preserve">  - Plan przychodów z zaciągniętych pożyczek i kredytów na rynku krajowym</t>
    </r>
  </si>
  <si>
    <r>
      <t>§ 992 -</t>
    </r>
    <r>
      <rPr>
        <sz val="9"/>
        <rFont val="Times New Roman"/>
        <family val="1"/>
      </rPr>
      <t xml:space="preserve"> Plan Spłat otrzymanych krajowych pożyczek i kredytów</t>
    </r>
  </si>
  <si>
    <t>Obsługa długu publicznego</t>
  </si>
  <si>
    <t>Obsługa papierów wartościowych, kredytów i pożyczek jednostek samorządu terytorialnego</t>
  </si>
  <si>
    <t>Budowa kanalizacji sanitarnych i deszczowych</t>
  </si>
  <si>
    <t>Przeprawa przez rzekę Wartę - nowy przebieg drogi krajowej Nr 25 - kredyt</t>
  </si>
  <si>
    <t>Zarządzanie energią w budynkach użyteczności publicznej w Koninie - pożyczka</t>
  </si>
  <si>
    <t>Sfinansowanie  zadłużenia</t>
  </si>
  <si>
    <t>Zadania  inwestycje i spłata zadłużenia</t>
  </si>
  <si>
    <t xml:space="preserve">                                     Przychody</t>
  </si>
  <si>
    <t xml:space="preserve">                                 Plan na 2013 rok</t>
  </si>
  <si>
    <r>
      <t xml:space="preserve">§  950- </t>
    </r>
    <r>
      <rPr>
        <sz val="9"/>
        <rFont val="Times New Roman"/>
        <family val="1"/>
      </rPr>
      <t>Wolne środki, o których mowa w art.217 ust. 2 pkt 6 ustawy</t>
    </r>
  </si>
  <si>
    <t xml:space="preserve">                    Zmniejsza się</t>
  </si>
  <si>
    <t xml:space="preserve">                       Zwiększa się</t>
  </si>
  <si>
    <t>w tym:</t>
  </si>
  <si>
    <t xml:space="preserve"> </t>
  </si>
  <si>
    <t>§ 1</t>
  </si>
  <si>
    <t>Dz.</t>
  </si>
  <si>
    <t>§</t>
  </si>
  <si>
    <t>Ogółem</t>
  </si>
  <si>
    <t>zadania z zakresu administracji rządowej</t>
  </si>
  <si>
    <t>Razem</t>
  </si>
  <si>
    <t>W części dotyczącej wydatków  powiatu</t>
  </si>
  <si>
    <t>Rozdz.</t>
  </si>
  <si>
    <t>RAZEM</t>
  </si>
  <si>
    <t>Zwiększa się plan wydatków o kwotę</t>
  </si>
  <si>
    <t>W części dotyczącej wydatków  gminy</t>
  </si>
  <si>
    <t xml:space="preserve">                                     RADY  MIASTA  KONINA</t>
  </si>
  <si>
    <t xml:space="preserve">          Na podstawie art. 18 ust. 2 pkt 4 ustawy z dnia 8 marca 1990 r. o samorządzie gminnym</t>
  </si>
  <si>
    <t>(Dz. U. z 2001r. Nr  142 poz. 1591 ze zm.), art. 211 ustawy z dnia 27 sierpnia 2009 r.</t>
  </si>
  <si>
    <t xml:space="preserve">o finansach  publicznych (Dz. U.   Nr  157 poz. 1240 ze zm.)   R a d a    M i a s t a   K o n i n a  </t>
  </si>
  <si>
    <t xml:space="preserve"> u c h w a l a,  co następuje :</t>
  </si>
  <si>
    <t>1. W § 1 ust. 1</t>
  </si>
  <si>
    <t xml:space="preserve">         Kwotę dochodów ogółem      </t>
  </si>
  <si>
    <t xml:space="preserve">         zastępuje się kwotą</t>
  </si>
  <si>
    <t xml:space="preserve">           z tego:</t>
  </si>
  <si>
    <t>z tego:</t>
  </si>
  <si>
    <t xml:space="preserve">        a) dochody bieżące w wysokości                                        </t>
  </si>
  <si>
    <t>zastępuje się kwotą</t>
  </si>
  <si>
    <t xml:space="preserve">             Zmniejsza się</t>
  </si>
  <si>
    <t xml:space="preserve">          Zwiększa się</t>
  </si>
  <si>
    <t>Kwotę wydatków ogółem</t>
  </si>
  <si>
    <t xml:space="preserve">           1) kwotę  wydatków  gminy  ogółem                      </t>
  </si>
  <si>
    <t>z tego;</t>
  </si>
  <si>
    <t xml:space="preserve">          a) kwotę wydatków bieżących ogółem                      </t>
  </si>
  <si>
    <t xml:space="preserve">          b) kwotę wydatków majątkowych ogółem                      </t>
  </si>
  <si>
    <t xml:space="preserve">           2) kwotę  wydatków  powiatu ogółem                      </t>
  </si>
  <si>
    <t xml:space="preserve">                  Zwiększa się</t>
  </si>
  <si>
    <r>
      <t xml:space="preserve"> W Załączniku  nr 3 do uchwały budżetowej obejmującym   </t>
    </r>
    <r>
      <rPr>
        <i/>
        <sz val="12"/>
        <rFont val="Times New Roman"/>
        <family val="1"/>
      </rPr>
      <t xml:space="preserve">"Plan wydatków majątkowych realizowanych </t>
    </r>
  </si>
  <si>
    <t>W części dotyczącej zadań  gminy</t>
  </si>
  <si>
    <r>
      <t xml:space="preserve">Załącznik nr  3 do uchwały budżetowej otrzymuje brzmienie  w treści   </t>
    </r>
    <r>
      <rPr>
        <b/>
        <sz val="13"/>
        <rFont val="Times New Roman"/>
        <family val="1"/>
      </rPr>
      <t>Załącznika nr  1</t>
    </r>
  </si>
  <si>
    <t>do niniejszej uchwały.</t>
  </si>
  <si>
    <t xml:space="preserve">pkt 1)  kwotę rezerwy ogólnej </t>
  </si>
  <si>
    <t xml:space="preserve">          zastępuje się kwotą</t>
  </si>
  <si>
    <t xml:space="preserve">         w tym:</t>
  </si>
  <si>
    <t>a) kwotę części gminnej</t>
  </si>
  <si>
    <t xml:space="preserve">    zastępuje się kwotą</t>
  </si>
  <si>
    <t xml:space="preserve">                                                                               § 2</t>
  </si>
  <si>
    <t>Wykonanie uchwały powierza się Prezydentowi Miasta Konina.</t>
  </si>
  <si>
    <t xml:space="preserve">                                                                               § 3</t>
  </si>
  <si>
    <t>Uchwała wchodzi w życie z dniem podjęcia.</t>
  </si>
  <si>
    <t xml:space="preserve">     Przewodniczący </t>
  </si>
  <si>
    <t>Rady Miasta Konina</t>
  </si>
  <si>
    <t>2. W Załączniku Nr 1 do uchwały budżetowej dokonuje się następujących zmian:</t>
  </si>
  <si>
    <r>
      <t xml:space="preserve">w sprawie </t>
    </r>
    <r>
      <rPr>
        <b/>
        <i/>
        <sz val="14"/>
        <rFont val="Times New Roman"/>
        <family val="1"/>
      </rPr>
      <t>zmian w budżecie miasta Konina na 2013 rok</t>
    </r>
  </si>
  <si>
    <t>W części dotyczącej dochodów  gminy</t>
  </si>
  <si>
    <t xml:space="preserve">         1) dochody gminy ogółem                                                                                  </t>
  </si>
  <si>
    <t xml:space="preserve">         W uchwale Nr 506 Rady Miasta Konina z dnia 19 grudnia 2012 r. w sprawie uchwalenia budżetu</t>
  </si>
  <si>
    <t>Projekt</t>
  </si>
  <si>
    <t>SL</t>
  </si>
  <si>
    <t>ZAŁĄCZNIK nr 1</t>
  </si>
  <si>
    <t>Plan wydatków majątkowych realizowanych ze środków budżetowych miasta Konina na 2013 rok</t>
  </si>
  <si>
    <t>w złotych</t>
  </si>
  <si>
    <t xml:space="preserve">           Plan na 2013 rok</t>
  </si>
  <si>
    <t>Lp</t>
  </si>
  <si>
    <t>Dział</t>
  </si>
  <si>
    <t>Nazwa  zadania</t>
  </si>
  <si>
    <t>Ogólny koszt zadania</t>
  </si>
  <si>
    <t>Poniesione nakłady i przewidywane do końca 2012 roku</t>
  </si>
  <si>
    <t>Zakres rzeczowy zadania</t>
  </si>
  <si>
    <t>Odpow. za realizację           i uwagi</t>
  </si>
  <si>
    <t>Termin rozpocz. i zakoń. inwestycji</t>
  </si>
  <si>
    <t>ogółem</t>
  </si>
  <si>
    <t>środki  w ramach ustawy Prawo ochrony środowiska</t>
  </si>
  <si>
    <t>RAZEM GMINA</t>
  </si>
  <si>
    <t>Transport i łączność</t>
  </si>
  <si>
    <t>Drogi publiczne gminne</t>
  </si>
  <si>
    <t>Budowa ulic na osiedlu Wilków (Leszczynowa, Borowa)</t>
  </si>
  <si>
    <t>zakup i montowanie windy</t>
  </si>
  <si>
    <t>zakup busa</t>
  </si>
  <si>
    <t>budowa windy schodowej</t>
  </si>
  <si>
    <t>budowa podjazdu</t>
  </si>
  <si>
    <t xml:space="preserve"> ścianka boulderowa</t>
  </si>
  <si>
    <t xml:space="preserve">zakupu oprogramowania wraz z licencją </t>
  </si>
  <si>
    <t>budowa chodnika ze schodami</t>
  </si>
  <si>
    <t xml:space="preserve">ikwidacja kolizji sieci elektroenergetycznej </t>
  </si>
  <si>
    <t>place zabaw</t>
  </si>
  <si>
    <t>docieplenie ściań zwenętrznych i dachu</t>
  </si>
  <si>
    <t>hangar plus wyposażenie</t>
  </si>
  <si>
    <t>1. Budowa przyłącza dla MBP na ul. Dworcowej i dla Konińskiego Domu Kultury.
2. Budowa przyłącza dla I Liceum Ogólnokształcącego.
3. Wypełnienie światłowodem rurociągu na trasie od ul. Powstańców Wielkopolskich do ul. Kleczewskiej.</t>
  </si>
  <si>
    <t>przebudowa ulic wraz z oświetleniem i odwodnieniem</t>
  </si>
  <si>
    <t>WI</t>
  </si>
  <si>
    <t>2012/2013</t>
  </si>
  <si>
    <t>Budowa ulic na osiedlu Chorzeń (Tulipanowa i Krokusowa)</t>
  </si>
  <si>
    <t>budowa ulic wraz z oświetleniem i odwodnieniem</t>
  </si>
  <si>
    <t>Przebudowa ulicy Jana Matejki w Koninie</t>
  </si>
  <si>
    <t>przebudowa ulicy wraz z oświetleniem i odwodnieniem</t>
  </si>
  <si>
    <t>Przebudowa ulicy Stodolnianej w Koninie</t>
  </si>
  <si>
    <t>2012/2014</t>
  </si>
  <si>
    <t>Budowa chodnika przy ul. Nowiny w kierunku cmentarza parafialnego</t>
  </si>
  <si>
    <t>budowa chodnika wraz z odwodnieniem i oświetleniem</t>
  </si>
  <si>
    <t xml:space="preserve">Budowa przedłużenia ul. Makowej od Al. Astrów do torów kolejowych   </t>
  </si>
  <si>
    <t>wykonanie dokumentacji projektowej wraz z etapem przygotowania do realizacji</t>
  </si>
  <si>
    <t>Opracowanie dokumentacji projektowo-kosztorysowej na budowę ulicy Wierzbowej (od ul. Europejskiej w kierunku wschodnim)</t>
  </si>
  <si>
    <t>wykonanie dokumentacji projektowo-kosztorysowej</t>
  </si>
  <si>
    <t>Budowa i przebudowa ulicy Kapitańskiej w Koninie</t>
  </si>
  <si>
    <t>budowa i przebudowa ulicy wraz z oświetleniem i odwodnieniem</t>
  </si>
  <si>
    <t>Rozbudowa skrzyżowania ulic Stanisława Staszica, Romana Dmowskiego i Tadeusza Kościuszki na skrzyżowanie typu "rondo" w Koninie</t>
  </si>
  <si>
    <t>budowa ronda na skrzyżowaniu ulic, oświetlenie ronda, kanalizacja deszczowa</t>
  </si>
  <si>
    <t>Budowa parkingu przy ul. Sadowej 9</t>
  </si>
  <si>
    <t>opracowanie dokumentacji projektowo-kosztorysowej, realizacja zadania</t>
  </si>
  <si>
    <t>DR</t>
  </si>
  <si>
    <t>Budowa ulicy Drewnowskiego i ulicy Godlewskiego</t>
  </si>
  <si>
    <t>budowa ulicy wraz z odwodnieniem i oświetleniem</t>
  </si>
  <si>
    <t>Opracowanie dokumentacji projektowo- kosztorysowej  kładki nad Kanałem Ulgi</t>
  </si>
  <si>
    <t xml:space="preserve">opracowanie dokumentacji projektowo-kosztorysowej, </t>
  </si>
  <si>
    <t>Opracowanie dokumentacji  projektowo –  kosztorysowej na budowę ulicy Brunatnej w Koninie - etap I</t>
  </si>
  <si>
    <t>Dostawa i montaż parkomatów na terenie miasta Konina</t>
  </si>
  <si>
    <t>dostawa i montaż 7 szt. parkomatów</t>
  </si>
  <si>
    <t>Gospodarka mieszkaniowa</t>
  </si>
  <si>
    <t>Gospodarka gruntami i nieruchomościami</t>
  </si>
  <si>
    <t>Nabycie nieruchomości gruntowych</t>
  </si>
  <si>
    <t>GN/GM</t>
  </si>
  <si>
    <t>2012-2016</t>
  </si>
  <si>
    <t>Pozostała działalność</t>
  </si>
  <si>
    <t>Modernizacja wewnętrznej instalacji elektrycznej w budynkach przy ul. Kanałowej 6, 7, 11</t>
  </si>
  <si>
    <t>opracowanie dokumentacji i realizacja</t>
  </si>
  <si>
    <t>Administracja publiczna</t>
  </si>
  <si>
    <t>Urzędy gmin (miast i miast na prawach powiatu)</t>
  </si>
  <si>
    <t>Doposażenie techniczne Urzędu</t>
  </si>
  <si>
    <t xml:space="preserve">zakup drukarek, komputerów, MS Office MOLP, zakup rzutnika i laptopa </t>
  </si>
  <si>
    <t>IN</t>
  </si>
  <si>
    <t>Adaptacja budynku przy ul. Benesza 1 w Koninie  na cele administracyjne</t>
  </si>
  <si>
    <t xml:space="preserve">adaptacja istniejącego budynku na cele administracji  </t>
  </si>
  <si>
    <t>2012-2014</t>
  </si>
  <si>
    <t>Adaptacja budynku przy ul. 3 Maja 1 i 3 na Centrum Organizacji Pozarządowych</t>
  </si>
  <si>
    <t>adaptacja istniejącego budynku na potrzeby COP</t>
  </si>
  <si>
    <t>Bezpieczeństwo publiczne i ochrona przeciwpożarowa</t>
  </si>
  <si>
    <t>Ochotnicze Straże Pożarne</t>
  </si>
  <si>
    <t xml:space="preserve">Zakupy inwestycyjne </t>
  </si>
  <si>
    <t>zakup motopompy Niagara  dla OSP Cukrownia</t>
  </si>
  <si>
    <t>WZ</t>
  </si>
  <si>
    <t>Obrona cywilna</t>
  </si>
  <si>
    <t>zakup i montaż 1 elektronicznej syreny alarmowej tubowej wraz z osprzętem (montaż 1 punktu alarmowego)</t>
  </si>
  <si>
    <t>Rezerwa celowa na inwestycje i zakupy inwestycyjne</t>
  </si>
  <si>
    <t>Oświata i wychowanie</t>
  </si>
  <si>
    <t>Szkoły podstawowe</t>
  </si>
  <si>
    <t>Budowa placu zabaw w ramach programu rządowego "Radosna Szkoła" przy Szkole Podstawowej Nr 1</t>
  </si>
  <si>
    <t>budowa dużego placu zabaw</t>
  </si>
  <si>
    <t>SPnr 1/WO (realizacja pod warunkiem otrzymania środków z budżetu państwa)</t>
  </si>
  <si>
    <t xml:space="preserve">Opracowanie koncepcji i studium wykonalności na budowę sali gimnastycznej przy SP nr 1
</t>
  </si>
  <si>
    <t xml:space="preserve">koncepcja i studium wykonalności </t>
  </si>
  <si>
    <t>Zakup kserokopiarki dla Szkoły Podstawowej Nr 1</t>
  </si>
  <si>
    <t xml:space="preserve">zakup kserokopiarki </t>
  </si>
  <si>
    <t>SP nr 11/WO</t>
  </si>
  <si>
    <t>Przedszkola</t>
  </si>
  <si>
    <t>Modernizacja i rozbudowa budynku przy ul. Kamiennej 28 w Koninie</t>
  </si>
  <si>
    <t>adaptacja budynku na potrzeby punktu przedszkolnego i świetlicy</t>
  </si>
  <si>
    <t>Modernizacja placu zabaw Przedszkola nr 31</t>
  </si>
  <si>
    <t>modernizacja placu zabaw</t>
  </si>
  <si>
    <t>P nr 31/WO</t>
  </si>
  <si>
    <t>Założenie monitoringu wizyjnego przy Przedszkolu Nr 25</t>
  </si>
  <si>
    <t xml:space="preserve">założenie monitoringu wizyjnego </t>
  </si>
  <si>
    <t>P nr 25/WO</t>
  </si>
  <si>
    <t>Założenie monitoringu wizyjnego przy Przedszkolu Nr 31</t>
  </si>
  <si>
    <t>Termomodernizacja budynku Przedszkola nr 10</t>
  </si>
  <si>
    <t>docieplenie ścian</t>
  </si>
  <si>
    <t>P nr 10/WO</t>
  </si>
  <si>
    <t>Budowa parkingu przy Przedszkolu nr 7 w Koninie</t>
  </si>
  <si>
    <t>budowa parkingu</t>
  </si>
  <si>
    <t>Zakup obieraczki do ziemniaków dla Przedszkola Nr 4</t>
  </si>
  <si>
    <t xml:space="preserve">zakup obieraczki do ziemniaków </t>
  </si>
  <si>
    <t>P nr 4/WO</t>
  </si>
  <si>
    <t>Gimnazja</t>
  </si>
  <si>
    <t>Zakup kserokopiarki dla Gimnazjum Nr 2</t>
  </si>
  <si>
    <t>G nr 2/WO</t>
  </si>
  <si>
    <t>Stołówki szkolne i przedszkolne</t>
  </si>
  <si>
    <t>Zakup kotła warzelnego dla SP-15</t>
  </si>
  <si>
    <t xml:space="preserve">zakup kotła warzelnego </t>
  </si>
  <si>
    <t>SP nr 15/WO</t>
  </si>
  <si>
    <t>Zarządzanie energią w budynkach użyteczności publicznej w Koninie</t>
  </si>
  <si>
    <t xml:space="preserve">wymiana oświetlenia na energooszczędne </t>
  </si>
  <si>
    <t>Ochrona zdrowia</t>
  </si>
  <si>
    <t>Izby wytrzeźwień</t>
  </si>
  <si>
    <t>Zakup sprzętu medycznego</t>
  </si>
  <si>
    <t>zakup sprzętu medycznego</t>
  </si>
  <si>
    <t>ODPOzPAiP</t>
  </si>
  <si>
    <t>Pozostałe zadania w zakresie polityki społecznej</t>
  </si>
  <si>
    <t xml:space="preserve">Pozostała działalność </t>
  </si>
  <si>
    <t>Zakup sprzętu do zabaw ruchowych na plac zabaw dla Przedszkola nr 32</t>
  </si>
  <si>
    <t>sprzęt do zabaw ruchowych</t>
  </si>
  <si>
    <t>P nr 32/WO</t>
  </si>
  <si>
    <t>Zakup sprzętu do Sali Doświadczania Świata dla Przedszkola nr 32</t>
  </si>
  <si>
    <t xml:space="preserve"> sprzęt do Sali Doświadczania Świata</t>
  </si>
  <si>
    <t>Zakup sprzętu rehabilitacyjnego dla Przedszkola nr 32</t>
  </si>
  <si>
    <t xml:space="preserve">sprzęt rehabilitacyjny </t>
  </si>
  <si>
    <t>Jesteś przedsiębiorczy! Zacznij działać już dziś w  Koninie - w ramach programu POKL (dotacja celowa)</t>
  </si>
  <si>
    <t>przekazanie dotacji inwestycyjnej na założenie działalności gospodarczej zgodnie z biznesplanem m.in. na zakup sprzętu komputerowego i oprogramowania, maszyn i urządzeń lub remont pomieszczeń</t>
  </si>
  <si>
    <t>DG</t>
  </si>
  <si>
    <t>Jesteś przedsiębiorczy! Zacznij działać już dziś w  Koninie  - w ramach programu POKL (dotacja celowa)</t>
  </si>
  <si>
    <t>Dobry pomysł na firmę - wspomagamy przedsiębiorczość w Koninie - w ramach programu POKL (dotacja celowa)</t>
  </si>
  <si>
    <t>rozwój przedsiębiorczości w mieście Koninie oraz poprawa sytuacji na rynku pracy -wsparcie 47 os. które rozpoczęły działalność gospodarczą</t>
  </si>
  <si>
    <t>Gospodarka komunalna i ochrona środowiska</t>
  </si>
  <si>
    <t>Gospodarka odpadami</t>
  </si>
  <si>
    <t xml:space="preserve">Usuwanie wyrobów zawierających azbest z nieruchomości położonych na terenie miasta Konina </t>
  </si>
  <si>
    <t xml:space="preserve">usuwanie wyrobów zawierających azbest </t>
  </si>
  <si>
    <t>OŚ</t>
  </si>
  <si>
    <t>Oświetlenie ulic, placów i dróg</t>
  </si>
  <si>
    <t xml:space="preserve">Zakup i montaż ulicznych lamp solarnych </t>
  </si>
  <si>
    <t xml:space="preserve">Budowa sygnalizacji świetlnej na skrzyżowaniu ul. Przemysłowej i ul. Gosławickiej  wraz z doświetleniem przejść dla pieszych
</t>
  </si>
  <si>
    <t xml:space="preserve">sygnalizacja świetlna oraz doświetlenie 3 przejść dla pieszych  – rejon ul. Gosławickiej,  ul. Jędrzejewskiego, przy wjeździe do ZE PAK
</t>
  </si>
  <si>
    <t xml:space="preserve">Budowa  sygnalizacji świetlnej na skrzyżowaniu ulic Zagórowska - Pułaskiego  - Marii  Dąbrowskiej
</t>
  </si>
  <si>
    <t>sygnalizacja świetlna</t>
  </si>
  <si>
    <t>Doświetlenie przejść dla pieszych w Koninie</t>
  </si>
  <si>
    <t xml:space="preserve"> z dnia 30 stycznia 2013 r. Nr 13/2013 Prezydenta Miasta Konina z dnia 7 lutego 2013 r.; Nr 14/2013 Prezydenta</t>
  </si>
  <si>
    <t>Miasta Konina z dnia  15 lutego 2013 r.; Nr 522 Rady Miasta Konina z dnia 27 lutego 2013 r.; Nr 22/2013</t>
  </si>
  <si>
    <t>Prezydenta Miasta Konina z dnia 7 marca 2013 r; Nr 25/2013 Prezydenta Miasta Konina z dnia 14 marca 2013 r.;</t>
  </si>
  <si>
    <t>Nr 540 Rady Miasta Konina z dnia 27 marca 2013 r.;  Nr 40/2013 Prezydenta Miasta Konina z dnia</t>
  </si>
  <si>
    <r>
      <t xml:space="preserve">11 kwietnia 2013 r.;   </t>
    </r>
    <r>
      <rPr>
        <b/>
        <i/>
        <sz val="11"/>
        <rFont val="Times New Roman"/>
        <family val="1"/>
      </rPr>
      <t>- wprowadza się następujące zmiany:</t>
    </r>
  </si>
  <si>
    <r>
      <t xml:space="preserve">"1. Deficyt w wysokości </t>
    </r>
    <r>
      <rPr>
        <b/>
        <sz val="13"/>
        <rFont val="Times New Roman"/>
        <family val="1"/>
      </rPr>
      <t>6.586.275,16 zł</t>
    </r>
    <r>
      <rPr>
        <sz val="13"/>
        <rFont val="Times New Roman"/>
        <family val="1"/>
      </rPr>
      <t xml:space="preserve"> zostanie sfinansowany wolnymi środkami </t>
    </r>
  </si>
  <si>
    <t>4. W § 1 ust. 3</t>
  </si>
  <si>
    <t>5. W Załączniku Nr 2 do uchwały budżetowej dokonuje się następujących zmian:</t>
  </si>
  <si>
    <t>7. W § 1  ust. 4 otrzymuje brzmienie w treści:</t>
  </si>
  <si>
    <t xml:space="preserve">9.  § 2 do uchwały budżetowej otrzymuje brzmienie w treści: </t>
  </si>
  <si>
    <t>Załącznik nr 5 do uchwały budżetowej obejmujący:</t>
  </si>
  <si>
    <t>" Limit wydatków bieżących na programy finansowane z udziałem środków, o których</t>
  </si>
  <si>
    <r>
      <t xml:space="preserve">mowa w art. 5 ust. 1 pkt 2 i 3 ustawy o finansach publicznych na 2013 rok" </t>
    </r>
    <r>
      <rPr>
        <sz val="13"/>
        <rFont val="Times New Roman"/>
        <family val="1"/>
      </rPr>
      <t xml:space="preserve">otrzymuje </t>
    </r>
  </si>
  <si>
    <r>
      <t xml:space="preserve">Załącznik nr 11 do uchwały budżetowej obejmujący  </t>
    </r>
    <r>
      <rPr>
        <i/>
        <sz val="13"/>
        <rFont val="Times New Roman"/>
        <family val="1"/>
      </rPr>
      <t>"Plan dotacji dla podmiotów nie zaliczanych</t>
    </r>
  </si>
  <si>
    <t>do sektora finansów publicznych na cele publiczne związane z realizacją zadań miasta na 2013 rok"</t>
  </si>
  <si>
    <t>ust. 1</t>
  </si>
  <si>
    <r>
      <t xml:space="preserve">brzmienie w treści </t>
    </r>
    <r>
      <rPr>
        <b/>
        <sz val="13"/>
        <rFont val="Times New Roman"/>
        <family val="1"/>
      </rPr>
      <t>Załącznika nr 3</t>
    </r>
    <r>
      <rPr>
        <sz val="13"/>
        <rFont val="Times New Roman"/>
        <family val="1"/>
      </rPr>
      <t xml:space="preserve">  do niniejszej uchwały</t>
    </r>
  </si>
  <si>
    <r>
      <t xml:space="preserve">otrzymuje brzmienie w treści   </t>
    </r>
    <r>
      <rPr>
        <b/>
        <sz val="13"/>
        <rFont val="Times New Roman"/>
        <family val="1"/>
      </rPr>
      <t xml:space="preserve">Załącznika nr 4 </t>
    </r>
    <r>
      <rPr>
        <sz val="13"/>
        <rFont val="Times New Roman"/>
        <family val="1"/>
      </rPr>
      <t>do niniejszej uchwały</t>
    </r>
  </si>
  <si>
    <r>
      <t xml:space="preserve">Załącznik nr 12 do uchwały budżetowej obejmujący  </t>
    </r>
    <r>
      <rPr>
        <i/>
        <sz val="13"/>
        <rFont val="Times New Roman"/>
        <family val="1"/>
      </rPr>
      <t>"Plan dotacji dla podmiotów  zaliczanych</t>
    </r>
  </si>
  <si>
    <r>
      <t xml:space="preserve">otrzymuje brzmienie w treści   </t>
    </r>
    <r>
      <rPr>
        <b/>
        <sz val="13"/>
        <rFont val="Times New Roman"/>
        <family val="1"/>
      </rPr>
      <t xml:space="preserve">Załącznika nr 5 </t>
    </r>
    <r>
      <rPr>
        <sz val="13"/>
        <rFont val="Times New Roman"/>
        <family val="1"/>
      </rPr>
      <t>do niniejszej uchwały</t>
    </r>
  </si>
  <si>
    <t>10. W § 1 w ust. 7</t>
  </si>
  <si>
    <t xml:space="preserve">11.  W § 3    do uchwały budżetowej </t>
  </si>
  <si>
    <t>ust. 2</t>
  </si>
  <si>
    <t>12. W § 4 do uchwały budżetowej dokonuje się następujących zmian:</t>
  </si>
  <si>
    <t>Druk nr  604</t>
  </si>
  <si>
    <t xml:space="preserve">ul. Przemysłowa (dawny 
Konwart); ul.Przemysłowa  - ul. Jeziorna; ul. Przemysłowa – Maliniec  (2 przejścia – rejon ul. Zapłocie i  ul. Malinieckiej); 
ul. Przemysłowa – Gaj; ul. Ślesińska - Cukrownia
</t>
  </si>
  <si>
    <t xml:space="preserve">Budowa oświetlenia ulicznego Al.. Cukrownicza, ul. Pałacowa, ul. 150-lecia, ul. Kortowa
</t>
  </si>
  <si>
    <t>oświetlenie uliczne</t>
  </si>
  <si>
    <t>Budowa kanalizacji deszczowej na terenie osiedla Pątnów  w Koninie</t>
  </si>
  <si>
    <t>dokumentacja projektowo-kosztorysowa</t>
  </si>
  <si>
    <t>Przygotowanie terenów inwestycyjnych w obrębie Konin - Międzylesie</t>
  </si>
  <si>
    <t>opracowanie studyjno-koncepcyjne, opracowanie dokumentacji projektowej</t>
  </si>
  <si>
    <t>2011/2013</t>
  </si>
  <si>
    <t>Budowa przyłączy kanalizacyjnych i przyłączenie nieruchomości do miejskiej sieci kanalizacyjnej</t>
  </si>
  <si>
    <t>przyłącza kanalizacyjne</t>
  </si>
  <si>
    <t>GK</t>
  </si>
  <si>
    <t xml:space="preserve">Kultura fizyczna </t>
  </si>
  <si>
    <t>Obiekty sportowe</t>
  </si>
  <si>
    <t>Wykonanie piłkochwytów przy boisku ORLIK 2012 przy Gimnazjum nr 3 na os. Chorzeń</t>
  </si>
  <si>
    <t>podwyższenie istniejących piłkochwytów</t>
  </si>
  <si>
    <t>Dokumentacja przyszłościowa na budowę boiska przy Gimnazjum                      nr 7 ul. Kard.Wyszyńskiego</t>
  </si>
  <si>
    <t>opracowanie dokumentacji projektowej</t>
  </si>
  <si>
    <t xml:space="preserve">Instytucje kultury fizycznej </t>
  </si>
  <si>
    <t>Wykonanie siłowni terenowej na osiedlu Zatorze</t>
  </si>
  <si>
    <t>siłownia terenowa</t>
  </si>
  <si>
    <t>MOSiR</t>
  </si>
  <si>
    <t>RAZEM POWIAT</t>
  </si>
  <si>
    <t>Drogi publiczne w miastach na prawach powiatu</t>
  </si>
  <si>
    <t>Przebudowa Wiaduktu Briańskiego wraz ze skrzyżowaniem ulic Kleczewska-Fryderyka Chopina</t>
  </si>
  <si>
    <t>przebudowa wiaduktu wraz ze skrzyżowaniem ulic oraz odwodnieniem i oświetleniem</t>
  </si>
  <si>
    <t>WI/GN</t>
  </si>
  <si>
    <t>Przebudowa ul. Żwirki i Wigury wraz z kanalizacją deszczową</t>
  </si>
  <si>
    <t>przebudowa ulicy wraz z kanalizacją deszczową</t>
  </si>
  <si>
    <t xml:space="preserve">Opracowanie dokumentacji projektowo-kosztorysowej na połączenie ul. I. Paderewskiego z ul. Kard. S. Wyszyńskiego
</t>
  </si>
  <si>
    <t xml:space="preserve">Opracowanie dokumentacji projektowej na przebudowę parkingu przy ul.Kard. S. Wyszyńskiego
</t>
  </si>
  <si>
    <t>Aktualizacja dokumentacji projektowej na II etap nowego przebiegu drogi krajowej Nr 25</t>
  </si>
  <si>
    <t xml:space="preserve">aktualizacja dokumentacji projektowej </t>
  </si>
  <si>
    <t>Działalność usługowa</t>
  </si>
  <si>
    <t>Ośrodki dokumentacji geodezyjnej i kartograficznej</t>
  </si>
  <si>
    <t>Zakup sprzętu komputerowego i kserograficznego do obsługi państwowego zasobu geodezyjnego i kartograficznego</t>
  </si>
  <si>
    <t>zakup sprzętu komputerowego i kserograficznego</t>
  </si>
  <si>
    <t>GM</t>
  </si>
  <si>
    <t>Nadzór budowlany</t>
  </si>
  <si>
    <t>Zakup urządzenia biurowego wielofunkcyjnego dla PINB dla miasta Konina</t>
  </si>
  <si>
    <t>zakup urządzenia wielofunkcyjnego (drukarka, fax., skan, kserokopiarka)</t>
  </si>
  <si>
    <t>PINB</t>
  </si>
  <si>
    <t>Zakup zestawu komputerowego wraz z oprogramowaniem dla PINB dla miasta Konina</t>
  </si>
  <si>
    <t>zakup komputera stacjonarnego (komputer, monitor, mysz, klawiatura, oprogramowanie)</t>
  </si>
  <si>
    <t>Komendy powiatowe Państwowej Straży Pożarnej</t>
  </si>
  <si>
    <t>Przebudowa pomieszczeń garażowych budynku strażnicy wraz z modernizacją kanalizacji deszczowej oraz wymianą nawierzchni placu manewrowego JRG Nr 1 i Komendy Miejskiej Państwowej Straży Pożarnej w Koninie</t>
  </si>
  <si>
    <t>a/ kompleksowa modernizacja garaży,                                          b/ kompleksowa modernizacja łazienki w JRG Nr 1,                                                                   c/ modernizacja kanalizacji sanitarnej i deszczowej w garażach i placach manewrowych,                                                    d/ modernizacja nawierzchni placów manewrowych</t>
  </si>
  <si>
    <t>KMPSP</t>
  </si>
  <si>
    <t>Dokształcanie i doskonalenie nauczycieli</t>
  </si>
  <si>
    <t>Wymiana stolarki drzwiowej w głównym wejściu do Miejskiego Ośrodka Doskonalenia Nauczycieli w Koninie</t>
  </si>
  <si>
    <t xml:space="preserve">wymiana stolarki drzwiowej </t>
  </si>
  <si>
    <t>MODN/WO</t>
  </si>
  <si>
    <t>Pomoc społeczna</t>
  </si>
  <si>
    <t>Domy Pomocy Społecznej</t>
  </si>
  <si>
    <t>Zakup samochodu do przewozu osób niepełnosprawnych dla DPS w Koninie</t>
  </si>
  <si>
    <t xml:space="preserve">samochód do przewozu osób niepełnosprawnych </t>
  </si>
  <si>
    <t>DPS</t>
  </si>
  <si>
    <t>Rozbudowa boisk przy ZSGE                   ul. Kard. Wyszyńskiego 3  w Koninie</t>
  </si>
  <si>
    <t>opracowanie dokumentacji projektowej i wykonawstwo</t>
  </si>
  <si>
    <t>2013/2014</t>
  </si>
  <si>
    <t>Budowa instalacji wewnętrznych ciepłej wody i centralnego ogrzewania z węzłem cieplnym w budynku przy ul. Zofii Urbanowskiej 4</t>
  </si>
  <si>
    <t xml:space="preserve">Rewitalizacja Starówki - budowa budynków mieszkalnych wielorodzinnych pomiędzy ulicą  Wodną  i Grunwaldzką w Koninie </t>
  </si>
  <si>
    <t xml:space="preserve">budowa instalacji wewnętrznych ciepłej wody i centralnego ogrzewania z węzłem cieplnym </t>
  </si>
  <si>
    <t>W części dotyczącej zadań  powiatu</t>
  </si>
  <si>
    <t xml:space="preserve"> Wiesław  Steinke</t>
  </si>
  <si>
    <t xml:space="preserve">na 2013 rok:  Nr  4/2013 Prezydenta Miasta Konina z dnia 23 stycznia 2013 r.; Nr 513 Rady Miasta Konina </t>
  </si>
  <si>
    <t xml:space="preserve">miasta Konina na 2013 rok zmienionej zarządzeniami  i uchwałami w sprawie zmian w budżecie miasta Konina </t>
  </si>
  <si>
    <t>Budowa oświetlenia ul. Żwirki i Wigury w Koninie</t>
  </si>
  <si>
    <t>Przebudowa ulicy Romana Dmowskiego w Koninie</t>
  </si>
  <si>
    <t>b) kwotę części powiatowej</t>
  </si>
  <si>
    <t>przebudowa ulicy</t>
  </si>
  <si>
    <t>wymiana lamp</t>
  </si>
  <si>
    <t>801</t>
  </si>
  <si>
    <t>Budowa 4 domków mieszkalnych (8 mieszkań socjalnych) przy ul. Marii Dąbrowskiej w Koninie</t>
  </si>
  <si>
    <t>zakup i montaż lamp solarnych ul. Beznazwy, Jeziorko os.Zatorze i ul. Spacerowa</t>
  </si>
  <si>
    <t>0750</t>
  </si>
  <si>
    <t>W części dotyczącej dochodów  powiatu</t>
  </si>
  <si>
    <t>852</t>
  </si>
  <si>
    <t>853</t>
  </si>
  <si>
    <t xml:space="preserve">         2) dochody powiatu ogółem                                                                                  </t>
  </si>
  <si>
    <t>3. W Załączniku Nr 1 do uchwały budżetowej dokonuje się następujących zmian:</t>
  </si>
  <si>
    <t>6. W Załączniku Nr 2 do uchwały budżetowej dokonuje się następujących zmian:</t>
  </si>
  <si>
    <t>dz. 600 rozdz.60016 § 6050   zwiększa się o kwotę</t>
  </si>
  <si>
    <t>8. W § 1  w ust. 5</t>
  </si>
  <si>
    <r>
      <t xml:space="preserve">ze środków budżetowych miasta Konina na 2013 rok " </t>
    </r>
    <r>
      <rPr>
        <sz val="12"/>
        <rFont val="Times New Roman"/>
        <family val="1"/>
      </rPr>
      <t xml:space="preserve"> dokonuje się następujących zmian"</t>
    </r>
  </si>
  <si>
    <t xml:space="preserve">      PLAN DOTACJI DLA PODMIOTÓW NIE ZALICZANYCH DO SEKTORA FINANSÓW </t>
  </si>
  <si>
    <t>PUBLICZNYCH NA CELE PUBLICZNE ZWIĄZANE Z REALIZACJĄ ZADAŃ MIASTA  NA 2013 ROK</t>
  </si>
  <si>
    <t>Wyszczególnienie</t>
  </si>
  <si>
    <t xml:space="preserve">Określenie zadań </t>
  </si>
  <si>
    <t>Plan na 2013 rok</t>
  </si>
  <si>
    <t>Razem zadania gminy</t>
  </si>
  <si>
    <t xml:space="preserve">Dotacje podmiotowe </t>
  </si>
  <si>
    <t>Prywatna Szkoła Podstawowa Zespół Edukacji Wiedza</t>
  </si>
  <si>
    <t xml:space="preserve">Centrum Szkoleniowe „WIEDZA” </t>
  </si>
  <si>
    <t xml:space="preserve">Gimnazjum Towarzystwa Salezjańskiego </t>
  </si>
  <si>
    <t>Gimnazjum Edukacji Innowacyjnej</t>
  </si>
  <si>
    <t>AP Edukacja Gimnazjum dla Dorosłych</t>
  </si>
  <si>
    <t>KIN Zdzisław Gimnazjum dla Dorosłych</t>
  </si>
  <si>
    <t xml:space="preserve">Przedszkole niepubliczne„Bajkolandia”  </t>
  </si>
  <si>
    <t>Przedszkole niepubliczne "Chatka -Puchatka"</t>
  </si>
  <si>
    <t xml:space="preserve">Punkt przedszkolny „Bajkowa Kraina”  </t>
  </si>
  <si>
    <t xml:space="preserve">Punkt przedszkolny „Misiowa Kraina”  </t>
  </si>
  <si>
    <t>Punkt przedszkolny "Mały Artysta"</t>
  </si>
  <si>
    <t>dz. 758 rozdz.75818 § 6800 zwiększa  się o kwotę</t>
  </si>
  <si>
    <t>Modernizacja oświetlenia ulicznego w mieście Koninie</t>
  </si>
  <si>
    <t>Punkt przedszkolny "Akademia Smyka"</t>
  </si>
  <si>
    <t>Dotacje celowe</t>
  </si>
  <si>
    <t>prowadzenie Punktu Konsultacyjnego dla osób i rodzin dotkniętych problemem narkotykowym</t>
  </si>
  <si>
    <t>prowadzenie świetlic środowiskowych z dożywianiem</t>
  </si>
  <si>
    <t>realizacja programu zapobiegania i przeciwdziałania przemocy w rodzinie "Bezpieczeństwo w rodzinie" i "Dzieciństwo bez przemocy" w ramach Niebieskich Kart</t>
  </si>
  <si>
    <t>realizacja programu "Szkolna Interwencja Profilaktyczna"</t>
  </si>
  <si>
    <t>organizacja półkolonii letnich i zimowych z programem profilaktycznym, z dożywianiem i zajęciami sportowymi dla dzieci z rodzin dysfunkcyjnych</t>
  </si>
  <si>
    <t>organizacja kolonii socjoterapeutycznych dla dzieci i młodzieży z rodzin dysfunkcyjnych</t>
  </si>
  <si>
    <t>prowadzenie środowiskowych ognisk wychowawczych</t>
  </si>
  <si>
    <t>prowadzenie świetlic socjoterapeutycznych</t>
  </si>
  <si>
    <t>pomoc żywnościowa dla rodzin dysfunkcyjnych</t>
  </si>
  <si>
    <t>olimpiada wiedzy nt. uzależnień</t>
  </si>
  <si>
    <t>świadczenie usług opiekuńczych w domu podopiecznego na terenie miasta Konina</t>
  </si>
  <si>
    <t>prowadzenie noclegowni i schroniska dla bezdomnych</t>
  </si>
  <si>
    <t>prowadzenie Ośrodka Rehabilitacyjno-Edukacyjno-Wychowawczego i Punktu Rehabilitacyjnego w Koninie</t>
  </si>
  <si>
    <t>dotacja celowa dla prywatnych żłobków</t>
  </si>
  <si>
    <t>Minigranty - konkurs dla małych projektów dla organizacji rozpoczynających działalność</t>
  </si>
  <si>
    <t>"Jesteś przedsiębiorczy! Zacznij działać już dziś w Koninie "  w ramach programu POKL (dotacja celowa)</t>
  </si>
  <si>
    <t>"Dobry pomysł na firmę" wspomagamy przedsiębiorczość w Koninie - w ramach programu POKL (dotacja celowa)</t>
  </si>
  <si>
    <t xml:space="preserve">„PI  Wsparcie rozwoju narzędzi związanych z kontraktowaniem usług społecznych w Koninie” w ramach programu POKL (dotacja celowa)  </t>
  </si>
  <si>
    <t>Gospodarka komunalna                         i ochrona środowiska</t>
  </si>
  <si>
    <t>organizacja ochrony przed bezdomnymi zwierzętami art. 3 ust. 2 pkt 5 ustawy z dnia 13 września 1996 r. o utrzymaniu czystości i porządku w gminach oraz art. 11 a ustawy o ochronie zwierząt z dnia 16 września 2011 r.</t>
  </si>
  <si>
    <t xml:space="preserve">usuwanie wyrobów zawierających azbest z nieruchomości położonych na terenie miasta Konina </t>
  </si>
  <si>
    <t>budowa przyłączy kanalizacyjnych i przyłączenie nieruchomości do miejskiej sieci kanalizacyjnej</t>
  </si>
  <si>
    <t>Kultura i ochrona dziedzictwa narodowego</t>
  </si>
  <si>
    <t>remont kościoła pw. św. Bartłomieja w Koninie</t>
  </si>
  <si>
    <t>organizacja imprez kulturalnych dla mieszkańców m. Konina</t>
  </si>
  <si>
    <t xml:space="preserve">Kultura fizyczna  </t>
  </si>
  <si>
    <t>szkolenie uzdolnionych sportowo w: szermierce, kolarstwie, piłce nożnej kobiet, piłce nożnej mężczyzn, koszykówce, pięściarstwie, tenisie stołowym, szachach, tenisie ziemnym, piłce ręcznej, piłce siatkowej, judo, sportach szybowcowych i samolotowych i innych</t>
  </si>
  <si>
    <t>organizacja imprez sportowo-rekreacyjnych dla mieszkańców Konina</t>
  </si>
  <si>
    <t>organizacja imprez sportowo-rekreacyjnych dla osób niepełnosprawnych</t>
  </si>
  <si>
    <t xml:space="preserve">Razem zadania powiatu </t>
  </si>
  <si>
    <t>Centrum Nauki i Biznesu „Żak</t>
  </si>
  <si>
    <t>Europejskie Centrum Kształcenia "PASCAL"</t>
  </si>
  <si>
    <t xml:space="preserve">Zespół Edukacji „WIEDZA”    </t>
  </si>
  <si>
    <t xml:space="preserve">Technikum Uzupełniające Michał Lewandowski  </t>
  </si>
  <si>
    <t>Zakład Doskonalenia Zawodowego Centrum Kształcenia</t>
  </si>
  <si>
    <t xml:space="preserve">COSINUS     </t>
  </si>
  <si>
    <t>Niepubliczne Policealne Studium Zawodowe Michał Lewandowski</t>
  </si>
  <si>
    <t xml:space="preserve">AP EDUKACJA            </t>
  </si>
  <si>
    <t>PLUS EDUKACJA</t>
  </si>
  <si>
    <t>Stowarzyszenie Edukacja na Odległość</t>
  </si>
  <si>
    <t>Cech Rzemiosł Róznych</t>
  </si>
  <si>
    <t>Centrum Szkoleniowe NET - Alicja Woźniak</t>
  </si>
  <si>
    <t>Instytut Postępowania Twórczego</t>
  </si>
  <si>
    <t xml:space="preserve">Elitarne Studium Służb Ochrony „DELTA”  </t>
  </si>
  <si>
    <t xml:space="preserve">  Liceum Ogólnokształcące w Konińskim Centrum Edukacyjnym</t>
  </si>
  <si>
    <t>Liceum Ogólnokształcące dla Dorosłych Michał Lewandowski</t>
  </si>
  <si>
    <t>prowadzenie warsztatów terapii zajęciowej, rehabilitacja zawodowa i społeczna</t>
  </si>
  <si>
    <t>Edukacyjna opieka wychowawcza</t>
  </si>
  <si>
    <t xml:space="preserve">Polskiego Stowarzyszenia na Rzecz Osób z Upośledzeniem Umysłowym </t>
  </si>
  <si>
    <t>Turystyka</t>
  </si>
  <si>
    <t>promocja turystyczna miasta Konina oraz udzielanie o nim informacji turystycznej</t>
  </si>
  <si>
    <t>organizacja imprez turystycznych dla mieszkańców Konina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</si>
</sst>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</numFmts>
  <fonts count="120">
    <font>
      <sz val="10"/>
      <name val="Arial"/>
      <family val="0"/>
    </font>
    <font>
      <sz val="8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E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Times New Roman"/>
      <family val="1"/>
    </font>
    <font>
      <sz val="10"/>
      <color indexed="48"/>
      <name val="Times New Roman"/>
      <family val="1"/>
    </font>
    <font>
      <sz val="12"/>
      <color indexed="48"/>
      <name val="Times New Roman"/>
      <family val="1"/>
    </font>
    <font>
      <b/>
      <sz val="12"/>
      <color indexed="48"/>
      <name val="Times New Roman"/>
      <family val="1"/>
    </font>
    <font>
      <b/>
      <sz val="11"/>
      <color indexed="48"/>
      <name val="Times New Roman"/>
      <family val="1"/>
    </font>
    <font>
      <b/>
      <sz val="12"/>
      <color indexed="10"/>
      <name val="Times New Roman"/>
      <family val="1"/>
    </font>
    <font>
      <i/>
      <sz val="10"/>
      <name val="Times New Roman"/>
      <family val="1"/>
    </font>
    <font>
      <b/>
      <sz val="14"/>
      <color indexed="10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b/>
      <i/>
      <sz val="13"/>
      <name val="Times New Roman"/>
      <family val="1"/>
    </font>
    <font>
      <b/>
      <sz val="14"/>
      <color indexed="12"/>
      <name val="Times New Roman"/>
      <family val="1"/>
    </font>
    <font>
      <b/>
      <i/>
      <sz val="11"/>
      <name val="Times New Roman"/>
      <family val="1"/>
    </font>
    <font>
      <b/>
      <sz val="11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57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48"/>
      <name val="Times New Roman"/>
      <family val="1"/>
    </font>
    <font>
      <sz val="11"/>
      <color indexed="12"/>
      <name val="Times New Roman"/>
      <family val="1"/>
    </font>
    <font>
      <b/>
      <sz val="11"/>
      <color indexed="17"/>
      <name val="Times New Roman"/>
      <family val="1"/>
    </font>
    <font>
      <b/>
      <sz val="14"/>
      <color indexed="48"/>
      <name val="Times New Roman"/>
      <family val="1"/>
    </font>
    <font>
      <b/>
      <sz val="14"/>
      <color indexed="57"/>
      <name val="Times New Roman"/>
      <family val="1"/>
    </font>
    <font>
      <b/>
      <sz val="12"/>
      <color indexed="57"/>
      <name val="Times New Roman"/>
      <family val="1"/>
    </font>
    <font>
      <sz val="9"/>
      <name val="Arial"/>
      <family val="0"/>
    </font>
    <font>
      <sz val="14"/>
      <name val="Arial"/>
      <family val="0"/>
    </font>
    <font>
      <sz val="8"/>
      <name val="Times New Roman"/>
      <family val="1"/>
    </font>
    <font>
      <i/>
      <sz val="16"/>
      <name val="Times New Roman"/>
      <family val="1"/>
    </font>
    <font>
      <i/>
      <sz val="7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0"/>
    </font>
    <font>
      <i/>
      <sz val="9"/>
      <name val="Times New Roman"/>
      <family val="1"/>
    </font>
    <font>
      <sz val="9"/>
      <name val="Arial CE"/>
      <family val="0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6"/>
      <name val="Times New Roman"/>
      <family val="1"/>
    </font>
    <font>
      <i/>
      <sz val="8"/>
      <name val="Times New Roman"/>
      <family val="1"/>
    </font>
    <font>
      <b/>
      <sz val="7"/>
      <name val="Times New Roman"/>
      <family val="1"/>
    </font>
    <font>
      <b/>
      <sz val="10"/>
      <name val="Arial"/>
      <family val="0"/>
    </font>
    <font>
      <sz val="16"/>
      <name val="Times New Roman"/>
      <family val="1"/>
    </font>
    <font>
      <i/>
      <sz val="10"/>
      <name val="Arial"/>
      <family val="0"/>
    </font>
    <font>
      <b/>
      <sz val="16"/>
      <name val="Times New Roman"/>
      <family val="1"/>
    </font>
    <font>
      <b/>
      <sz val="9"/>
      <name val="Arial CE"/>
      <family val="0"/>
    </font>
    <font>
      <sz val="11"/>
      <name val="Times New Roman CE"/>
      <family val="1"/>
    </font>
    <font>
      <sz val="11"/>
      <name val="Arial"/>
      <family val="0"/>
    </font>
    <font>
      <sz val="9"/>
      <color indexed="10"/>
      <name val="Times New Roman"/>
      <family val="1"/>
    </font>
    <font>
      <sz val="12"/>
      <name val="Arial"/>
      <family val="2"/>
    </font>
    <font>
      <b/>
      <sz val="10"/>
      <color indexed="10"/>
      <name val="Arial"/>
      <family val="2"/>
    </font>
    <font>
      <b/>
      <i/>
      <sz val="16"/>
      <name val="Times New Roman"/>
      <family val="1"/>
    </font>
    <font>
      <sz val="16"/>
      <color indexed="12"/>
      <name val="Times New Roman"/>
      <family val="1"/>
    </font>
    <font>
      <b/>
      <sz val="9"/>
      <color indexed="10"/>
      <name val="Times New Roman"/>
      <family val="1"/>
    </font>
    <font>
      <sz val="14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i/>
      <sz val="11"/>
      <name val="Arial"/>
      <family val="2"/>
    </font>
    <font>
      <i/>
      <sz val="13"/>
      <name val="Times New Roman"/>
      <family val="1"/>
    </font>
    <font>
      <i/>
      <sz val="16"/>
      <color indexed="10"/>
      <name val="Times New Roman"/>
      <family val="1"/>
    </font>
    <font>
      <sz val="12"/>
      <color indexed="12"/>
      <name val="Times New Roman"/>
      <family val="1"/>
    </font>
    <font>
      <b/>
      <i/>
      <sz val="11"/>
      <color indexed="12"/>
      <name val="Times New Roman"/>
      <family val="1"/>
    </font>
    <font>
      <b/>
      <i/>
      <sz val="12"/>
      <color indexed="48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i/>
      <sz val="11"/>
      <color indexed="12"/>
      <name val="Times New Roman"/>
      <family val="1"/>
    </font>
    <font>
      <i/>
      <sz val="12"/>
      <color indexed="48"/>
      <name val="Times New Roman"/>
      <family val="1"/>
    </font>
    <font>
      <b/>
      <sz val="9"/>
      <name val="Arial"/>
      <family val="0"/>
    </font>
    <font>
      <i/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3" fillId="2" borderId="0" applyNumberFormat="0" applyBorder="0" applyAlignment="0" applyProtection="0"/>
    <xf numFmtId="0" fontId="103" fillId="3" borderId="0" applyNumberFormat="0" applyBorder="0" applyAlignment="0" applyProtection="0"/>
    <xf numFmtId="0" fontId="103" fillId="4" borderId="0" applyNumberFormat="0" applyBorder="0" applyAlignment="0" applyProtection="0"/>
    <xf numFmtId="0" fontId="103" fillId="5" borderId="0" applyNumberFormat="0" applyBorder="0" applyAlignment="0" applyProtection="0"/>
    <xf numFmtId="0" fontId="103" fillId="6" borderId="0" applyNumberFormat="0" applyBorder="0" applyAlignment="0" applyProtection="0"/>
    <xf numFmtId="0" fontId="103" fillId="7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10" borderId="0" applyNumberFormat="0" applyBorder="0" applyAlignment="0" applyProtection="0"/>
    <xf numFmtId="0" fontId="103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104" fillId="14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25" borderId="0" applyNumberFormat="0" applyBorder="0" applyAlignment="0" applyProtection="0"/>
    <xf numFmtId="0" fontId="105" fillId="26" borderId="1" applyNumberFormat="0" applyAlignment="0" applyProtection="0"/>
    <xf numFmtId="0" fontId="106" fillId="27" borderId="2" applyNumberFormat="0" applyAlignment="0" applyProtection="0"/>
    <xf numFmtId="0" fontId="10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8" fillId="0" borderId="3" applyNumberFormat="0" applyFill="0" applyAlignment="0" applyProtection="0"/>
    <xf numFmtId="0" fontId="109" fillId="29" borderId="4" applyNumberFormat="0" applyAlignment="0" applyProtection="0"/>
    <xf numFmtId="0" fontId="110" fillId="0" borderId="5" applyNumberFormat="0" applyFill="0" applyAlignment="0" applyProtection="0"/>
    <xf numFmtId="0" fontId="111" fillId="0" borderId="6" applyNumberFormat="0" applyFill="0" applyAlignment="0" applyProtection="0"/>
    <xf numFmtId="0" fontId="112" fillId="0" borderId="7" applyNumberFormat="0" applyFill="0" applyAlignment="0" applyProtection="0"/>
    <xf numFmtId="0" fontId="112" fillId="0" borderId="0" applyNumberFormat="0" applyFill="0" applyBorder="0" applyAlignment="0" applyProtection="0"/>
    <xf numFmtId="0" fontId="113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4" fillId="27" borderId="1" applyNumberForma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5" fillId="0" borderId="8" applyNumberFormat="0" applyFill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9" fillId="32" borderId="0" applyNumberFormat="0" applyBorder="0" applyAlignment="0" applyProtection="0"/>
  </cellStyleXfs>
  <cellXfs count="928">
    <xf numFmtId="0" fontId="0" fillId="0" borderId="0" xfId="0" applyAlignment="1">
      <alignment/>
    </xf>
    <xf numFmtId="4" fontId="3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 vertical="center"/>
    </xf>
    <xf numFmtId="4" fontId="9" fillId="0" borderId="0" xfId="0" applyNumberFormat="1" applyFont="1" applyFill="1" applyAlignment="1">
      <alignment/>
    </xf>
    <xf numFmtId="0" fontId="9" fillId="0" borderId="0" xfId="53" applyFont="1" applyFill="1">
      <alignment/>
      <protection/>
    </xf>
    <xf numFmtId="0" fontId="9" fillId="0" borderId="0" xfId="53" applyFont="1" applyFill="1" applyAlignment="1">
      <alignment horizontal="center"/>
      <protection/>
    </xf>
    <xf numFmtId="4" fontId="2" fillId="0" borderId="0" xfId="53" applyNumberFormat="1" applyFont="1" applyFill="1">
      <alignment/>
      <protection/>
    </xf>
    <xf numFmtId="0" fontId="3" fillId="0" borderId="0" xfId="53" applyFont="1" applyFill="1">
      <alignment/>
      <protection/>
    </xf>
    <xf numFmtId="4" fontId="3" fillId="0" borderId="0" xfId="53" applyNumberFormat="1" applyFont="1" applyFill="1">
      <alignment/>
      <protection/>
    </xf>
    <xf numFmtId="0" fontId="9" fillId="0" borderId="10" xfId="52" applyFont="1" applyFill="1" applyBorder="1">
      <alignment/>
      <protection/>
    </xf>
    <xf numFmtId="0" fontId="9" fillId="0" borderId="11" xfId="52" applyFont="1" applyFill="1" applyBorder="1">
      <alignment/>
      <protection/>
    </xf>
    <xf numFmtId="0" fontId="9" fillId="0" borderId="0" xfId="52" applyFont="1" applyFill="1" applyBorder="1">
      <alignment/>
      <protection/>
    </xf>
    <xf numFmtId="0" fontId="9" fillId="0" borderId="12" xfId="52" applyFont="1" applyFill="1" applyBorder="1" applyAlignment="1">
      <alignment horizontal="center" vertical="top"/>
      <protection/>
    </xf>
    <xf numFmtId="0" fontId="10" fillId="0" borderId="13" xfId="52" applyFont="1" applyFill="1" applyBorder="1" applyAlignment="1">
      <alignment vertical="center" wrapText="1"/>
      <protection/>
    </xf>
    <xf numFmtId="0" fontId="3" fillId="0" borderId="0" xfId="52" applyFont="1" applyFill="1">
      <alignment/>
      <protection/>
    </xf>
    <xf numFmtId="0" fontId="9" fillId="0" borderId="0" xfId="52" applyFont="1" applyFill="1">
      <alignment/>
      <protection/>
    </xf>
    <xf numFmtId="4" fontId="2" fillId="0" borderId="0" xfId="52" applyNumberFormat="1" applyFont="1" applyFill="1">
      <alignment/>
      <protection/>
    </xf>
    <xf numFmtId="4" fontId="5" fillId="0" borderId="0" xfId="52" applyNumberFormat="1" applyFont="1" applyFill="1" applyBorder="1" applyAlignment="1">
      <alignment horizontal="right"/>
      <protection/>
    </xf>
    <xf numFmtId="0" fontId="15" fillId="0" borderId="0" xfId="52" applyFont="1" applyFill="1">
      <alignment/>
      <protection/>
    </xf>
    <xf numFmtId="4" fontId="11" fillId="0" borderId="0" xfId="52" applyNumberFormat="1" applyFont="1" applyFill="1" applyAlignment="1">
      <alignment vertical="center"/>
      <protection/>
    </xf>
    <xf numFmtId="4" fontId="11" fillId="0" borderId="0" xfId="52" applyNumberFormat="1" applyFont="1" applyFill="1">
      <alignment/>
      <protection/>
    </xf>
    <xf numFmtId="4" fontId="7" fillId="0" borderId="0" xfId="57" applyNumberFormat="1" applyFont="1" applyFill="1" applyAlignment="1">
      <alignment horizontal="right"/>
      <protection/>
    </xf>
    <xf numFmtId="0" fontId="2" fillId="0" borderId="0" xfId="53" applyFont="1" applyFill="1">
      <alignment/>
      <protection/>
    </xf>
    <xf numFmtId="0" fontId="2" fillId="0" borderId="0" xfId="0" applyFont="1" applyFill="1" applyAlignment="1">
      <alignment/>
    </xf>
    <xf numFmtId="4" fontId="5" fillId="0" borderId="0" xfId="52" applyNumberFormat="1" applyFont="1" applyFill="1" applyAlignment="1">
      <alignment vertical="center"/>
      <protection/>
    </xf>
    <xf numFmtId="0" fontId="7" fillId="0" borderId="0" xfId="0" applyFont="1" applyFill="1" applyAlignment="1">
      <alignment/>
    </xf>
    <xf numFmtId="4" fontId="5" fillId="0" borderId="0" xfId="52" applyNumberFormat="1" applyFont="1" applyFill="1" applyBorder="1" applyAlignment="1">
      <alignment vertical="center"/>
      <protection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3" xfId="52" applyFont="1" applyFill="1" applyBorder="1" applyAlignment="1">
      <alignment horizontal="center" vertical="center"/>
      <protection/>
    </xf>
    <xf numFmtId="0" fontId="3" fillId="0" borderId="0" xfId="53" applyFont="1" applyFill="1" applyAlignment="1">
      <alignment horizontal="center"/>
      <protection/>
    </xf>
    <xf numFmtId="4" fontId="21" fillId="0" borderId="0" xfId="0" applyNumberFormat="1" applyFont="1" applyFill="1" applyAlignment="1">
      <alignment/>
    </xf>
    <xf numFmtId="4" fontId="22" fillId="0" borderId="0" xfId="0" applyNumberFormat="1" applyFont="1" applyFill="1" applyAlignment="1">
      <alignment/>
    </xf>
    <xf numFmtId="4" fontId="21" fillId="0" borderId="0" xfId="53" applyNumberFormat="1" applyFont="1" applyFill="1">
      <alignment/>
      <protection/>
    </xf>
    <xf numFmtId="4" fontId="22" fillId="0" borderId="0" xfId="53" applyNumberFormat="1" applyFont="1" applyFill="1">
      <alignment/>
      <protection/>
    </xf>
    <xf numFmtId="4" fontId="23" fillId="0" borderId="0" xfId="53" applyNumberFormat="1" applyFont="1" applyFill="1">
      <alignment/>
      <protection/>
    </xf>
    <xf numFmtId="4" fontId="21" fillId="0" borderId="0" xfId="52" applyNumberFormat="1" applyFont="1" applyFill="1">
      <alignment/>
      <protection/>
    </xf>
    <xf numFmtId="4" fontId="22" fillId="0" borderId="0" xfId="52" applyNumberFormat="1" applyFont="1" applyFill="1">
      <alignment/>
      <protection/>
    </xf>
    <xf numFmtId="4" fontId="23" fillId="0" borderId="0" xfId="52" applyNumberFormat="1" applyFont="1" applyFill="1">
      <alignment/>
      <protection/>
    </xf>
    <xf numFmtId="4" fontId="24" fillId="0" borderId="0" xfId="52" applyNumberFormat="1" applyFont="1" applyFill="1">
      <alignment/>
      <protection/>
    </xf>
    <xf numFmtId="4" fontId="23" fillId="0" borderId="0" xfId="52" applyNumberFormat="1" applyFont="1" applyFill="1" applyAlignment="1">
      <alignment vertical="center"/>
      <protection/>
    </xf>
    <xf numFmtId="4" fontId="20" fillId="0" borderId="0" xfId="53" applyNumberFormat="1" applyFont="1" applyFill="1">
      <alignment/>
      <protection/>
    </xf>
    <xf numFmtId="4" fontId="9" fillId="0" borderId="0" xfId="53" applyNumberFormat="1" applyFont="1" applyFill="1">
      <alignment/>
      <protection/>
    </xf>
    <xf numFmtId="4" fontId="3" fillId="0" borderId="0" xfId="52" applyNumberFormat="1" applyFont="1" applyFill="1" applyAlignment="1">
      <alignment horizontal="center"/>
      <protection/>
    </xf>
    <xf numFmtId="4" fontId="25" fillId="0" borderId="0" xfId="52" applyNumberFormat="1" applyFont="1" applyFill="1" applyAlignment="1">
      <alignment vertical="center"/>
      <protection/>
    </xf>
    <xf numFmtId="4" fontId="5" fillId="0" borderId="11" xfId="52" applyNumberFormat="1" applyFont="1" applyFill="1" applyBorder="1" applyAlignment="1">
      <alignment horizontal="right" vertical="center"/>
      <protection/>
    </xf>
    <xf numFmtId="4" fontId="5" fillId="0" borderId="11" xfId="52" applyNumberFormat="1" applyFont="1" applyFill="1" applyBorder="1" applyAlignment="1">
      <alignment vertical="center"/>
      <protection/>
    </xf>
    <xf numFmtId="0" fontId="5" fillId="0" borderId="0" xfId="0" applyFont="1" applyFill="1" applyAlignment="1">
      <alignment vertical="center"/>
    </xf>
    <xf numFmtId="4" fontId="23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4" fontId="3" fillId="0" borderId="0" xfId="52" applyNumberFormat="1" applyFont="1" applyFill="1" applyBorder="1" applyAlignment="1">
      <alignment vertical="center"/>
      <protection/>
    </xf>
    <xf numFmtId="4" fontId="3" fillId="0" borderId="0" xfId="52" applyNumberFormat="1" applyFont="1" applyFill="1" applyAlignment="1">
      <alignment vertical="center"/>
      <protection/>
    </xf>
    <xf numFmtId="4" fontId="22" fillId="0" borderId="0" xfId="52" applyNumberFormat="1" applyFont="1" applyFill="1" applyAlignment="1">
      <alignment vertical="center"/>
      <protection/>
    </xf>
    <xf numFmtId="4" fontId="13" fillId="0" borderId="0" xfId="52" applyNumberFormat="1" applyFont="1" applyFill="1" applyAlignment="1">
      <alignment vertical="center"/>
      <protection/>
    </xf>
    <xf numFmtId="0" fontId="13" fillId="0" borderId="0" xfId="52" applyFont="1" applyFill="1">
      <alignment/>
      <protection/>
    </xf>
    <xf numFmtId="0" fontId="2" fillId="0" borderId="0" xfId="53" applyFont="1" applyFill="1" applyAlignment="1">
      <alignment vertical="center"/>
      <protection/>
    </xf>
    <xf numFmtId="0" fontId="9" fillId="0" borderId="0" xfId="53" applyFont="1" applyFill="1" applyAlignment="1">
      <alignment vertical="center"/>
      <protection/>
    </xf>
    <xf numFmtId="0" fontId="9" fillId="0" borderId="0" xfId="53" applyFont="1" applyFill="1" applyAlignment="1">
      <alignment horizontal="center" vertical="center"/>
      <protection/>
    </xf>
    <xf numFmtId="4" fontId="9" fillId="0" borderId="0" xfId="53" applyNumberFormat="1" applyFont="1" applyFill="1" applyAlignment="1">
      <alignment vertical="center"/>
      <protection/>
    </xf>
    <xf numFmtId="4" fontId="3" fillId="0" borderId="0" xfId="53" applyNumberFormat="1" applyFont="1" applyFill="1" applyAlignment="1">
      <alignment vertical="center"/>
      <protection/>
    </xf>
    <xf numFmtId="4" fontId="14" fillId="0" borderId="0" xfId="53" applyNumberFormat="1" applyFont="1" applyFill="1" applyAlignment="1">
      <alignment horizontal="right" vertical="center"/>
      <protection/>
    </xf>
    <xf numFmtId="4" fontId="2" fillId="0" borderId="0" xfId="53" applyNumberFormat="1" applyFont="1" applyFill="1" applyAlignment="1">
      <alignment vertical="center"/>
      <protection/>
    </xf>
    <xf numFmtId="0" fontId="0" fillId="0" borderId="0" xfId="0" applyFill="1" applyAlignment="1">
      <alignment/>
    </xf>
    <xf numFmtId="49" fontId="2" fillId="0" borderId="0" xfId="53" applyNumberFormat="1" applyFont="1" applyFill="1">
      <alignment/>
      <protection/>
    </xf>
    <xf numFmtId="49" fontId="9" fillId="0" borderId="0" xfId="53" applyNumberFormat="1" applyFont="1" applyFill="1">
      <alignment/>
      <protection/>
    </xf>
    <xf numFmtId="49" fontId="9" fillId="0" borderId="0" xfId="53" applyNumberFormat="1" applyFont="1" applyFill="1" applyAlignment="1">
      <alignment horizontal="center"/>
      <protection/>
    </xf>
    <xf numFmtId="49" fontId="3" fillId="0" borderId="0" xfId="53" applyNumberFormat="1" applyFont="1" applyFill="1">
      <alignment/>
      <protection/>
    </xf>
    <xf numFmtId="49" fontId="9" fillId="0" borderId="0" xfId="0" applyNumberFormat="1" applyFont="1" applyFill="1" applyAlignment="1">
      <alignment/>
    </xf>
    <xf numFmtId="0" fontId="7" fillId="0" borderId="0" xfId="59" applyFont="1" applyFill="1" applyAlignment="1">
      <alignment horizontal="left"/>
      <protection/>
    </xf>
    <xf numFmtId="49" fontId="3" fillId="0" borderId="0" xfId="53" applyNumberFormat="1" applyFont="1" applyFill="1" applyAlignment="1">
      <alignment horizontal="center"/>
      <protection/>
    </xf>
    <xf numFmtId="49" fontId="3" fillId="0" borderId="0" xfId="52" applyNumberFormat="1" applyFont="1" applyFill="1">
      <alignment/>
      <protection/>
    </xf>
    <xf numFmtId="4" fontId="33" fillId="0" borderId="0" xfId="0" applyNumberFormat="1" applyFont="1" applyFill="1" applyAlignment="1">
      <alignment/>
    </xf>
    <xf numFmtId="4" fontId="20" fillId="0" borderId="0" xfId="0" applyNumberFormat="1" applyFont="1" applyFill="1" applyAlignment="1">
      <alignment/>
    </xf>
    <xf numFmtId="4" fontId="34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4" fontId="36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4" fontId="25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9" fontId="32" fillId="0" borderId="0" xfId="0" applyNumberFormat="1" applyFont="1" applyFill="1" applyAlignment="1">
      <alignment/>
    </xf>
    <xf numFmtId="49" fontId="16" fillId="0" borderId="0" xfId="0" applyNumberFormat="1" applyFont="1" applyFill="1" applyAlignment="1">
      <alignment/>
    </xf>
    <xf numFmtId="4" fontId="37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49" fontId="4" fillId="0" borderId="0" xfId="56" applyNumberFormat="1" applyFont="1" applyFill="1">
      <alignment/>
      <protection/>
    </xf>
    <xf numFmtId="49" fontId="32" fillId="0" borderId="0" xfId="56" applyNumberFormat="1" applyFont="1" applyFill="1">
      <alignment/>
      <protection/>
    </xf>
    <xf numFmtId="49" fontId="32" fillId="0" borderId="0" xfId="56" applyNumberFormat="1" applyFont="1" applyFill="1" applyAlignment="1">
      <alignment horizontal="center"/>
      <protection/>
    </xf>
    <xf numFmtId="0" fontId="32" fillId="0" borderId="0" xfId="0" applyFont="1" applyFill="1" applyAlignment="1">
      <alignment horizontal="left"/>
    </xf>
    <xf numFmtId="0" fontId="32" fillId="0" borderId="0" xfId="53" applyFont="1" applyFill="1">
      <alignment/>
      <protection/>
    </xf>
    <xf numFmtId="4" fontId="2" fillId="0" borderId="0" xfId="0" applyNumberFormat="1" applyFont="1" applyFill="1" applyAlignment="1">
      <alignment/>
    </xf>
    <xf numFmtId="49" fontId="9" fillId="0" borderId="0" xfId="56" applyNumberFormat="1" applyFont="1" applyFill="1">
      <alignment/>
      <protection/>
    </xf>
    <xf numFmtId="49" fontId="9" fillId="0" borderId="0" xfId="56" applyNumberFormat="1" applyFont="1" applyFill="1" applyAlignment="1">
      <alignment horizontal="center"/>
      <protection/>
    </xf>
    <xf numFmtId="0" fontId="7" fillId="0" borderId="0" xfId="53" applyFont="1" applyFill="1">
      <alignment/>
      <protection/>
    </xf>
    <xf numFmtId="49" fontId="3" fillId="0" borderId="0" xfId="56" applyNumberFormat="1" applyFont="1" applyFill="1">
      <alignment/>
      <protection/>
    </xf>
    <xf numFmtId="49" fontId="7" fillId="0" borderId="0" xfId="56" applyNumberFormat="1" applyFont="1" applyFill="1">
      <alignment/>
      <protection/>
    </xf>
    <xf numFmtId="49" fontId="7" fillId="0" borderId="0" xfId="56" applyNumberFormat="1" applyFont="1" applyFill="1" applyAlignment="1">
      <alignment horizontal="center"/>
      <protection/>
    </xf>
    <xf numFmtId="49" fontId="9" fillId="0" borderId="14" xfId="52" applyNumberFormat="1" applyFont="1" applyFill="1" applyBorder="1">
      <alignment/>
      <protection/>
    </xf>
    <xf numFmtId="49" fontId="9" fillId="0" borderId="14" xfId="52" applyNumberFormat="1" applyFont="1" applyFill="1" applyBorder="1" applyAlignment="1">
      <alignment horizontal="center"/>
      <protection/>
    </xf>
    <xf numFmtId="49" fontId="9" fillId="0" borderId="15" xfId="52" applyNumberFormat="1" applyFont="1" applyFill="1" applyBorder="1">
      <alignment/>
      <protection/>
    </xf>
    <xf numFmtId="49" fontId="9" fillId="0" borderId="15" xfId="52" applyNumberFormat="1" applyFont="1" applyFill="1" applyBorder="1" applyAlignment="1">
      <alignment horizontal="center"/>
      <protection/>
    </xf>
    <xf numFmtId="49" fontId="9" fillId="0" borderId="12" xfId="52" applyNumberFormat="1" applyFont="1" applyFill="1" applyBorder="1" applyAlignment="1">
      <alignment horizontal="center" vertical="center"/>
      <protection/>
    </xf>
    <xf numFmtId="49" fontId="5" fillId="0" borderId="13" xfId="52" applyNumberFormat="1" applyFont="1" applyFill="1" applyBorder="1" applyAlignment="1">
      <alignment horizontal="center" vertical="center"/>
      <protection/>
    </xf>
    <xf numFmtId="4" fontId="5" fillId="0" borderId="12" xfId="52" applyNumberFormat="1" applyFont="1" applyFill="1" applyBorder="1" applyAlignment="1">
      <alignment horizontal="right" vertical="top"/>
      <protection/>
    </xf>
    <xf numFmtId="4" fontId="23" fillId="0" borderId="0" xfId="0" applyNumberFormat="1" applyFont="1" applyFill="1" applyAlignment="1">
      <alignment/>
    </xf>
    <xf numFmtId="49" fontId="5" fillId="0" borderId="14" xfId="52" applyNumberFormat="1" applyFont="1" applyFill="1" applyBorder="1" applyAlignment="1">
      <alignment horizontal="center" vertical="center"/>
      <protection/>
    </xf>
    <xf numFmtId="49" fontId="5" fillId="0" borderId="11" xfId="52" applyNumberFormat="1" applyFont="1" applyFill="1" applyBorder="1" applyAlignment="1">
      <alignment horizontal="center" vertical="center"/>
      <protection/>
    </xf>
    <xf numFmtId="49" fontId="3" fillId="0" borderId="11" xfId="52" applyNumberFormat="1" applyFont="1" applyFill="1" applyBorder="1" applyAlignment="1">
      <alignment horizontal="center" vertical="center"/>
      <protection/>
    </xf>
    <xf numFmtId="4" fontId="3" fillId="0" borderId="12" xfId="52" applyNumberFormat="1" applyFont="1" applyFill="1" applyBorder="1" applyAlignment="1">
      <alignment horizontal="right" vertical="top"/>
      <protection/>
    </xf>
    <xf numFmtId="49" fontId="3" fillId="0" borderId="16" xfId="52" applyNumberFormat="1" applyFont="1" applyFill="1" applyBorder="1" applyAlignment="1">
      <alignment horizontal="center" vertical="center"/>
      <protection/>
    </xf>
    <xf numFmtId="49" fontId="3" fillId="0" borderId="15" xfId="52" applyNumberFormat="1" applyFont="1" applyFill="1" applyBorder="1" applyAlignment="1">
      <alignment horizontal="center" vertical="center"/>
      <protection/>
    </xf>
    <xf numFmtId="49" fontId="3" fillId="0" borderId="17" xfId="52" applyNumberFormat="1" applyFont="1" applyFill="1" applyBorder="1" applyAlignment="1">
      <alignment horizontal="center" vertical="center"/>
      <protection/>
    </xf>
    <xf numFmtId="0" fontId="12" fillId="0" borderId="0" xfId="0" applyFont="1" applyFill="1" applyAlignment="1">
      <alignment/>
    </xf>
    <xf numFmtId="4" fontId="33" fillId="0" borderId="0" xfId="0" applyNumberFormat="1" applyFont="1" applyFill="1" applyAlignment="1">
      <alignment vertical="center"/>
    </xf>
    <xf numFmtId="4" fontId="25" fillId="0" borderId="0" xfId="0" applyNumberFormat="1" applyFont="1" applyFill="1" applyAlignment="1">
      <alignment vertical="center"/>
    </xf>
    <xf numFmtId="49" fontId="5" fillId="0" borderId="0" xfId="52" applyNumberFormat="1" applyFont="1" applyFill="1" applyBorder="1" applyAlignment="1">
      <alignment horizontal="left" vertical="center"/>
      <protection/>
    </xf>
    <xf numFmtId="49" fontId="5" fillId="0" borderId="0" xfId="52" applyNumberFormat="1" applyFont="1" applyFill="1" applyBorder="1" applyAlignment="1">
      <alignment horizontal="center" vertical="center"/>
      <protection/>
    </xf>
    <xf numFmtId="4" fontId="5" fillId="0" borderId="0" xfId="52" applyNumberFormat="1" applyFont="1" applyFill="1" applyBorder="1" applyAlignment="1">
      <alignment horizontal="right" vertical="center"/>
      <protection/>
    </xf>
    <xf numFmtId="49" fontId="5" fillId="0" borderId="12" xfId="52" applyNumberFormat="1" applyFont="1" applyFill="1" applyBorder="1" applyAlignment="1">
      <alignment horizontal="center" vertical="center"/>
      <protection/>
    </xf>
    <xf numFmtId="4" fontId="5" fillId="0" borderId="17" xfId="52" applyNumberFormat="1" applyFont="1" applyFill="1" applyBorder="1" applyAlignment="1">
      <alignment horizontal="right" vertical="top"/>
      <protection/>
    </xf>
    <xf numFmtId="0" fontId="11" fillId="0" borderId="0" xfId="0" applyFont="1" applyFill="1" applyAlignment="1">
      <alignment/>
    </xf>
    <xf numFmtId="4" fontId="38" fillId="0" borderId="0" xfId="0" applyNumberFormat="1" applyFont="1" applyFill="1" applyAlignment="1">
      <alignment/>
    </xf>
    <xf numFmtId="4" fontId="3" fillId="0" borderId="17" xfId="52" applyNumberFormat="1" applyFont="1" applyFill="1" applyBorder="1" applyAlignment="1">
      <alignment horizontal="right" vertical="top"/>
      <protection/>
    </xf>
    <xf numFmtId="4" fontId="39" fillId="0" borderId="0" xfId="0" applyNumberFormat="1" applyFont="1" applyFill="1" applyAlignment="1">
      <alignment/>
    </xf>
    <xf numFmtId="49" fontId="3" fillId="0" borderId="12" xfId="52" applyNumberFormat="1" applyFont="1" applyFill="1" applyBorder="1" applyAlignment="1">
      <alignment horizontal="center" vertical="center"/>
      <protection/>
    </xf>
    <xf numFmtId="4" fontId="5" fillId="0" borderId="17" xfId="52" applyNumberFormat="1" applyFont="1" applyFill="1" applyBorder="1" applyAlignment="1">
      <alignment horizontal="right" vertical="center"/>
      <protection/>
    </xf>
    <xf numFmtId="49" fontId="3" fillId="0" borderId="0" xfId="0" applyNumberFormat="1" applyFont="1" applyFill="1" applyAlignment="1">
      <alignment/>
    </xf>
    <xf numFmtId="49" fontId="9" fillId="0" borderId="0" xfId="52" applyNumberFormat="1" applyFont="1" applyFill="1">
      <alignment/>
      <protection/>
    </xf>
    <xf numFmtId="49" fontId="9" fillId="0" borderId="0" xfId="52" applyNumberFormat="1" applyFont="1" applyFill="1" applyAlignment="1">
      <alignment horizontal="center"/>
      <protection/>
    </xf>
    <xf numFmtId="4" fontId="35" fillId="0" borderId="0" xfId="52" applyNumberFormat="1" applyFont="1" applyFill="1">
      <alignment/>
      <protection/>
    </xf>
    <xf numFmtId="4" fontId="34" fillId="0" borderId="0" xfId="52" applyNumberFormat="1" applyFont="1" applyFill="1">
      <alignment/>
      <protection/>
    </xf>
    <xf numFmtId="164" fontId="9" fillId="0" borderId="0" xfId="52" applyNumberFormat="1" applyFont="1" applyFill="1">
      <alignment/>
      <protection/>
    </xf>
    <xf numFmtId="4" fontId="40" fillId="0" borderId="0" xfId="52" applyNumberFormat="1" applyFont="1" applyFill="1">
      <alignment/>
      <protection/>
    </xf>
    <xf numFmtId="4" fontId="25" fillId="0" borderId="0" xfId="52" applyNumberFormat="1" applyFont="1" applyFill="1">
      <alignment/>
      <protection/>
    </xf>
    <xf numFmtId="49" fontId="5" fillId="0" borderId="0" xfId="52" applyNumberFormat="1" applyFont="1" applyFill="1">
      <alignment/>
      <protection/>
    </xf>
    <xf numFmtId="49" fontId="12" fillId="0" borderId="0" xfId="52" applyNumberFormat="1" applyFont="1" applyFill="1" applyAlignment="1">
      <alignment horizontal="center"/>
      <protection/>
    </xf>
    <xf numFmtId="4" fontId="5" fillId="0" borderId="0" xfId="52" applyNumberFormat="1" applyFont="1" applyFill="1">
      <alignment/>
      <protection/>
    </xf>
    <xf numFmtId="4" fontId="33" fillId="0" borderId="0" xfId="52" applyNumberFormat="1" applyFont="1" applyFill="1">
      <alignment/>
      <protection/>
    </xf>
    <xf numFmtId="49" fontId="7" fillId="0" borderId="0" xfId="52" applyNumberFormat="1" applyFont="1" applyFill="1">
      <alignment/>
      <protection/>
    </xf>
    <xf numFmtId="4" fontId="3" fillId="0" borderId="0" xfId="52" applyNumberFormat="1" applyFont="1" applyFill="1">
      <alignment/>
      <protection/>
    </xf>
    <xf numFmtId="49" fontId="6" fillId="0" borderId="0" xfId="0" applyNumberFormat="1" applyFont="1" applyFill="1" applyAlignment="1">
      <alignment horizontal="left"/>
    </xf>
    <xf numFmtId="49" fontId="6" fillId="0" borderId="0" xfId="53" applyNumberFormat="1" applyFont="1" applyFill="1">
      <alignment/>
      <protection/>
    </xf>
    <xf numFmtId="4" fontId="27" fillId="0" borderId="0" xfId="52" applyNumberFormat="1" applyFont="1" applyFill="1">
      <alignment/>
      <protection/>
    </xf>
    <xf numFmtId="49" fontId="32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49" fontId="32" fillId="0" borderId="0" xfId="53" applyNumberFormat="1" applyFont="1" applyFill="1">
      <alignment/>
      <protection/>
    </xf>
    <xf numFmtId="4" fontId="20" fillId="0" borderId="0" xfId="52" applyNumberFormat="1" applyFont="1" applyFill="1">
      <alignment/>
      <protection/>
    </xf>
    <xf numFmtId="4" fontId="9" fillId="0" borderId="0" xfId="52" applyNumberFormat="1" applyFont="1" applyFill="1">
      <alignment/>
      <protection/>
    </xf>
    <xf numFmtId="4" fontId="37" fillId="0" borderId="0" xfId="52" applyNumberFormat="1" applyFont="1" applyFill="1">
      <alignment/>
      <protection/>
    </xf>
    <xf numFmtId="49" fontId="17" fillId="0" borderId="0" xfId="52" applyNumberFormat="1" applyFont="1" applyFill="1">
      <alignment/>
      <protection/>
    </xf>
    <xf numFmtId="49" fontId="5" fillId="0" borderId="0" xfId="52" applyNumberFormat="1" applyFont="1" applyFill="1" applyBorder="1">
      <alignment/>
      <protection/>
    </xf>
    <xf numFmtId="49" fontId="5" fillId="0" borderId="0" xfId="52" applyNumberFormat="1" applyFont="1" applyFill="1" applyBorder="1" applyAlignment="1">
      <alignment horizontal="center"/>
      <protection/>
    </xf>
    <xf numFmtId="4" fontId="36" fillId="0" borderId="0" xfId="52" applyNumberFormat="1" applyFont="1" applyFill="1">
      <alignment/>
      <protection/>
    </xf>
    <xf numFmtId="4" fontId="41" fillId="0" borderId="0" xfId="52" applyNumberFormat="1" applyFont="1" applyFill="1">
      <alignment/>
      <protection/>
    </xf>
    <xf numFmtId="49" fontId="15" fillId="0" borderId="0" xfId="52" applyNumberFormat="1" applyFont="1" applyFill="1">
      <alignment/>
      <protection/>
    </xf>
    <xf numFmtId="49" fontId="15" fillId="0" borderId="0" xfId="52" applyNumberFormat="1" applyFont="1" applyFill="1" applyAlignment="1">
      <alignment horizontal="center"/>
      <protection/>
    </xf>
    <xf numFmtId="4" fontId="42" fillId="0" borderId="0" xfId="52" applyNumberFormat="1" applyFont="1" applyFill="1">
      <alignment/>
      <protection/>
    </xf>
    <xf numFmtId="4" fontId="43" fillId="0" borderId="0" xfId="52" applyNumberFormat="1" applyFont="1" applyFill="1">
      <alignment/>
      <protection/>
    </xf>
    <xf numFmtId="49" fontId="5" fillId="0" borderId="18" xfId="52" applyNumberFormat="1" applyFont="1" applyFill="1" applyBorder="1" applyAlignment="1">
      <alignment horizontal="center" vertical="center"/>
      <protection/>
    </xf>
    <xf numFmtId="0" fontId="5" fillId="0" borderId="0" xfId="52" applyFont="1" applyFill="1">
      <alignment/>
      <protection/>
    </xf>
    <xf numFmtId="49" fontId="5" fillId="0" borderId="10" xfId="52" applyNumberFormat="1" applyFont="1" applyFill="1" applyBorder="1" applyAlignment="1">
      <alignment vertical="center"/>
      <protection/>
    </xf>
    <xf numFmtId="49" fontId="3" fillId="0" borderId="19" xfId="52" applyNumberFormat="1" applyFont="1" applyFill="1" applyBorder="1" applyAlignment="1">
      <alignment horizontal="center" vertical="center"/>
      <protection/>
    </xf>
    <xf numFmtId="49" fontId="20" fillId="0" borderId="11" xfId="52" applyNumberFormat="1" applyFont="1" applyFill="1" applyBorder="1" applyAlignment="1">
      <alignment horizontal="center" vertical="center"/>
      <protection/>
    </xf>
    <xf numFmtId="4" fontId="33" fillId="0" borderId="0" xfId="52" applyNumberFormat="1" applyFont="1" applyFill="1" applyAlignment="1">
      <alignment vertical="center"/>
      <protection/>
    </xf>
    <xf numFmtId="49" fontId="5" fillId="0" borderId="0" xfId="52" applyNumberFormat="1" applyFont="1" applyFill="1" applyBorder="1" applyAlignment="1">
      <alignment vertical="center"/>
      <protection/>
    </xf>
    <xf numFmtId="49" fontId="3" fillId="0" borderId="0" xfId="52" applyNumberFormat="1" applyFont="1" applyFill="1" applyBorder="1" applyAlignment="1">
      <alignment horizontal="center" vertical="center"/>
      <protection/>
    </xf>
    <xf numFmtId="49" fontId="20" fillId="0" borderId="0" xfId="52" applyNumberFormat="1" applyFont="1" applyFill="1" applyBorder="1" applyAlignment="1">
      <alignment horizontal="center" vertical="center"/>
      <protection/>
    </xf>
    <xf numFmtId="49" fontId="9" fillId="0" borderId="20" xfId="52" applyNumberFormat="1" applyFont="1" applyFill="1" applyBorder="1">
      <alignment/>
      <protection/>
    </xf>
    <xf numFmtId="49" fontId="9" fillId="0" borderId="18" xfId="52" applyNumberFormat="1" applyFont="1" applyFill="1" applyBorder="1" applyAlignment="1">
      <alignment horizontal="center"/>
      <protection/>
    </xf>
    <xf numFmtId="49" fontId="9" fillId="0" borderId="16" xfId="52" applyNumberFormat="1" applyFont="1" applyFill="1" applyBorder="1">
      <alignment/>
      <protection/>
    </xf>
    <xf numFmtId="49" fontId="9" fillId="0" borderId="21" xfId="52" applyNumberFormat="1" applyFont="1" applyFill="1" applyBorder="1" applyAlignment="1">
      <alignment horizontal="center"/>
      <protection/>
    </xf>
    <xf numFmtId="49" fontId="9" fillId="0" borderId="16" xfId="52" applyNumberFormat="1" applyFont="1" applyFill="1" applyBorder="1" applyAlignment="1">
      <alignment horizontal="center" vertical="center"/>
      <protection/>
    </xf>
    <xf numFmtId="49" fontId="9" fillId="0" borderId="15" xfId="52" applyNumberFormat="1" applyFont="1" applyFill="1" applyBorder="1" applyAlignment="1">
      <alignment horizontal="center" vertical="center"/>
      <protection/>
    </xf>
    <xf numFmtId="49" fontId="9" fillId="0" borderId="21" xfId="52" applyNumberFormat="1" applyFont="1" applyFill="1" applyBorder="1" applyAlignment="1">
      <alignment horizontal="center" vertical="center"/>
      <protection/>
    </xf>
    <xf numFmtId="0" fontId="9" fillId="0" borderId="15" xfId="52" applyFont="1" applyFill="1" applyBorder="1" applyAlignment="1">
      <alignment horizontal="center" vertical="top"/>
      <protection/>
    </xf>
    <xf numFmtId="0" fontId="10" fillId="0" borderId="14" xfId="52" applyFont="1" applyFill="1" applyBorder="1" applyAlignment="1">
      <alignment vertical="center" wrapText="1"/>
      <protection/>
    </xf>
    <xf numFmtId="49" fontId="3" fillId="0" borderId="0" xfId="52" applyNumberFormat="1" applyFont="1" applyFill="1" applyBorder="1" applyAlignment="1">
      <alignment horizontal="left" vertical="center"/>
      <protection/>
    </xf>
    <xf numFmtId="49" fontId="3" fillId="0" borderId="0" xfId="57" applyNumberFormat="1" applyFont="1" applyFill="1">
      <alignment/>
      <protection/>
    </xf>
    <xf numFmtId="49" fontId="28" fillId="0" borderId="0" xfId="57" applyNumberFormat="1" applyFont="1" applyFill="1">
      <alignment/>
      <protection/>
    </xf>
    <xf numFmtId="49" fontId="7" fillId="0" borderId="0" xfId="57" applyNumberFormat="1" applyFont="1" applyFill="1" applyAlignment="1">
      <alignment horizontal="center"/>
      <protection/>
    </xf>
    <xf numFmtId="49" fontId="30" fillId="0" borderId="0" xfId="52" applyNumberFormat="1" applyFont="1" applyFill="1">
      <alignment/>
      <protection/>
    </xf>
    <xf numFmtId="49" fontId="7" fillId="0" borderId="0" xfId="57" applyNumberFormat="1" applyFont="1" applyFill="1">
      <alignment/>
      <protection/>
    </xf>
    <xf numFmtId="49" fontId="4" fillId="0" borderId="0" xfId="52" applyNumberFormat="1" applyFont="1" applyFill="1">
      <alignment/>
      <protection/>
    </xf>
    <xf numFmtId="49" fontId="13" fillId="0" borderId="0" xfId="57" applyNumberFormat="1" applyFont="1" applyFill="1" applyAlignment="1">
      <alignment horizontal="center"/>
      <protection/>
    </xf>
    <xf numFmtId="49" fontId="3" fillId="0" borderId="0" xfId="0" applyNumberFormat="1" applyFont="1" applyFill="1" applyBorder="1" applyAlignment="1">
      <alignment vertical="center"/>
    </xf>
    <xf numFmtId="49" fontId="7" fillId="0" borderId="0" xfId="57" applyNumberFormat="1" applyFont="1" applyFill="1" applyBorder="1" applyAlignment="1">
      <alignment horizontal="center"/>
      <protection/>
    </xf>
    <xf numFmtId="49" fontId="15" fillId="0" borderId="0" xfId="57" applyNumberFormat="1" applyFont="1" applyFill="1">
      <alignment/>
      <protection/>
    </xf>
    <xf numFmtId="49" fontId="9" fillId="0" borderId="0" xfId="0" applyNumberFormat="1" applyFont="1" applyFill="1" applyAlignment="1">
      <alignment/>
    </xf>
    <xf numFmtId="49" fontId="3" fillId="0" borderId="0" xfId="52" applyNumberFormat="1" applyFont="1" applyFill="1" applyAlignment="1">
      <alignment horizontal="left"/>
      <protection/>
    </xf>
    <xf numFmtId="49" fontId="7" fillId="0" borderId="0" xfId="52" applyNumberFormat="1" applyFont="1" applyFill="1" applyAlignment="1">
      <alignment horizontal="center"/>
      <protection/>
    </xf>
    <xf numFmtId="0" fontId="7" fillId="0" borderId="0" xfId="52" applyFont="1" applyFill="1">
      <alignment/>
      <protection/>
    </xf>
    <xf numFmtId="49" fontId="6" fillId="0" borderId="0" xfId="52" applyNumberFormat="1" applyFont="1" applyFill="1" applyBorder="1" applyAlignment="1">
      <alignment horizontal="center"/>
      <protection/>
    </xf>
    <xf numFmtId="4" fontId="6" fillId="0" borderId="0" xfId="52" applyNumberFormat="1" applyFont="1" applyFill="1" applyBorder="1" applyAlignment="1">
      <alignment horizontal="right"/>
      <protection/>
    </xf>
    <xf numFmtId="49" fontId="3" fillId="0" borderId="0" xfId="56" applyNumberFormat="1" applyFont="1" applyFill="1" applyAlignment="1">
      <alignment horizontal="center"/>
      <protection/>
    </xf>
    <xf numFmtId="0" fontId="3" fillId="0" borderId="0" xfId="56" applyFont="1" applyFill="1">
      <alignment/>
      <protection/>
    </xf>
    <xf numFmtId="4" fontId="3" fillId="0" borderId="0" xfId="56" applyNumberFormat="1" applyFont="1" applyFill="1">
      <alignment/>
      <protection/>
    </xf>
    <xf numFmtId="0" fontId="34" fillId="0" borderId="0" xfId="0" applyFont="1" applyFill="1" applyAlignment="1">
      <alignment/>
    </xf>
    <xf numFmtId="49" fontId="15" fillId="0" borderId="0" xfId="56" applyNumberFormat="1" applyFont="1" applyFill="1">
      <alignment/>
      <protection/>
    </xf>
    <xf numFmtId="49" fontId="15" fillId="0" borderId="0" xfId="56" applyNumberFormat="1" applyFont="1" applyFill="1" applyAlignment="1">
      <alignment horizontal="center"/>
      <protection/>
    </xf>
    <xf numFmtId="0" fontId="15" fillId="0" borderId="0" xfId="56" applyFont="1" applyFill="1">
      <alignment/>
      <protection/>
    </xf>
    <xf numFmtId="4" fontId="15" fillId="0" borderId="0" xfId="56" applyNumberFormat="1" applyFont="1" applyFill="1">
      <alignment/>
      <protection/>
    </xf>
    <xf numFmtId="0" fontId="33" fillId="0" borderId="0" xfId="52" applyFont="1" applyFill="1">
      <alignment/>
      <protection/>
    </xf>
    <xf numFmtId="0" fontId="9" fillId="0" borderId="0" xfId="56" applyFont="1" applyFill="1">
      <alignment/>
      <protection/>
    </xf>
    <xf numFmtId="0" fontId="5" fillId="0" borderId="0" xfId="56" applyFont="1" applyFill="1">
      <alignment/>
      <protection/>
    </xf>
    <xf numFmtId="0" fontId="4" fillId="0" borderId="0" xfId="56" applyFont="1" applyFill="1">
      <alignment/>
      <protection/>
    </xf>
    <xf numFmtId="0" fontId="16" fillId="0" borderId="0" xfId="0" applyFont="1" applyFill="1" applyAlignment="1">
      <alignment/>
    </xf>
    <xf numFmtId="0" fontId="16" fillId="0" borderId="0" xfId="53" applyFont="1" applyFill="1">
      <alignment/>
      <protection/>
    </xf>
    <xf numFmtId="4" fontId="33" fillId="0" borderId="0" xfId="0" applyNumberFormat="1" applyFont="1" applyFill="1" applyAlignment="1">
      <alignment/>
    </xf>
    <xf numFmtId="4" fontId="33" fillId="0" borderId="0" xfId="52" applyNumberFormat="1" applyFont="1" applyFill="1">
      <alignment/>
      <protection/>
    </xf>
    <xf numFmtId="0" fontId="13" fillId="0" borderId="0" xfId="53" applyFont="1" applyFill="1" applyAlignment="1">
      <alignment vertical="center"/>
      <protection/>
    </xf>
    <xf numFmtId="49" fontId="5" fillId="0" borderId="10" xfId="52" applyNumberFormat="1" applyFont="1" applyFill="1" applyBorder="1" applyAlignment="1">
      <alignment horizontal="left" vertical="center"/>
      <protection/>
    </xf>
    <xf numFmtId="49" fontId="5" fillId="0" borderId="19" xfId="52" applyNumberFormat="1" applyFont="1" applyFill="1" applyBorder="1" applyAlignment="1">
      <alignment horizontal="center" vertical="center"/>
      <protection/>
    </xf>
    <xf numFmtId="49" fontId="5" fillId="0" borderId="10" xfId="52" applyNumberFormat="1" applyFont="1" applyFill="1" applyBorder="1" applyAlignment="1">
      <alignment horizontal="center" vertical="center"/>
      <protection/>
    </xf>
    <xf numFmtId="49" fontId="3" fillId="0" borderId="13" xfId="52" applyNumberFormat="1" applyFont="1" applyFill="1" applyBorder="1" applyAlignment="1">
      <alignment horizontal="center" vertical="center"/>
      <protection/>
    </xf>
    <xf numFmtId="49" fontId="5" fillId="0" borderId="17" xfId="52" applyNumberFormat="1" applyFont="1" applyFill="1" applyBorder="1" applyAlignment="1">
      <alignment horizontal="center" vertical="center"/>
      <protection/>
    </xf>
    <xf numFmtId="0" fontId="9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/>
    </xf>
    <xf numFmtId="0" fontId="29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7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left" vertical="center" wrapText="1"/>
    </xf>
    <xf numFmtId="0" fontId="46" fillId="0" borderId="0" xfId="0" applyFont="1" applyFill="1" applyAlignment="1">
      <alignment vertical="center" wrapText="1"/>
    </xf>
    <xf numFmtId="0" fontId="9" fillId="0" borderId="0" xfId="0" applyFont="1" applyFill="1" applyAlignment="1">
      <alignment wrapText="1"/>
    </xf>
    <xf numFmtId="4" fontId="10" fillId="0" borderId="0" xfId="0" applyNumberFormat="1" applyFont="1" applyFill="1" applyAlignment="1">
      <alignment horizontal="center" vertical="center"/>
    </xf>
    <xf numFmtId="4" fontId="9" fillId="0" borderId="0" xfId="0" applyNumberFormat="1" applyFont="1" applyFill="1" applyAlignment="1">
      <alignment wrapText="1"/>
    </xf>
    <xf numFmtId="0" fontId="14" fillId="0" borderId="0" xfId="0" applyFont="1" applyFill="1" applyAlignment="1">
      <alignment horizontal="left"/>
    </xf>
    <xf numFmtId="1" fontId="46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 vertical="center"/>
    </xf>
    <xf numFmtId="0" fontId="46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wrapText="1"/>
    </xf>
    <xf numFmtId="4" fontId="48" fillId="0" borderId="0" xfId="0" applyNumberFormat="1" applyFont="1" applyFill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1" fontId="9" fillId="0" borderId="20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left" vertical="center"/>
    </xf>
    <xf numFmtId="4" fontId="9" fillId="0" borderId="14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1" fontId="9" fillId="0" borderId="16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 wrapText="1"/>
    </xf>
    <xf numFmtId="4" fontId="46" fillId="0" borderId="15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wrapText="1"/>
    </xf>
    <xf numFmtId="1" fontId="9" fillId="0" borderId="23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0" fontId="12" fillId="0" borderId="24" xfId="0" applyFont="1" applyFill="1" applyBorder="1" applyAlignment="1">
      <alignment horizontal="center" vertical="center"/>
    </xf>
    <xf numFmtId="0" fontId="49" fillId="0" borderId="24" xfId="0" applyFont="1" applyFill="1" applyBorder="1" applyAlignment="1">
      <alignment vertical="center"/>
    </xf>
    <xf numFmtId="4" fontId="12" fillId="0" borderId="12" xfId="0" applyNumberFormat="1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vertical="center"/>
    </xf>
    <xf numFmtId="4" fontId="49" fillId="0" borderId="10" xfId="0" applyNumberFormat="1" applyFont="1" applyFill="1" applyBorder="1" applyAlignment="1">
      <alignment vertical="center"/>
    </xf>
    <xf numFmtId="4" fontId="50" fillId="0" borderId="0" xfId="0" applyNumberFormat="1" applyFont="1" applyFill="1" applyAlignment="1">
      <alignment/>
    </xf>
    <xf numFmtId="0" fontId="26" fillId="0" borderId="21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vertical="center" wrapText="1"/>
    </xf>
    <xf numFmtId="4" fontId="51" fillId="0" borderId="10" xfId="0" applyNumberFormat="1" applyFont="1" applyFill="1" applyBorder="1" applyAlignment="1">
      <alignment vertical="center" wrapText="1"/>
    </xf>
    <xf numFmtId="0" fontId="48" fillId="0" borderId="13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vertical="center" wrapText="1"/>
    </xf>
    <xf numFmtId="4" fontId="29" fillId="0" borderId="13" xfId="0" applyNumberFormat="1" applyFont="1" applyFill="1" applyBorder="1" applyAlignment="1">
      <alignment vertical="center"/>
    </xf>
    <xf numFmtId="0" fontId="46" fillId="0" borderId="13" xfId="0" applyFont="1" applyFill="1" applyBorder="1" applyAlignment="1">
      <alignment vertical="center" wrapText="1"/>
    </xf>
    <xf numFmtId="4" fontId="52" fillId="0" borderId="0" xfId="0" applyNumberFormat="1" applyFont="1" applyFill="1" applyAlignment="1">
      <alignment/>
    </xf>
    <xf numFmtId="0" fontId="52" fillId="0" borderId="0" xfId="0" applyFont="1" applyFill="1" applyAlignment="1">
      <alignment/>
    </xf>
    <xf numFmtId="0" fontId="29" fillId="0" borderId="14" xfId="0" applyFont="1" applyFill="1" applyBorder="1" applyAlignment="1">
      <alignment vertical="center" wrapText="1"/>
    </xf>
    <xf numFmtId="0" fontId="29" fillId="0" borderId="20" xfId="0" applyFont="1" applyFill="1" applyBorder="1" applyAlignment="1">
      <alignment vertical="center" wrapText="1"/>
    </xf>
    <xf numFmtId="4" fontId="29" fillId="0" borderId="10" xfId="0" applyNumberFormat="1" applyFont="1" applyFill="1" applyBorder="1" applyAlignment="1">
      <alignment vertical="center"/>
    </xf>
    <xf numFmtId="0" fontId="46" fillId="0" borderId="1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center" wrapText="1"/>
    </xf>
    <xf numFmtId="4" fontId="29" fillId="0" borderId="10" xfId="0" applyNumberFormat="1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vertical="center"/>
    </xf>
    <xf numFmtId="0" fontId="12" fillId="0" borderId="12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vertical="center" wrapText="1"/>
    </xf>
    <xf numFmtId="4" fontId="49" fillId="0" borderId="10" xfId="0" applyNumberFormat="1" applyFont="1" applyFill="1" applyBorder="1" applyAlignment="1">
      <alignment vertical="center" wrapText="1"/>
    </xf>
    <xf numFmtId="0" fontId="26" fillId="0" borderId="14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vertical="top" wrapText="1"/>
    </xf>
    <xf numFmtId="0" fontId="49" fillId="0" borderId="23" xfId="0" applyFont="1" applyFill="1" applyBorder="1" applyAlignment="1">
      <alignment vertical="center" wrapText="1"/>
    </xf>
    <xf numFmtId="4" fontId="49" fillId="0" borderId="23" xfId="0" applyNumberFormat="1" applyFont="1" applyFill="1" applyBorder="1" applyAlignment="1">
      <alignment vertical="center" wrapText="1"/>
    </xf>
    <xf numFmtId="0" fontId="46" fillId="0" borderId="13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51" fillId="0" borderId="23" xfId="0" applyFont="1" applyFill="1" applyBorder="1" applyAlignment="1">
      <alignment vertical="center" wrapText="1"/>
    </xf>
    <xf numFmtId="4" fontId="51" fillId="0" borderId="23" xfId="0" applyNumberFormat="1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29" fillId="0" borderId="11" xfId="52" applyFont="1" applyFill="1" applyBorder="1" applyAlignment="1">
      <alignment vertical="center" wrapText="1"/>
      <protection/>
    </xf>
    <xf numFmtId="4" fontId="29" fillId="0" borderId="11" xfId="0" applyNumberFormat="1" applyFont="1" applyFill="1" applyBorder="1" applyAlignment="1">
      <alignment vertical="center" wrapText="1"/>
    </xf>
    <xf numFmtId="0" fontId="46" fillId="0" borderId="11" xfId="52" applyFont="1" applyFill="1" applyBorder="1" applyAlignment="1">
      <alignment vertical="center" wrapText="1"/>
      <protection/>
    </xf>
    <xf numFmtId="4" fontId="9" fillId="0" borderId="11" xfId="0" applyNumberFormat="1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49" fillId="0" borderId="24" xfId="0" applyFont="1" applyFill="1" applyBorder="1" applyAlignment="1">
      <alignment vertical="center" wrapText="1"/>
    </xf>
    <xf numFmtId="4" fontId="49" fillId="0" borderId="13" xfId="0" applyNumberFormat="1" applyFont="1" applyFill="1" applyBorder="1" applyAlignment="1">
      <alignment vertical="center" wrapText="1"/>
    </xf>
    <xf numFmtId="0" fontId="54" fillId="0" borderId="15" xfId="0" applyFont="1" applyFill="1" applyBorder="1" applyAlignment="1">
      <alignment horizontal="center" vertical="center"/>
    </xf>
    <xf numFmtId="0" fontId="51" fillId="0" borderId="24" xfId="0" applyFont="1" applyFill="1" applyBorder="1" applyAlignment="1">
      <alignment vertical="center" wrapText="1"/>
    </xf>
    <xf numFmtId="4" fontId="51" fillId="0" borderId="13" xfId="0" applyNumberFormat="1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vertical="center"/>
    </xf>
    <xf numFmtId="0" fontId="54" fillId="0" borderId="14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vertical="center" wrapText="1"/>
    </xf>
    <xf numFmtId="4" fontId="29" fillId="0" borderId="23" xfId="0" applyNumberFormat="1" applyFont="1" applyFill="1" applyBorder="1" applyAlignment="1">
      <alignment vertical="center" wrapText="1"/>
    </xf>
    <xf numFmtId="0" fontId="46" fillId="0" borderId="12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/>
    </xf>
    <xf numFmtId="4" fontId="46" fillId="0" borderId="10" xfId="0" applyNumberFormat="1" applyFont="1" applyFill="1" applyBorder="1" applyAlignment="1">
      <alignment vertical="center" wrapText="1"/>
    </xf>
    <xf numFmtId="0" fontId="9" fillId="0" borderId="22" xfId="0" applyFont="1" applyFill="1" applyBorder="1" applyAlignment="1">
      <alignment horizontal="center" vertical="center"/>
    </xf>
    <xf numFmtId="4" fontId="56" fillId="0" borderId="10" xfId="0" applyNumberFormat="1" applyFont="1" applyFill="1" applyBorder="1" applyAlignment="1">
      <alignment vertical="center" wrapText="1"/>
    </xf>
    <xf numFmtId="0" fontId="53" fillId="0" borderId="16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vertical="center" wrapText="1"/>
    </xf>
    <xf numFmtId="0" fontId="57" fillId="0" borderId="13" xfId="0" applyFont="1" applyFill="1" applyBorder="1" applyAlignment="1">
      <alignment horizontal="center" vertical="center"/>
    </xf>
    <xf numFmtId="0" fontId="58" fillId="0" borderId="0" xfId="0" applyFont="1" applyFill="1" applyAlignment="1">
      <alignment/>
    </xf>
    <xf numFmtId="0" fontId="46" fillId="0" borderId="16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vertical="center" wrapText="1"/>
    </xf>
    <xf numFmtId="0" fontId="26" fillId="0" borderId="22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29" fillId="0" borderId="10" xfId="52" applyFont="1" applyFill="1" applyBorder="1" applyAlignment="1">
      <alignment vertical="center" wrapText="1"/>
      <protection/>
    </xf>
    <xf numFmtId="0" fontId="46" fillId="0" borderId="10" xfId="52" applyFont="1" applyFill="1" applyBorder="1" applyAlignment="1">
      <alignment vertical="center" wrapText="1"/>
      <protection/>
    </xf>
    <xf numFmtId="4" fontId="29" fillId="0" borderId="10" xfId="52" applyNumberFormat="1" applyFont="1" applyFill="1" applyBorder="1" applyAlignment="1">
      <alignment vertical="center"/>
      <protection/>
    </xf>
    <xf numFmtId="0" fontId="12" fillId="0" borderId="17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center" vertical="center"/>
    </xf>
    <xf numFmtId="0" fontId="29" fillId="0" borderId="13" xfId="52" applyFont="1" applyFill="1" applyBorder="1" applyAlignment="1">
      <alignment vertical="center" wrapText="1"/>
      <protection/>
    </xf>
    <xf numFmtId="4" fontId="9" fillId="0" borderId="10" xfId="52" applyNumberFormat="1" applyFont="1" applyFill="1" applyBorder="1" applyAlignment="1">
      <alignment vertical="center"/>
      <protection/>
    </xf>
    <xf numFmtId="4" fontId="29" fillId="0" borderId="10" xfId="52" applyNumberFormat="1" applyFont="1" applyFill="1" applyBorder="1" applyAlignment="1">
      <alignment vertical="center" wrapText="1"/>
      <protection/>
    </xf>
    <xf numFmtId="0" fontId="46" fillId="0" borderId="10" xfId="52" applyFont="1" applyFill="1" applyBorder="1" applyAlignment="1">
      <alignment horizontal="left" vertical="center" wrapText="1"/>
      <protection/>
    </xf>
    <xf numFmtId="0" fontId="9" fillId="0" borderId="16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" fontId="29" fillId="0" borderId="13" xfId="52" applyNumberFormat="1" applyFont="1" applyFill="1" applyBorder="1" applyAlignment="1">
      <alignment vertical="center" wrapText="1"/>
      <protection/>
    </xf>
    <xf numFmtId="4" fontId="29" fillId="0" borderId="12" xfId="52" applyNumberFormat="1" applyFont="1" applyFill="1" applyBorder="1" applyAlignment="1">
      <alignment vertical="center" wrapText="1"/>
      <protection/>
    </xf>
    <xf numFmtId="0" fontId="46" fillId="0" borderId="13" xfId="57" applyFont="1" applyFill="1" applyBorder="1" applyAlignment="1">
      <alignment horizontal="left" vertical="center" wrapText="1"/>
      <protection/>
    </xf>
    <xf numFmtId="4" fontId="9" fillId="0" borderId="13" xfId="52" applyNumberFormat="1" applyFont="1" applyFill="1" applyBorder="1" applyAlignment="1">
      <alignment vertical="center"/>
      <protection/>
    </xf>
    <xf numFmtId="4" fontId="29" fillId="0" borderId="23" xfId="52" applyNumberFormat="1" applyFont="1" applyFill="1" applyBorder="1" applyAlignment="1">
      <alignment vertical="center" wrapText="1"/>
      <protection/>
    </xf>
    <xf numFmtId="0" fontId="46" fillId="0" borderId="10" xfId="57" applyFont="1" applyFill="1" applyBorder="1" applyAlignment="1">
      <alignment horizontal="left" vertical="center" wrapText="1"/>
      <protection/>
    </xf>
    <xf numFmtId="0" fontId="29" fillId="0" borderId="10" xfId="52" applyFont="1" applyFill="1" applyBorder="1" applyAlignment="1">
      <alignment wrapText="1"/>
      <protection/>
    </xf>
    <xf numFmtId="0" fontId="26" fillId="0" borderId="0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horizontal="center" vertical="center"/>
    </xf>
    <xf numFmtId="0" fontId="46" fillId="0" borderId="14" xfId="52" applyFont="1" applyFill="1" applyBorder="1" applyAlignment="1">
      <alignment horizontal="left" vertical="center" wrapText="1"/>
      <protection/>
    </xf>
    <xf numFmtId="0" fontId="9" fillId="0" borderId="0" xfId="0" applyFont="1" applyFill="1" applyBorder="1" applyAlignment="1">
      <alignment vertical="center"/>
    </xf>
    <xf numFmtId="0" fontId="44" fillId="0" borderId="15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1" fillId="0" borderId="13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4" fontId="12" fillId="0" borderId="13" xfId="0" applyNumberFormat="1" applyFont="1" applyFill="1" applyBorder="1" applyAlignment="1">
      <alignment vertical="center"/>
    </xf>
    <xf numFmtId="4" fontId="53" fillId="0" borderId="10" xfId="0" applyNumberFormat="1" applyFont="1" applyFill="1" applyBorder="1" applyAlignment="1">
      <alignment vertical="center" wrapText="1"/>
    </xf>
    <xf numFmtId="0" fontId="46" fillId="0" borderId="13" xfId="52" applyFont="1" applyFill="1" applyBorder="1" applyAlignment="1">
      <alignment vertical="center" wrapText="1"/>
      <protection/>
    </xf>
    <xf numFmtId="4" fontId="59" fillId="0" borderId="0" xfId="0" applyNumberFormat="1" applyFont="1" applyFill="1" applyAlignment="1">
      <alignment vertical="center"/>
    </xf>
    <xf numFmtId="0" fontId="48" fillId="0" borderId="13" xfId="0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vertical="center" wrapText="1"/>
    </xf>
    <xf numFmtId="4" fontId="9" fillId="0" borderId="23" xfId="0" applyNumberFormat="1" applyFont="1" applyFill="1" applyBorder="1" applyAlignment="1">
      <alignment vertical="center" wrapText="1"/>
    </xf>
    <xf numFmtId="4" fontId="12" fillId="0" borderId="13" xfId="0" applyNumberFormat="1" applyFont="1" applyFill="1" applyBorder="1" applyAlignment="1">
      <alignment vertical="center" wrapText="1"/>
    </xf>
    <xf numFmtId="0" fontId="26" fillId="0" borderId="23" xfId="0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vertical="center"/>
    </xf>
    <xf numFmtId="0" fontId="51" fillId="0" borderId="19" xfId="0" applyFont="1" applyFill="1" applyBorder="1" applyAlignment="1">
      <alignment vertical="center" wrapText="1"/>
    </xf>
    <xf numFmtId="0" fontId="29" fillId="0" borderId="22" xfId="0" applyFont="1" applyFill="1" applyBorder="1" applyAlignment="1">
      <alignment vertical="center" wrapText="1"/>
    </xf>
    <xf numFmtId="4" fontId="29" fillId="0" borderId="20" xfId="0" applyNumberFormat="1" applyFont="1" applyFill="1" applyBorder="1" applyAlignment="1">
      <alignment vertical="center" wrapText="1"/>
    </xf>
    <xf numFmtId="4" fontId="29" fillId="0" borderId="13" xfId="0" applyNumberFormat="1" applyFont="1" applyFill="1" applyBorder="1" applyAlignment="1">
      <alignment vertical="center" wrapText="1"/>
    </xf>
    <xf numFmtId="0" fontId="46" fillId="0" borderId="19" xfId="0" applyFont="1" applyFill="1" applyBorder="1" applyAlignment="1">
      <alignment vertical="center" wrapText="1"/>
    </xf>
    <xf numFmtId="0" fontId="26" fillId="0" borderId="24" xfId="0" applyFont="1" applyFill="1" applyBorder="1" applyAlignment="1">
      <alignment horizontal="center" vertical="center"/>
    </xf>
    <xf numFmtId="0" fontId="60" fillId="0" borderId="0" xfId="0" applyFont="1" applyFill="1" applyAlignment="1">
      <alignment/>
    </xf>
    <xf numFmtId="0" fontId="61" fillId="0" borderId="10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0" fontId="12" fillId="0" borderId="19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vertical="center"/>
    </xf>
    <xf numFmtId="3" fontId="10" fillId="0" borderId="13" xfId="0" applyNumberFormat="1" applyFont="1" applyFill="1" applyBorder="1" applyAlignment="1">
      <alignment horizontal="center" vertical="center"/>
    </xf>
    <xf numFmtId="4" fontId="29" fillId="0" borderId="0" xfId="0" applyNumberFormat="1" applyFont="1" applyFill="1" applyAlignment="1">
      <alignment vertical="center"/>
    </xf>
    <xf numFmtId="4" fontId="52" fillId="0" borderId="0" xfId="0" applyNumberFormat="1" applyFont="1" applyFill="1" applyAlignment="1">
      <alignment horizontal="right"/>
    </xf>
    <xf numFmtId="4" fontId="62" fillId="0" borderId="0" xfId="0" applyNumberFormat="1" applyFont="1" applyFill="1" applyAlignment="1">
      <alignment/>
    </xf>
    <xf numFmtId="49" fontId="3" fillId="0" borderId="14" xfId="52" applyNumberFormat="1" applyFont="1" applyFill="1" applyBorder="1" applyAlignment="1">
      <alignment horizontal="center" vertical="center"/>
      <protection/>
    </xf>
    <xf numFmtId="49" fontId="3" fillId="0" borderId="21" xfId="52" applyNumberFormat="1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vertical="center"/>
    </xf>
    <xf numFmtId="4" fontId="0" fillId="0" borderId="0" xfId="0" applyNumberFormat="1" applyFill="1" applyAlignment="1">
      <alignment vertical="center"/>
    </xf>
    <xf numFmtId="4" fontId="45" fillId="0" borderId="0" xfId="0" applyNumberFormat="1" applyFont="1" applyAlignment="1">
      <alignment/>
    </xf>
    <xf numFmtId="0" fontId="63" fillId="0" borderId="0" xfId="52" applyFont="1" applyFill="1" applyAlignment="1">
      <alignment horizontal="left"/>
      <protection/>
    </xf>
    <xf numFmtId="0" fontId="63" fillId="0" borderId="0" xfId="59" applyFont="1" applyFill="1" applyAlignment="1">
      <alignment horizontal="left"/>
      <protection/>
    </xf>
    <xf numFmtId="0" fontId="64" fillId="0" borderId="0" xfId="0" applyFont="1" applyFill="1" applyAlignment="1">
      <alignment horizontal="left"/>
    </xf>
    <xf numFmtId="0" fontId="5" fillId="0" borderId="14" xfId="52" applyFont="1" applyFill="1" applyBorder="1" applyAlignment="1">
      <alignment horizontal="center" vertical="center"/>
      <protection/>
    </xf>
    <xf numFmtId="0" fontId="3" fillId="0" borderId="14" xfId="52" applyFont="1" applyFill="1" applyBorder="1" applyAlignment="1">
      <alignment horizontal="center" vertical="center"/>
      <protection/>
    </xf>
    <xf numFmtId="0" fontId="3" fillId="0" borderId="11" xfId="52" applyFont="1" applyFill="1" applyBorder="1" applyAlignment="1">
      <alignment horizontal="center" vertical="center"/>
      <protection/>
    </xf>
    <xf numFmtId="4" fontId="3" fillId="0" borderId="11" xfId="52" applyNumberFormat="1" applyFont="1" applyFill="1" applyBorder="1" applyAlignment="1">
      <alignment horizontal="right" vertical="center"/>
      <protection/>
    </xf>
    <xf numFmtId="4" fontId="22" fillId="0" borderId="0" xfId="0" applyNumberFormat="1" applyFont="1" applyFill="1" applyAlignment="1">
      <alignment vertical="center"/>
    </xf>
    <xf numFmtId="0" fontId="3" fillId="0" borderId="15" xfId="52" applyFont="1" applyFill="1" applyBorder="1" applyAlignment="1">
      <alignment horizontal="center" vertical="center"/>
      <protection/>
    </xf>
    <xf numFmtId="49" fontId="29" fillId="0" borderId="0" xfId="52" applyNumberFormat="1" applyFont="1" applyFill="1" applyBorder="1" applyAlignment="1">
      <alignment horizontal="left" vertical="center" wrapText="1"/>
      <protection/>
    </xf>
    <xf numFmtId="49" fontId="25" fillId="0" borderId="0" xfId="52" applyNumberFormat="1" applyFont="1" applyFill="1" applyBorder="1" applyAlignment="1">
      <alignment horizontal="center" vertical="center"/>
      <protection/>
    </xf>
    <xf numFmtId="49" fontId="3" fillId="0" borderId="23" xfId="52" applyNumberFormat="1" applyFont="1" applyFill="1" applyBorder="1" applyAlignment="1">
      <alignment horizontal="center" vertical="center"/>
      <protection/>
    </xf>
    <xf numFmtId="0" fontId="3" fillId="0" borderId="21" xfId="52" applyFont="1" applyFill="1" applyBorder="1" applyAlignment="1">
      <alignment horizontal="center" vertical="center"/>
      <protection/>
    </xf>
    <xf numFmtId="0" fontId="3" fillId="0" borderId="0" xfId="52" applyFont="1" applyFill="1" applyBorder="1">
      <alignment/>
      <protection/>
    </xf>
    <xf numFmtId="0" fontId="5" fillId="0" borderId="0" xfId="52" applyFont="1" applyFill="1" applyBorder="1" applyAlignment="1">
      <alignment horizontal="center"/>
      <protection/>
    </xf>
    <xf numFmtId="0" fontId="29" fillId="0" borderId="0" xfId="0" applyFont="1" applyFill="1" applyAlignment="1">
      <alignment/>
    </xf>
    <xf numFmtId="0" fontId="2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4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26" fillId="0" borderId="0" xfId="0" applyFont="1" applyFill="1" applyAlignment="1">
      <alignment horizontal="right"/>
    </xf>
    <xf numFmtId="0" fontId="9" fillId="0" borderId="13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vertical="center"/>
    </xf>
    <xf numFmtId="0" fontId="11" fillId="0" borderId="16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vertical="center"/>
    </xf>
    <xf numFmtId="0" fontId="51" fillId="0" borderId="18" xfId="0" applyFont="1" applyFill="1" applyBorder="1" applyAlignment="1">
      <alignment vertical="center"/>
    </xf>
    <xf numFmtId="4" fontId="5" fillId="0" borderId="13" xfId="0" applyNumberFormat="1" applyFont="1" applyFill="1" applyBorder="1" applyAlignment="1">
      <alignment horizontal="right" vertical="center"/>
    </xf>
    <xf numFmtId="4" fontId="34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vertical="center"/>
    </xf>
    <xf numFmtId="0" fontId="51" fillId="0" borderId="11" xfId="0" applyFont="1" applyFill="1" applyBorder="1" applyAlignment="1">
      <alignment vertical="center"/>
    </xf>
    <xf numFmtId="4" fontId="5" fillId="0" borderId="12" xfId="52" applyNumberFormat="1" applyFont="1" applyFill="1" applyBorder="1" applyAlignment="1">
      <alignment horizontal="right" vertical="center"/>
      <protection/>
    </xf>
    <xf numFmtId="4" fontId="3" fillId="0" borderId="12" xfId="52" applyNumberFormat="1" applyFont="1" applyFill="1" applyBorder="1" applyAlignment="1">
      <alignment horizontal="right" vertical="center"/>
      <protection/>
    </xf>
    <xf numFmtId="4" fontId="37" fillId="0" borderId="0" xfId="0" applyNumberFormat="1" applyFont="1" applyFill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vertical="center" wrapText="1"/>
    </xf>
    <xf numFmtId="0" fontId="29" fillId="0" borderId="18" xfId="0" applyFont="1" applyFill="1" applyBorder="1" applyAlignment="1">
      <alignment vertical="center" wrapText="1"/>
    </xf>
    <xf numFmtId="4" fontId="5" fillId="0" borderId="13" xfId="0" applyNumberFormat="1" applyFont="1" applyFill="1" applyBorder="1" applyAlignment="1">
      <alignment vertical="center"/>
    </xf>
    <xf numFmtId="4" fontId="12" fillId="0" borderId="0" xfId="0" applyNumberFormat="1" applyFont="1" applyFill="1" applyAlignment="1">
      <alignment vertical="center"/>
    </xf>
    <xf numFmtId="0" fontId="12" fillId="0" borderId="21" xfId="0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/>
    </xf>
    <xf numFmtId="4" fontId="3" fillId="0" borderId="14" xfId="0" applyNumberFormat="1" applyFont="1" applyFill="1" applyBorder="1" applyAlignment="1">
      <alignment vertical="center"/>
    </xf>
    <xf numFmtId="4" fontId="5" fillId="0" borderId="18" xfId="0" applyNumberFormat="1" applyFont="1" applyFill="1" applyBorder="1" applyAlignment="1">
      <alignment horizontal="right" vertical="center"/>
    </xf>
    <xf numFmtId="0" fontId="49" fillId="0" borderId="12" xfId="0" applyFont="1" applyFill="1" applyBorder="1" applyAlignment="1">
      <alignment horizontal="left" vertical="center"/>
    </xf>
    <xf numFmtId="0" fontId="29" fillId="0" borderId="12" xfId="0" applyFont="1" applyFill="1" applyBorder="1" applyAlignment="1">
      <alignment vertical="center"/>
    </xf>
    <xf numFmtId="4" fontId="5" fillId="0" borderId="14" xfId="0" applyNumberFormat="1" applyFont="1" applyFill="1" applyBorder="1" applyAlignment="1">
      <alignment horizontal="right" vertical="center"/>
    </xf>
    <xf numFmtId="0" fontId="12" fillId="0" borderId="18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left" vertical="center"/>
    </xf>
    <xf numFmtId="0" fontId="29" fillId="0" borderId="12" xfId="0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/>
    </xf>
    <xf numFmtId="0" fontId="49" fillId="0" borderId="14" xfId="0" applyFont="1" applyFill="1" applyBorder="1" applyAlignment="1">
      <alignment horizontal="left" vertical="center"/>
    </xf>
    <xf numFmtId="4" fontId="5" fillId="0" borderId="12" xfId="0" applyNumberFormat="1" applyFont="1" applyFill="1" applyBorder="1" applyAlignment="1">
      <alignment horizontal="right" vertical="center"/>
    </xf>
    <xf numFmtId="0" fontId="12" fillId="0" borderId="20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vertical="center" wrapText="1"/>
    </xf>
    <xf numFmtId="0" fontId="49" fillId="0" borderId="15" xfId="0" applyFont="1" applyFill="1" applyBorder="1" applyAlignment="1">
      <alignment horizontal="left" vertical="center"/>
    </xf>
    <xf numFmtId="0" fontId="29" fillId="0" borderId="18" xfId="55" applyFont="1" applyFill="1" applyBorder="1" applyAlignment="1">
      <alignment horizontal="left" vertical="center" wrapText="1"/>
      <protection/>
    </xf>
    <xf numFmtId="0" fontId="49" fillId="0" borderId="13" xfId="0" applyFont="1" applyFill="1" applyBorder="1" applyAlignment="1">
      <alignment horizontal="left" vertical="center" wrapText="1"/>
    </xf>
    <xf numFmtId="0" fontId="29" fillId="0" borderId="13" xfId="55" applyFont="1" applyFill="1" applyBorder="1" applyAlignment="1">
      <alignment horizontal="left" vertical="center" wrapText="1"/>
      <protection/>
    </xf>
    <xf numFmtId="0" fontId="49" fillId="0" borderId="14" xfId="0" applyFont="1" applyFill="1" applyBorder="1" applyAlignment="1">
      <alignment horizontal="left" vertical="center" wrapText="1"/>
    </xf>
    <xf numFmtId="0" fontId="29" fillId="0" borderId="13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2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/>
    </xf>
    <xf numFmtId="49" fontId="29" fillId="0" borderId="13" xfId="52" applyNumberFormat="1" applyFont="1" applyFill="1" applyBorder="1" applyAlignment="1">
      <alignment horizontal="left" vertical="center" wrapText="1"/>
      <protection/>
    </xf>
    <xf numFmtId="4" fontId="3" fillId="0" borderId="13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 wrapText="1"/>
    </xf>
    <xf numFmtId="0" fontId="29" fillId="0" borderId="17" xfId="0" applyFont="1" applyFill="1" applyBorder="1" applyAlignment="1">
      <alignment vertical="center" wrapText="1"/>
    </xf>
    <xf numFmtId="0" fontId="29" fillId="0" borderId="14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right" vertical="center"/>
    </xf>
    <xf numFmtId="0" fontId="66" fillId="0" borderId="0" xfId="0" applyFont="1" applyFill="1" applyAlignment="1">
      <alignment vertical="center"/>
    </xf>
    <xf numFmtId="0" fontId="9" fillId="0" borderId="16" xfId="0" applyFont="1" applyFill="1" applyBorder="1" applyAlignment="1">
      <alignment vertical="center"/>
    </xf>
    <xf numFmtId="0" fontId="29" fillId="0" borderId="13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1" fillId="0" borderId="11" xfId="0" applyFont="1" applyFill="1" applyBorder="1" applyAlignment="1">
      <alignment horizontal="left" vertical="center" wrapText="1"/>
    </xf>
    <xf numFmtId="4" fontId="67" fillId="0" borderId="0" xfId="0" applyNumberFormat="1" applyFont="1" applyFill="1" applyAlignment="1">
      <alignment vertical="center"/>
    </xf>
    <xf numFmtId="0" fontId="4" fillId="0" borderId="16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left" vertical="center" wrapText="1"/>
    </xf>
    <xf numFmtId="4" fontId="13" fillId="0" borderId="12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vertical="center" wrapText="1"/>
    </xf>
    <xf numFmtId="0" fontId="54" fillId="0" borderId="20" xfId="0" applyFont="1" applyFill="1" applyBorder="1" applyAlignment="1">
      <alignment horizontal="left" vertical="center"/>
    </xf>
    <xf numFmtId="0" fontId="29" fillId="0" borderId="13" xfId="0" applyFont="1" applyFill="1" applyBorder="1" applyAlignment="1">
      <alignment vertical="center"/>
    </xf>
    <xf numFmtId="0" fontId="54" fillId="0" borderId="16" xfId="0" applyFont="1" applyFill="1" applyBorder="1" applyAlignment="1">
      <alignment horizontal="left" vertical="center"/>
    </xf>
    <xf numFmtId="0" fontId="29" fillId="0" borderId="13" xfId="0" applyFont="1" applyFill="1" applyBorder="1" applyAlignment="1">
      <alignment vertical="center" wrapText="1"/>
    </xf>
    <xf numFmtId="0" fontId="29" fillId="0" borderId="13" xfId="0" applyFont="1" applyFill="1" applyBorder="1" applyAlignment="1">
      <alignment vertical="center"/>
    </xf>
    <xf numFmtId="0" fontId="29" fillId="0" borderId="0" xfId="0" applyFont="1" applyFill="1" applyAlignment="1">
      <alignment horizontal="left" vertical="center" wrapText="1"/>
    </xf>
    <xf numFmtId="0" fontId="54" fillId="0" borderId="23" xfId="0" applyFont="1" applyFill="1" applyBorder="1" applyAlignment="1">
      <alignment horizontal="left" vertical="center"/>
    </xf>
    <xf numFmtId="0" fontId="54" fillId="0" borderId="12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vertical="center"/>
    </xf>
    <xf numFmtId="0" fontId="29" fillId="0" borderId="18" xfId="0" applyFont="1" applyFill="1" applyBorder="1" applyAlignment="1">
      <alignment horizontal="left" vertical="center" wrapText="1"/>
    </xf>
    <xf numFmtId="0" fontId="45" fillId="0" borderId="0" xfId="0" applyFont="1" applyFill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vertical="center"/>
    </xf>
    <xf numFmtId="0" fontId="54" fillId="0" borderId="13" xfId="0" applyFont="1" applyFill="1" applyBorder="1" applyAlignment="1">
      <alignment horizontal="left" vertical="center"/>
    </xf>
    <xf numFmtId="0" fontId="54" fillId="0" borderId="1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1" fillId="0" borderId="0" xfId="0" applyFont="1" applyFill="1" applyAlignment="1">
      <alignment vertical="center"/>
    </xf>
    <xf numFmtId="4" fontId="13" fillId="0" borderId="13" xfId="0" applyNumberFormat="1" applyFont="1" applyFill="1" applyBorder="1" applyAlignment="1">
      <alignment horizontal="right" vertical="center"/>
    </xf>
    <xf numFmtId="0" fontId="49" fillId="0" borderId="15" xfId="0" applyFont="1" applyFill="1" applyBorder="1" applyAlignment="1">
      <alignment vertical="center"/>
    </xf>
    <xf numFmtId="0" fontId="49" fillId="0" borderId="14" xfId="0" applyFont="1" applyFill="1" applyBorder="1" applyAlignment="1">
      <alignment vertical="center"/>
    </xf>
    <xf numFmtId="0" fontId="29" fillId="0" borderId="17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vertical="center"/>
    </xf>
    <xf numFmtId="0" fontId="49" fillId="0" borderId="13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4" fontId="11" fillId="0" borderId="13" xfId="0" applyNumberFormat="1" applyFont="1" applyFill="1" applyBorder="1" applyAlignment="1">
      <alignment horizontal="right" vertical="center"/>
    </xf>
    <xf numFmtId="4" fontId="3" fillId="33" borderId="13" xfId="0" applyNumberFormat="1" applyFont="1" applyFill="1" applyBorder="1" applyAlignment="1">
      <alignment vertical="center"/>
    </xf>
    <xf numFmtId="0" fontId="9" fillId="0" borderId="0" xfId="58" applyFont="1" applyFill="1">
      <alignment/>
      <protection/>
    </xf>
    <xf numFmtId="0" fontId="9" fillId="0" borderId="0" xfId="0" applyFont="1" applyFill="1" applyBorder="1" applyAlignment="1">
      <alignment/>
    </xf>
    <xf numFmtId="0" fontId="9" fillId="0" borderId="0" xfId="58" applyFont="1" applyFill="1" applyBorder="1">
      <alignment/>
      <protection/>
    </xf>
    <xf numFmtId="0" fontId="29" fillId="0" borderId="0" xfId="58" applyFont="1" applyFill="1">
      <alignment/>
      <protection/>
    </xf>
    <xf numFmtId="4" fontId="2" fillId="0" borderId="0" xfId="58" applyNumberFormat="1" applyFont="1" applyFill="1">
      <alignment/>
      <protection/>
    </xf>
    <xf numFmtId="0" fontId="59" fillId="0" borderId="0" xfId="53" applyFont="1" applyFill="1">
      <alignment/>
      <protection/>
    </xf>
    <xf numFmtId="0" fontId="9" fillId="0" borderId="0" xfId="58" applyFont="1" applyFill="1" applyAlignment="1">
      <alignment horizontal="center"/>
      <protection/>
    </xf>
    <xf numFmtId="0" fontId="9" fillId="0" borderId="0" xfId="53" applyFont="1" applyFill="1" applyBorder="1">
      <alignment/>
      <protection/>
    </xf>
    <xf numFmtId="0" fontId="29" fillId="0" borderId="0" xfId="53" applyFont="1" applyFill="1">
      <alignment/>
      <protection/>
    </xf>
    <xf numFmtId="0" fontId="2" fillId="0" borderId="0" xfId="53" applyFont="1" applyFill="1" applyAlignment="1">
      <alignment horizontal="center"/>
      <protection/>
    </xf>
    <xf numFmtId="0" fontId="26" fillId="0" borderId="0" xfId="53" applyFont="1" applyFill="1" applyAlignment="1">
      <alignment horizontal="center"/>
      <protection/>
    </xf>
    <xf numFmtId="0" fontId="9" fillId="0" borderId="14" xfId="58" applyFont="1" applyFill="1" applyBorder="1" applyAlignment="1">
      <alignment horizontal="center"/>
      <protection/>
    </xf>
    <xf numFmtId="0" fontId="9" fillId="0" borderId="14" xfId="53" applyFont="1" applyFill="1" applyBorder="1">
      <alignment/>
      <protection/>
    </xf>
    <xf numFmtId="0" fontId="9" fillId="0" borderId="14" xfId="53" applyFont="1" applyFill="1" applyBorder="1" applyAlignment="1">
      <alignment horizontal="center"/>
      <protection/>
    </xf>
    <xf numFmtId="0" fontId="3" fillId="0" borderId="10" xfId="53" applyFont="1" applyFill="1" applyBorder="1" applyAlignment="1">
      <alignment vertical="center"/>
      <protection/>
    </xf>
    <xf numFmtId="0" fontId="3" fillId="0" borderId="11" xfId="53" applyFont="1" applyFill="1" applyBorder="1" applyAlignment="1">
      <alignment vertical="center"/>
      <protection/>
    </xf>
    <xf numFmtId="0" fontId="9" fillId="0" borderId="12" xfId="58" applyFont="1" applyFill="1" applyBorder="1" applyAlignment="1">
      <alignment horizontal="center" vertical="top"/>
      <protection/>
    </xf>
    <xf numFmtId="0" fontId="3" fillId="0" borderId="12" xfId="53" applyFont="1" applyFill="1" applyBorder="1" applyAlignment="1">
      <alignment horizontal="center" vertical="top" wrapText="1"/>
      <protection/>
    </xf>
    <xf numFmtId="0" fontId="46" fillId="0" borderId="12" xfId="53" applyFont="1" applyFill="1" applyBorder="1" applyAlignment="1">
      <alignment horizontal="center" vertical="top" wrapText="1"/>
      <protection/>
    </xf>
    <xf numFmtId="0" fontId="46" fillId="0" borderId="13" xfId="53" applyFont="1" applyFill="1" applyBorder="1" applyAlignment="1">
      <alignment horizontal="center" vertical="top" wrapText="1"/>
      <protection/>
    </xf>
    <xf numFmtId="0" fontId="46" fillId="0" borderId="13" xfId="53" applyFont="1" applyFill="1" applyBorder="1" applyAlignment="1">
      <alignment horizontal="center" vertical="center" wrapText="1"/>
      <protection/>
    </xf>
    <xf numFmtId="0" fontId="9" fillId="0" borderId="0" xfId="53" applyFont="1" applyFill="1" applyBorder="1" applyAlignment="1">
      <alignment horizontal="center" vertical="top" wrapText="1"/>
      <protection/>
    </xf>
    <xf numFmtId="4" fontId="25" fillId="0" borderId="0" xfId="53" applyNumberFormat="1" applyFont="1" applyFill="1" applyBorder="1" applyAlignment="1">
      <alignment horizontal="right" vertical="center" wrapText="1"/>
      <protection/>
    </xf>
    <xf numFmtId="0" fontId="9" fillId="0" borderId="0" xfId="53" applyFont="1" applyFill="1" applyBorder="1" applyAlignment="1">
      <alignment horizontal="center" vertical="center" wrapText="1"/>
      <protection/>
    </xf>
    <xf numFmtId="0" fontId="29" fillId="0" borderId="0" xfId="53" applyFont="1" applyFill="1" applyAlignment="1">
      <alignment horizontal="center" vertical="center" wrapText="1"/>
      <protection/>
    </xf>
    <xf numFmtId="4" fontId="2" fillId="0" borderId="0" xfId="58" applyNumberFormat="1" applyFont="1" applyFill="1" applyAlignment="1">
      <alignment vertical="top"/>
      <protection/>
    </xf>
    <xf numFmtId="4" fontId="2" fillId="0" borderId="0" xfId="0" applyNumberFormat="1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68" fillId="0" borderId="10" xfId="58" applyFont="1" applyFill="1" applyBorder="1" applyAlignment="1">
      <alignment horizontal="left" vertical="top"/>
      <protection/>
    </xf>
    <xf numFmtId="0" fontId="9" fillId="0" borderId="19" xfId="53" applyFont="1" applyFill="1" applyBorder="1" applyAlignment="1">
      <alignment horizontal="center" vertical="top" wrapText="1"/>
      <protection/>
    </xf>
    <xf numFmtId="0" fontId="46" fillId="0" borderId="19" xfId="53" applyFont="1" applyFill="1" applyBorder="1" applyAlignment="1">
      <alignment horizontal="center" vertical="top" wrapText="1"/>
      <protection/>
    </xf>
    <xf numFmtId="4" fontId="5" fillId="0" borderId="13" xfId="53" applyNumberFormat="1" applyFont="1" applyFill="1" applyBorder="1" applyAlignment="1">
      <alignment horizontal="right" vertical="center" wrapText="1"/>
      <protection/>
    </xf>
    <xf numFmtId="0" fontId="12" fillId="0" borderId="15" xfId="58" applyFont="1" applyFill="1" applyBorder="1" applyAlignment="1">
      <alignment horizontal="center" vertical="center"/>
      <protection/>
    </xf>
    <xf numFmtId="0" fontId="12" fillId="0" borderId="11" xfId="53" applyFont="1" applyFill="1" applyBorder="1" applyAlignment="1">
      <alignment vertical="center" wrapText="1"/>
      <protection/>
    </xf>
    <xf numFmtId="0" fontId="9" fillId="0" borderId="10" xfId="53" applyFont="1" applyFill="1" applyBorder="1" applyAlignment="1">
      <alignment vertical="center" wrapText="1"/>
      <protection/>
    </xf>
    <xf numFmtId="0" fontId="46" fillId="0" borderId="14" xfId="0" applyFont="1" applyFill="1" applyBorder="1" applyAlignment="1">
      <alignment vertical="center"/>
    </xf>
    <xf numFmtId="4" fontId="3" fillId="0" borderId="18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2" fillId="0" borderId="0" xfId="0" applyNumberFormat="1" applyFont="1" applyFill="1" applyAlignment="1">
      <alignment vertical="center"/>
    </xf>
    <xf numFmtId="0" fontId="9" fillId="0" borderId="15" xfId="58" applyFont="1" applyFill="1" applyBorder="1" applyAlignment="1">
      <alignment horizontal="center" vertical="center"/>
      <protection/>
    </xf>
    <xf numFmtId="0" fontId="49" fillId="0" borderId="11" xfId="0" applyFont="1" applyFill="1" applyBorder="1" applyAlignment="1">
      <alignment vertical="center" wrapText="1"/>
    </xf>
    <xf numFmtId="4" fontId="9" fillId="0" borderId="20" xfId="58" applyNumberFormat="1" applyFont="1" applyFill="1" applyBorder="1" applyAlignment="1">
      <alignment vertical="center"/>
      <protection/>
    </xf>
    <xf numFmtId="0" fontId="46" fillId="0" borderId="15" xfId="0" applyFont="1" applyFill="1" applyBorder="1" applyAlignment="1">
      <alignment vertical="center"/>
    </xf>
    <xf numFmtId="4" fontId="3" fillId="0" borderId="21" xfId="0" applyNumberFormat="1" applyFont="1" applyFill="1" applyBorder="1" applyAlignment="1">
      <alignment vertical="center"/>
    </xf>
    <xf numFmtId="4" fontId="70" fillId="0" borderId="0" xfId="0" applyNumberFormat="1" applyFont="1" applyFill="1" applyBorder="1" applyAlignment="1">
      <alignment vertical="center"/>
    </xf>
    <xf numFmtId="4" fontId="9" fillId="0" borderId="16" xfId="58" applyNumberFormat="1" applyFont="1" applyFill="1" applyBorder="1" applyAlignment="1">
      <alignment vertical="center"/>
      <protection/>
    </xf>
    <xf numFmtId="0" fontId="46" fillId="0" borderId="12" xfId="0" applyFont="1" applyFill="1" applyBorder="1" applyAlignment="1">
      <alignment vertical="center"/>
    </xf>
    <xf numFmtId="0" fontId="12" fillId="0" borderId="14" xfId="58" applyFont="1" applyFill="1" applyBorder="1" applyAlignment="1">
      <alignment horizontal="center" vertical="center"/>
      <protection/>
    </xf>
    <xf numFmtId="0" fontId="9" fillId="0" borderId="20" xfId="0" applyFont="1" applyFill="1" applyBorder="1" applyAlignment="1">
      <alignment vertical="center" wrapText="1"/>
    </xf>
    <xf numFmtId="0" fontId="46" fillId="0" borderId="16" xfId="0" applyFont="1" applyFill="1" applyBorder="1" applyAlignment="1">
      <alignment vertical="center"/>
    </xf>
    <xf numFmtId="4" fontId="25" fillId="0" borderId="0" xfId="53" applyNumberFormat="1" applyFont="1" applyFill="1" applyBorder="1" applyAlignment="1">
      <alignment horizontal="right" vertical="top" wrapText="1"/>
      <protection/>
    </xf>
    <xf numFmtId="0" fontId="9" fillId="0" borderId="24" xfId="58" applyFont="1" applyFill="1" applyBorder="1" applyAlignment="1">
      <alignment vertical="center" wrapText="1"/>
      <protection/>
    </xf>
    <xf numFmtId="4" fontId="9" fillId="0" borderId="14" xfId="58" applyNumberFormat="1" applyFont="1" applyFill="1" applyBorder="1" applyAlignment="1">
      <alignment vertical="center"/>
      <protection/>
    </xf>
    <xf numFmtId="0" fontId="9" fillId="0" borderId="12" xfId="58" applyFont="1" applyFill="1" applyBorder="1" applyAlignment="1">
      <alignment horizontal="center" vertical="center"/>
      <protection/>
    </xf>
    <xf numFmtId="0" fontId="9" fillId="0" borderId="19" xfId="58" applyFont="1" applyFill="1" applyBorder="1" applyAlignment="1">
      <alignment vertical="center" wrapText="1"/>
      <protection/>
    </xf>
    <xf numFmtId="4" fontId="9" fillId="0" borderId="12" xfId="58" applyNumberFormat="1" applyFont="1" applyFill="1" applyBorder="1" applyAlignment="1">
      <alignment vertical="center"/>
      <protection/>
    </xf>
    <xf numFmtId="0" fontId="46" fillId="0" borderId="23" xfId="0" applyFont="1" applyFill="1" applyBorder="1" applyAlignment="1">
      <alignment vertical="center"/>
    </xf>
    <xf numFmtId="4" fontId="3" fillId="0" borderId="0" xfId="53" applyNumberFormat="1" applyFont="1" applyFill="1" applyBorder="1" applyAlignment="1">
      <alignment horizontal="right" vertical="top" wrapText="1"/>
      <protection/>
    </xf>
    <xf numFmtId="4" fontId="29" fillId="0" borderId="0" xfId="0" applyNumberFormat="1" applyFont="1" applyFill="1" applyBorder="1" applyAlignment="1">
      <alignment vertical="center"/>
    </xf>
    <xf numFmtId="0" fontId="9" fillId="0" borderId="13" xfId="53" applyFont="1" applyFill="1" applyBorder="1" applyAlignment="1">
      <alignment vertical="center" wrapText="1"/>
      <protection/>
    </xf>
    <xf numFmtId="0" fontId="46" fillId="0" borderId="20" xfId="0" applyFont="1" applyFill="1" applyBorder="1" applyAlignment="1">
      <alignment vertical="center"/>
    </xf>
    <xf numFmtId="4" fontId="3" fillId="0" borderId="14" xfId="53" applyNumberFormat="1" applyFont="1" applyFill="1" applyBorder="1" applyAlignment="1">
      <alignment horizontal="center" vertical="center" wrapText="1"/>
      <protection/>
    </xf>
    <xf numFmtId="4" fontId="3" fillId="0" borderId="18" xfId="53" applyNumberFormat="1" applyFont="1" applyFill="1" applyBorder="1" applyAlignment="1">
      <alignment horizontal="right" vertical="center" wrapText="1"/>
      <protection/>
    </xf>
    <xf numFmtId="4" fontId="3" fillId="0" borderId="0" xfId="53" applyNumberFormat="1" applyFont="1" applyFill="1" applyBorder="1" applyAlignment="1">
      <alignment horizontal="center" vertical="center" wrapText="1"/>
      <protection/>
    </xf>
    <xf numFmtId="4" fontId="29" fillId="0" borderId="0" xfId="53" applyNumberFormat="1" applyFont="1" applyFill="1" applyAlignment="1">
      <alignment horizontal="center" vertical="center" wrapText="1"/>
      <protection/>
    </xf>
    <xf numFmtId="4" fontId="9" fillId="0" borderId="0" xfId="53" applyNumberFormat="1" applyFont="1" applyFill="1" applyAlignment="1">
      <alignment horizontal="center" vertical="center" wrapText="1"/>
      <protection/>
    </xf>
    <xf numFmtId="0" fontId="9" fillId="0" borderId="0" xfId="58" applyFont="1" applyFill="1" applyAlignment="1">
      <alignment vertical="center"/>
      <protection/>
    </xf>
    <xf numFmtId="4" fontId="3" fillId="0" borderId="15" xfId="53" applyNumberFormat="1" applyFont="1" applyFill="1" applyBorder="1" applyAlignment="1">
      <alignment horizontal="center" vertical="center" wrapText="1"/>
      <protection/>
    </xf>
    <xf numFmtId="4" fontId="3" fillId="0" borderId="21" xfId="53" applyNumberFormat="1" applyFont="1" applyFill="1" applyBorder="1" applyAlignment="1">
      <alignment horizontal="right" vertical="center" wrapText="1"/>
      <protection/>
    </xf>
    <xf numFmtId="4" fontId="3" fillId="0" borderId="12" xfId="53" applyNumberFormat="1" applyFont="1" applyFill="1" applyBorder="1" applyAlignment="1">
      <alignment horizontal="center" vertical="center" wrapText="1"/>
      <protection/>
    </xf>
    <xf numFmtId="4" fontId="3" fillId="0" borderId="17" xfId="53" applyNumberFormat="1" applyFont="1" applyFill="1" applyBorder="1" applyAlignment="1">
      <alignment horizontal="right" vertical="center" wrapText="1"/>
      <protection/>
    </xf>
    <xf numFmtId="4" fontId="9" fillId="0" borderId="13" xfId="58" applyNumberFormat="1" applyFont="1" applyFill="1" applyBorder="1" applyAlignment="1">
      <alignment vertical="center" wrapText="1"/>
      <protection/>
    </xf>
    <xf numFmtId="4" fontId="3" fillId="0" borderId="20" xfId="53" applyNumberFormat="1" applyFont="1" applyFill="1" applyBorder="1" applyAlignment="1">
      <alignment horizontal="center" vertical="center" wrapText="1"/>
      <protection/>
    </xf>
    <xf numFmtId="0" fontId="9" fillId="0" borderId="19" xfId="0" applyFont="1" applyFill="1" applyBorder="1" applyAlignment="1">
      <alignment vertical="center" wrapText="1"/>
    </xf>
    <xf numFmtId="4" fontId="3" fillId="0" borderId="16" xfId="53" applyNumberFormat="1" applyFont="1" applyFill="1" applyBorder="1" applyAlignment="1">
      <alignment horizontal="center" vertical="center" wrapText="1"/>
      <protection/>
    </xf>
    <xf numFmtId="4" fontId="9" fillId="0" borderId="23" xfId="58" applyNumberFormat="1" applyFont="1" applyFill="1" applyBorder="1" applyAlignment="1">
      <alignment vertical="center"/>
      <protection/>
    </xf>
    <xf numFmtId="4" fontId="9" fillId="0" borderId="0" xfId="58" applyNumberFormat="1" applyFont="1" applyFill="1" applyBorder="1" applyAlignment="1">
      <alignment vertical="center" wrapText="1"/>
      <protection/>
    </xf>
    <xf numFmtId="0" fontId="9" fillId="0" borderId="16" xfId="53" applyFont="1" applyFill="1" applyBorder="1" applyAlignment="1">
      <alignment vertical="center" wrapText="1"/>
      <protection/>
    </xf>
    <xf numFmtId="0" fontId="46" fillId="0" borderId="14" xfId="53" applyFont="1" applyFill="1" applyBorder="1" applyAlignment="1">
      <alignment horizontal="center" vertical="center"/>
      <protection/>
    </xf>
    <xf numFmtId="0" fontId="46" fillId="0" borderId="15" xfId="53" applyFont="1" applyFill="1" applyBorder="1" applyAlignment="1">
      <alignment horizontal="center" vertical="center"/>
      <protection/>
    </xf>
    <xf numFmtId="4" fontId="3" fillId="0" borderId="15" xfId="53" applyNumberFormat="1" applyFont="1" applyFill="1" applyBorder="1" applyAlignment="1">
      <alignment horizontal="right" vertical="center" wrapText="1"/>
      <protection/>
    </xf>
    <xf numFmtId="0" fontId="9" fillId="0" borderId="22" xfId="0" applyFont="1" applyFill="1" applyBorder="1" applyAlignment="1">
      <alignment vertical="center" wrapText="1"/>
    </xf>
    <xf numFmtId="4" fontId="9" fillId="0" borderId="20" xfId="58" applyNumberFormat="1" applyFont="1" applyFill="1" applyBorder="1" applyAlignment="1">
      <alignment vertical="center" wrapText="1"/>
      <protection/>
    </xf>
    <xf numFmtId="4" fontId="3" fillId="0" borderId="18" xfId="53" applyNumberFormat="1" applyFont="1" applyFill="1" applyBorder="1" applyAlignment="1">
      <alignment horizontal="center" vertical="center" wrapText="1"/>
      <protection/>
    </xf>
    <xf numFmtId="4" fontId="3" fillId="0" borderId="21" xfId="53" applyNumberFormat="1" applyFont="1" applyFill="1" applyBorder="1" applyAlignment="1">
      <alignment horizontal="center" vertical="center" wrapText="1"/>
      <protection/>
    </xf>
    <xf numFmtId="4" fontId="3" fillId="0" borderId="17" xfId="53" applyNumberFormat="1" applyFont="1" applyFill="1" applyBorder="1" applyAlignment="1">
      <alignment horizontal="center" vertical="center" wrapText="1"/>
      <protection/>
    </xf>
    <xf numFmtId="0" fontId="9" fillId="0" borderId="12" xfId="53" applyFont="1" applyFill="1" applyBorder="1" applyAlignment="1">
      <alignment vertical="center" wrapText="1"/>
      <protection/>
    </xf>
    <xf numFmtId="0" fontId="9" fillId="0" borderId="10" xfId="0" applyFont="1" applyFill="1" applyBorder="1" applyAlignment="1">
      <alignment vertical="center" wrapText="1"/>
    </xf>
    <xf numFmtId="0" fontId="46" fillId="0" borderId="21" xfId="0" applyFont="1" applyFill="1" applyBorder="1" applyAlignment="1">
      <alignment vertical="center"/>
    </xf>
    <xf numFmtId="0" fontId="46" fillId="0" borderId="17" xfId="0" applyFont="1" applyFill="1" applyBorder="1" applyAlignment="1">
      <alignment vertical="center"/>
    </xf>
    <xf numFmtId="0" fontId="5" fillId="0" borderId="0" xfId="0" applyFont="1" applyFill="1" applyAlignment="1">
      <alignment vertical="center" wrapText="1"/>
    </xf>
    <xf numFmtId="4" fontId="11" fillId="0" borderId="0" xfId="0" applyNumberFormat="1" applyFont="1" applyFill="1" applyBorder="1" applyAlignment="1">
      <alignment vertical="center"/>
    </xf>
    <xf numFmtId="0" fontId="9" fillId="0" borderId="20" xfId="53" applyFont="1" applyFill="1" applyBorder="1" applyAlignment="1">
      <alignment vertical="center" wrapText="1"/>
      <protection/>
    </xf>
    <xf numFmtId="0" fontId="4" fillId="0" borderId="10" xfId="58" applyFont="1" applyFill="1" applyBorder="1" applyAlignment="1">
      <alignment horizontal="left" vertical="center"/>
      <protection/>
    </xf>
    <xf numFmtId="0" fontId="29" fillId="0" borderId="19" xfId="0" applyFont="1" applyFill="1" applyBorder="1" applyAlignment="1">
      <alignment vertical="center" wrapText="1"/>
    </xf>
    <xf numFmtId="4" fontId="27" fillId="0" borderId="0" xfId="0" applyNumberFormat="1" applyFont="1" applyFill="1" applyBorder="1" applyAlignment="1">
      <alignment vertical="center"/>
    </xf>
    <xf numFmtId="4" fontId="71" fillId="0" borderId="0" xfId="0" applyNumberFormat="1" applyFont="1" applyFill="1" applyAlignment="1">
      <alignment/>
    </xf>
    <xf numFmtId="4" fontId="46" fillId="0" borderId="14" xfId="53" applyNumberFormat="1" applyFont="1" applyFill="1" applyBorder="1" applyAlignment="1">
      <alignment horizontal="center" vertical="center"/>
      <protection/>
    </xf>
    <xf numFmtId="4" fontId="3" fillId="0" borderId="14" xfId="53" applyNumberFormat="1" applyFont="1" applyFill="1" applyBorder="1" applyAlignment="1">
      <alignment vertical="center"/>
      <protection/>
    </xf>
    <xf numFmtId="4" fontId="31" fillId="0" borderId="0" xfId="53" applyNumberFormat="1" applyFont="1" applyFill="1" applyBorder="1" applyAlignment="1">
      <alignment horizontal="right" vertical="center" wrapText="1"/>
      <protection/>
    </xf>
    <xf numFmtId="0" fontId="9" fillId="0" borderId="11" xfId="58" applyFont="1" applyFill="1" applyBorder="1" applyAlignment="1">
      <alignment vertical="center" wrapText="1"/>
      <protection/>
    </xf>
    <xf numFmtId="0" fontId="9" fillId="0" borderId="14" xfId="0" applyFont="1" applyFill="1" applyBorder="1" applyAlignment="1">
      <alignment/>
    </xf>
    <xf numFmtId="4" fontId="46" fillId="0" borderId="21" xfId="58" applyNumberFormat="1" applyFont="1" applyFill="1" applyBorder="1" applyAlignment="1">
      <alignment horizontal="center" vertical="center"/>
      <protection/>
    </xf>
    <xf numFmtId="0" fontId="3" fillId="0" borderId="15" xfId="58" applyFont="1" applyFill="1" applyBorder="1" applyAlignment="1">
      <alignment vertical="center"/>
      <protection/>
    </xf>
    <xf numFmtId="4" fontId="3" fillId="0" borderId="15" xfId="58" applyNumberFormat="1" applyFont="1" applyFill="1" applyBorder="1" applyAlignment="1">
      <alignment vertical="center"/>
      <protection/>
    </xf>
    <xf numFmtId="4" fontId="3" fillId="0" borderId="0" xfId="53" applyNumberFormat="1" applyFont="1" applyFill="1" applyBorder="1" applyAlignment="1">
      <alignment horizontal="right" vertical="center" wrapText="1"/>
      <protection/>
    </xf>
    <xf numFmtId="0" fontId="29" fillId="0" borderId="17" xfId="58" applyFont="1" applyFill="1" applyBorder="1" applyAlignment="1">
      <alignment vertical="center" wrapText="1"/>
      <protection/>
    </xf>
    <xf numFmtId="0" fontId="9" fillId="0" borderId="12" xfId="0" applyFont="1" applyFill="1" applyBorder="1" applyAlignment="1">
      <alignment/>
    </xf>
    <xf numFmtId="0" fontId="46" fillId="0" borderId="17" xfId="53" applyFont="1" applyFill="1" applyBorder="1" applyAlignment="1">
      <alignment horizontal="center" vertical="center"/>
      <protection/>
    </xf>
    <xf numFmtId="4" fontId="3" fillId="0" borderId="12" xfId="58" applyNumberFormat="1" applyFont="1" applyFill="1" applyBorder="1" applyAlignment="1">
      <alignment vertical="center" wrapText="1"/>
      <protection/>
    </xf>
    <xf numFmtId="4" fontId="3" fillId="0" borderId="12" xfId="58" applyNumberFormat="1" applyFont="1" applyFill="1" applyBorder="1" applyAlignment="1">
      <alignment vertical="center"/>
      <protection/>
    </xf>
    <xf numFmtId="2" fontId="9" fillId="0" borderId="13" xfId="0" applyNumberFormat="1" applyFont="1" applyFill="1" applyBorder="1" applyAlignment="1">
      <alignment vertical="center" wrapText="1"/>
    </xf>
    <xf numFmtId="0" fontId="46" fillId="0" borderId="14" xfId="0" applyFont="1" applyFill="1" applyBorder="1" applyAlignment="1">
      <alignment horizontal="center" vertical="center" wrapText="1"/>
    </xf>
    <xf numFmtId="4" fontId="20" fillId="0" borderId="14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37" fillId="0" borderId="15" xfId="0" applyFont="1" applyFill="1" applyBorder="1" applyAlignment="1">
      <alignment vertical="center" wrapText="1"/>
    </xf>
    <xf numFmtId="4" fontId="3" fillId="0" borderId="15" xfId="0" applyNumberFormat="1" applyFont="1" applyFill="1" applyBorder="1" applyAlignment="1">
      <alignment vertical="center"/>
    </xf>
    <xf numFmtId="4" fontId="20" fillId="0" borderId="15" xfId="0" applyNumberFormat="1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/>
    </xf>
    <xf numFmtId="0" fontId="9" fillId="0" borderId="13" xfId="58" applyFont="1" applyFill="1" applyBorder="1" applyAlignment="1">
      <alignment vertical="center" wrapText="1"/>
      <protection/>
    </xf>
    <xf numFmtId="0" fontId="9" fillId="0" borderId="12" xfId="0" applyFont="1" applyFill="1" applyBorder="1" applyAlignment="1">
      <alignment vertical="center"/>
    </xf>
    <xf numFmtId="0" fontId="37" fillId="0" borderId="12" xfId="0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/>
    </xf>
    <xf numFmtId="0" fontId="9" fillId="0" borderId="14" xfId="53" applyFont="1" applyFill="1" applyBorder="1" applyAlignment="1">
      <alignment vertical="center" wrapText="1"/>
      <protection/>
    </xf>
    <xf numFmtId="4" fontId="3" fillId="0" borderId="15" xfId="58" applyNumberFormat="1" applyFont="1" applyFill="1" applyBorder="1" applyAlignment="1">
      <alignment vertical="center" wrapText="1"/>
      <protection/>
    </xf>
    <xf numFmtId="4" fontId="29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/>
    </xf>
    <xf numFmtId="0" fontId="9" fillId="0" borderId="15" xfId="0" applyFont="1" applyFill="1" applyBorder="1" applyAlignment="1">
      <alignment/>
    </xf>
    <xf numFmtId="4" fontId="25" fillId="0" borderId="0" xfId="0" applyNumberFormat="1" applyFont="1" applyFill="1" applyBorder="1" applyAlignment="1">
      <alignment/>
    </xf>
    <xf numFmtId="4" fontId="31" fillId="0" borderId="0" xfId="0" applyNumberFormat="1" applyFont="1" applyFill="1" applyAlignment="1">
      <alignment/>
    </xf>
    <xf numFmtId="0" fontId="37" fillId="0" borderId="0" xfId="0" applyFont="1" applyFill="1" applyAlignment="1">
      <alignment wrapText="1"/>
    </xf>
    <xf numFmtId="4" fontId="72" fillId="0" borderId="0" xfId="0" applyNumberFormat="1" applyFont="1" applyFill="1" applyAlignment="1">
      <alignment/>
    </xf>
    <xf numFmtId="0" fontId="73" fillId="0" borderId="0" xfId="0" applyFont="1" applyFill="1" applyAlignment="1">
      <alignment/>
    </xf>
    <xf numFmtId="0" fontId="20" fillId="0" borderId="0" xfId="0" applyFont="1" applyFill="1" applyAlignment="1">
      <alignment/>
    </xf>
    <xf numFmtId="4" fontId="9" fillId="0" borderId="24" xfId="58" applyNumberFormat="1" applyFont="1" applyFill="1" applyBorder="1" applyAlignment="1">
      <alignment vertical="center"/>
      <protection/>
    </xf>
    <xf numFmtId="0" fontId="46" fillId="0" borderId="24" xfId="0" applyFont="1" applyFill="1" applyBorder="1" applyAlignment="1">
      <alignment vertical="center"/>
    </xf>
    <xf numFmtId="4" fontId="5" fillId="0" borderId="12" xfId="0" applyNumberFormat="1" applyFont="1" applyFill="1" applyBorder="1" applyAlignment="1">
      <alignment vertical="center"/>
    </xf>
    <xf numFmtId="4" fontId="3" fillId="33" borderId="16" xfId="53" applyNumberFormat="1" applyFont="1" applyFill="1" applyBorder="1" applyAlignment="1">
      <alignment horizontal="center" vertical="center" wrapText="1"/>
      <protection/>
    </xf>
    <xf numFmtId="4" fontId="3" fillId="33" borderId="15" xfId="53" applyNumberFormat="1" applyFont="1" applyFill="1" applyBorder="1" applyAlignment="1">
      <alignment horizontal="center" vertical="center" wrapText="1"/>
      <protection/>
    </xf>
    <xf numFmtId="4" fontId="3" fillId="33" borderId="12" xfId="53" applyNumberFormat="1" applyFont="1" applyFill="1" applyBorder="1" applyAlignment="1">
      <alignment horizontal="center" vertical="center" wrapText="1"/>
      <protection/>
    </xf>
    <xf numFmtId="49" fontId="16" fillId="0" borderId="0" xfId="53" applyNumberFormat="1" applyFont="1" applyFill="1">
      <alignment/>
      <protection/>
    </xf>
    <xf numFmtId="49" fontId="74" fillId="0" borderId="0" xfId="0" applyNumberFormat="1" applyFont="1" applyFill="1" applyAlignment="1">
      <alignment/>
    </xf>
    <xf numFmtId="4" fontId="3" fillId="0" borderId="17" xfId="52" applyNumberFormat="1" applyFont="1" applyFill="1" applyBorder="1" applyAlignment="1">
      <alignment horizontal="right" vertical="center"/>
      <protection/>
    </xf>
    <xf numFmtId="4" fontId="31" fillId="0" borderId="0" xfId="0" applyNumberFormat="1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49" fontId="5" fillId="0" borderId="20" xfId="52" applyNumberFormat="1" applyFont="1" applyFill="1" applyBorder="1" applyAlignment="1">
      <alignment horizontal="center" vertical="center"/>
      <protection/>
    </xf>
    <xf numFmtId="49" fontId="3" fillId="0" borderId="18" xfId="52" applyNumberFormat="1" applyFont="1" applyFill="1" applyBorder="1" applyAlignment="1">
      <alignment horizontal="center" vertical="center"/>
      <protection/>
    </xf>
    <xf numFmtId="49" fontId="5" fillId="0" borderId="23" xfId="52" applyNumberFormat="1" applyFont="1" applyFill="1" applyBorder="1" applyAlignment="1">
      <alignment vertical="center"/>
      <protection/>
    </xf>
    <xf numFmtId="49" fontId="3" fillId="0" borderId="24" xfId="52" applyNumberFormat="1" applyFont="1" applyFill="1" applyBorder="1" applyAlignment="1">
      <alignment horizontal="center" vertical="center"/>
      <protection/>
    </xf>
    <xf numFmtId="49" fontId="3" fillId="0" borderId="20" xfId="52" applyNumberFormat="1" applyFont="1" applyFill="1" applyBorder="1" applyAlignment="1">
      <alignment horizontal="center" vertical="center"/>
      <protection/>
    </xf>
    <xf numFmtId="4" fontId="9" fillId="0" borderId="11" xfId="0" applyNumberFormat="1" applyFont="1" applyFill="1" applyBorder="1" applyAlignment="1">
      <alignment vertical="center" wrapText="1"/>
    </xf>
    <xf numFmtId="4" fontId="29" fillId="33" borderId="13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" fontId="2" fillId="0" borderId="0" xfId="52" applyNumberFormat="1" applyFont="1" applyFill="1" applyAlignment="1">
      <alignment vertical="center"/>
      <protection/>
    </xf>
    <xf numFmtId="0" fontId="15" fillId="0" borderId="0" xfId="57" applyFont="1" applyFill="1">
      <alignment/>
      <protection/>
    </xf>
    <xf numFmtId="49" fontId="15" fillId="0" borderId="0" xfId="57" applyNumberFormat="1" applyFont="1" applyFill="1" applyAlignment="1">
      <alignment horizontal="center"/>
      <protection/>
    </xf>
    <xf numFmtId="4" fontId="15" fillId="0" borderId="0" xfId="57" applyNumberFormat="1" applyFont="1" applyFill="1" applyAlignment="1">
      <alignment horizontal="right"/>
      <protection/>
    </xf>
    <xf numFmtId="4" fontId="15" fillId="0" borderId="0" xfId="52" applyNumberFormat="1" applyFont="1" applyFill="1" applyBorder="1" applyAlignment="1">
      <alignment vertical="center"/>
      <protection/>
    </xf>
    <xf numFmtId="4" fontId="15" fillId="0" borderId="0" xfId="52" applyNumberFormat="1" applyFont="1" applyFill="1" applyAlignment="1">
      <alignment vertical="center"/>
      <protection/>
    </xf>
    <xf numFmtId="0" fontId="15" fillId="0" borderId="0" xfId="0" applyFont="1" applyFill="1" applyAlignment="1">
      <alignment/>
    </xf>
    <xf numFmtId="0" fontId="26" fillId="0" borderId="0" xfId="0" applyFont="1" applyFill="1" applyAlignment="1">
      <alignment/>
    </xf>
    <xf numFmtId="49" fontId="26" fillId="0" borderId="0" xfId="0" applyNumberFormat="1" applyFont="1" applyFill="1" applyAlignment="1">
      <alignment/>
    </xf>
    <xf numFmtId="0" fontId="26" fillId="0" borderId="0" xfId="52" applyFont="1" applyFill="1">
      <alignment/>
      <protection/>
    </xf>
    <xf numFmtId="4" fontId="14" fillId="0" borderId="0" xfId="52" applyNumberFormat="1" applyFont="1" applyFill="1">
      <alignment/>
      <protection/>
    </xf>
    <xf numFmtId="0" fontId="75" fillId="0" borderId="0" xfId="0" applyFont="1" applyFill="1" applyAlignment="1">
      <alignment/>
    </xf>
    <xf numFmtId="0" fontId="15" fillId="0" borderId="0" xfId="0" applyFont="1" applyFill="1" applyAlignment="1">
      <alignment/>
    </xf>
    <xf numFmtId="49" fontId="15" fillId="0" borderId="0" xfId="0" applyNumberFormat="1" applyFont="1" applyFill="1" applyAlignment="1">
      <alignment/>
    </xf>
    <xf numFmtId="4" fontId="15" fillId="0" borderId="0" xfId="52" applyNumberFormat="1" applyFont="1" applyFill="1">
      <alignment/>
      <protection/>
    </xf>
    <xf numFmtId="4" fontId="17" fillId="0" borderId="0" xfId="52" applyNumberFormat="1" applyFont="1" applyFill="1" applyBorder="1" applyAlignment="1">
      <alignment vertical="center"/>
      <protection/>
    </xf>
    <xf numFmtId="4" fontId="17" fillId="0" borderId="0" xfId="52" applyNumberFormat="1" applyFont="1" applyFill="1" applyAlignment="1">
      <alignment vertical="center"/>
      <protection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46" fillId="0" borderId="0" xfId="0" applyFont="1" applyAlignment="1">
      <alignment/>
    </xf>
    <xf numFmtId="0" fontId="68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54" applyFont="1">
      <alignment/>
      <protection/>
    </xf>
    <xf numFmtId="0" fontId="46" fillId="0" borderId="0" xfId="54" applyFont="1">
      <alignment/>
      <protection/>
    </xf>
    <xf numFmtId="0" fontId="3" fillId="0" borderId="0" xfId="54" applyFont="1">
      <alignment/>
      <protection/>
    </xf>
    <xf numFmtId="0" fontId="14" fillId="0" borderId="0" xfId="54" applyFont="1" applyAlignment="1">
      <alignment/>
      <protection/>
    </xf>
    <xf numFmtId="0" fontId="9" fillId="0" borderId="0" xfId="0" applyFont="1" applyAlignment="1">
      <alignment vertical="center"/>
    </xf>
    <xf numFmtId="0" fontId="9" fillId="0" borderId="11" xfId="54" applyFont="1" applyBorder="1" applyAlignment="1">
      <alignment vertical="center"/>
      <protection/>
    </xf>
    <xf numFmtId="0" fontId="46" fillId="0" borderId="0" xfId="54" applyFont="1" applyAlignment="1">
      <alignment vertical="center"/>
      <protection/>
    </xf>
    <xf numFmtId="0" fontId="3" fillId="0" borderId="0" xfId="54" applyFont="1" applyAlignment="1">
      <alignment vertical="center"/>
      <protection/>
    </xf>
    <xf numFmtId="0" fontId="9" fillId="0" borderId="0" xfId="54" applyFont="1" applyAlignment="1">
      <alignment vertical="center"/>
      <protection/>
    </xf>
    <xf numFmtId="4" fontId="3" fillId="0" borderId="0" xfId="54" applyNumberFormat="1" applyFont="1" applyAlignment="1">
      <alignment vertical="center"/>
      <protection/>
    </xf>
    <xf numFmtId="0" fontId="49" fillId="0" borderId="11" xfId="54" applyFont="1" applyBorder="1" applyAlignment="1">
      <alignment vertical="center" wrapText="1"/>
      <protection/>
    </xf>
    <xf numFmtId="0" fontId="49" fillId="0" borderId="12" xfId="54" applyFont="1" applyBorder="1" applyAlignment="1">
      <alignment horizontal="left" vertical="center" wrapText="1"/>
      <protection/>
    </xf>
    <xf numFmtId="0" fontId="59" fillId="0" borderId="0" xfId="54" applyFont="1" applyBorder="1" applyAlignment="1">
      <alignment vertical="center" wrapText="1"/>
      <protection/>
    </xf>
    <xf numFmtId="4" fontId="11" fillId="0" borderId="0" xfId="54" applyNumberFormat="1" applyFont="1" applyBorder="1" applyAlignment="1">
      <alignment vertical="center" wrapText="1"/>
      <protection/>
    </xf>
    <xf numFmtId="4" fontId="11" fillId="0" borderId="0" xfId="54" applyNumberFormat="1" applyFont="1" applyAlignment="1">
      <alignment vertical="center"/>
      <protection/>
    </xf>
    <xf numFmtId="4" fontId="2" fillId="0" borderId="0" xfId="54" applyNumberFormat="1" applyFont="1" applyAlignment="1">
      <alignment vertical="center"/>
      <protection/>
    </xf>
    <xf numFmtId="4" fontId="9" fillId="0" borderId="0" xfId="54" applyNumberFormat="1" applyFont="1">
      <alignment/>
      <protection/>
    </xf>
    <xf numFmtId="0" fontId="29" fillId="0" borderId="0" xfId="0" applyFont="1" applyAlignment="1">
      <alignment/>
    </xf>
    <xf numFmtId="0" fontId="11" fillId="0" borderId="12" xfId="54" applyFont="1" applyFill="1" applyBorder="1" applyAlignment="1">
      <alignment vertical="center" wrapText="1"/>
      <protection/>
    </xf>
    <xf numFmtId="4" fontId="11" fillId="0" borderId="13" xfId="54" applyNumberFormat="1" applyFont="1" applyFill="1" applyBorder="1" applyAlignment="1">
      <alignment vertical="center"/>
      <protection/>
    </xf>
    <xf numFmtId="4" fontId="61" fillId="0" borderId="0" xfId="54" applyNumberFormat="1" applyFont="1" applyFill="1" applyBorder="1" applyAlignment="1">
      <alignment vertical="center"/>
      <protection/>
    </xf>
    <xf numFmtId="4" fontId="11" fillId="0" borderId="0" xfId="54" applyNumberFormat="1" applyFont="1" applyFill="1" applyBorder="1" applyAlignment="1">
      <alignment vertical="center"/>
      <protection/>
    </xf>
    <xf numFmtId="4" fontId="29" fillId="0" borderId="0" xfId="54" applyNumberFormat="1" applyFont="1">
      <alignment/>
      <protection/>
    </xf>
    <xf numFmtId="0" fontId="29" fillId="0" borderId="0" xfId="54" applyFont="1">
      <alignment/>
      <protection/>
    </xf>
    <xf numFmtId="0" fontId="13" fillId="0" borderId="13" xfId="54" applyFont="1" applyBorder="1" applyAlignment="1">
      <alignment vertical="center" wrapText="1"/>
      <protection/>
    </xf>
    <xf numFmtId="4" fontId="4" fillId="0" borderId="13" xfId="54" applyNumberFormat="1" applyFont="1" applyBorder="1" applyAlignment="1">
      <alignment vertical="center"/>
      <protection/>
    </xf>
    <xf numFmtId="4" fontId="76" fillId="0" borderId="0" xfId="54" applyNumberFormat="1" applyFont="1" applyBorder="1" applyAlignment="1">
      <alignment vertical="center"/>
      <protection/>
    </xf>
    <xf numFmtId="4" fontId="27" fillId="0" borderId="0" xfId="54" applyNumberFormat="1" applyFont="1" applyBorder="1" applyAlignment="1">
      <alignment vertical="center"/>
      <protection/>
    </xf>
    <xf numFmtId="4" fontId="29" fillId="0" borderId="0" xfId="54" applyNumberFormat="1" applyFont="1" applyAlignment="1">
      <alignment vertical="center"/>
      <protection/>
    </xf>
    <xf numFmtId="0" fontId="3" fillId="0" borderId="13" xfId="54" applyFont="1" applyBorder="1" applyAlignment="1">
      <alignment vertical="center" wrapText="1"/>
      <protection/>
    </xf>
    <xf numFmtId="4" fontId="2" fillId="0" borderId="13" xfId="54" applyNumberFormat="1" applyFont="1" applyFill="1" applyBorder="1" applyAlignment="1">
      <alignment vertical="center"/>
      <protection/>
    </xf>
    <xf numFmtId="2" fontId="3" fillId="0" borderId="0" xfId="54" applyNumberFormat="1" applyFont="1" applyBorder="1" applyAlignment="1">
      <alignment vertical="center"/>
      <protection/>
    </xf>
    <xf numFmtId="3" fontId="29" fillId="0" borderId="0" xfId="54" applyNumberFormat="1" applyFont="1" applyAlignment="1">
      <alignment vertical="center"/>
      <protection/>
    </xf>
    <xf numFmtId="4" fontId="70" fillId="0" borderId="0" xfId="54" applyNumberFormat="1" applyFont="1" applyAlignment="1">
      <alignment vertical="center"/>
      <protection/>
    </xf>
    <xf numFmtId="4" fontId="25" fillId="0" borderId="0" xfId="54" applyNumberFormat="1" applyFont="1" applyAlignment="1">
      <alignment vertical="center"/>
      <protection/>
    </xf>
    <xf numFmtId="4" fontId="2" fillId="0" borderId="12" xfId="54" applyNumberFormat="1" applyFont="1" applyBorder="1" applyAlignment="1">
      <alignment vertical="center"/>
      <protection/>
    </xf>
    <xf numFmtId="4" fontId="34" fillId="0" borderId="0" xfId="54" applyNumberFormat="1" applyFont="1" applyAlignment="1">
      <alignment vertical="center"/>
      <protection/>
    </xf>
    <xf numFmtId="4" fontId="46" fillId="0" borderId="0" xfId="54" applyNumberFormat="1" applyFont="1" applyAlignment="1">
      <alignment vertical="center"/>
      <protection/>
    </xf>
    <xf numFmtId="4" fontId="9" fillId="0" borderId="0" xfId="54" applyNumberFormat="1" applyFont="1" applyAlignment="1">
      <alignment vertical="center"/>
      <protection/>
    </xf>
    <xf numFmtId="4" fontId="2" fillId="0" borderId="12" xfId="54" applyNumberFormat="1" applyFont="1" applyFill="1" applyBorder="1" applyAlignment="1">
      <alignment vertical="center"/>
      <protection/>
    </xf>
    <xf numFmtId="0" fontId="3" fillId="0" borderId="13" xfId="54" applyFont="1" applyFill="1" applyBorder="1" applyAlignment="1">
      <alignment vertical="center" wrapText="1"/>
      <protection/>
    </xf>
    <xf numFmtId="3" fontId="34" fillId="0" borderId="0" xfId="54" applyNumberFormat="1" applyFont="1" applyAlignment="1">
      <alignment vertical="center"/>
      <protection/>
    </xf>
    <xf numFmtId="0" fontId="46" fillId="0" borderId="0" xfId="54" applyFont="1" applyAlignment="1">
      <alignment vertical="center" wrapText="1"/>
      <protection/>
    </xf>
    <xf numFmtId="4" fontId="27" fillId="0" borderId="0" xfId="54" applyNumberFormat="1" applyFont="1" applyAlignment="1">
      <alignment vertical="center"/>
      <protection/>
    </xf>
    <xf numFmtId="4" fontId="9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11" fillId="0" borderId="19" xfId="54" applyFont="1" applyBorder="1" applyAlignment="1">
      <alignment vertical="center"/>
      <protection/>
    </xf>
    <xf numFmtId="0" fontId="4" fillId="0" borderId="12" xfId="54" applyFont="1" applyBorder="1" applyAlignment="1">
      <alignment horizontal="center" vertical="center"/>
      <protection/>
    </xf>
    <xf numFmtId="0" fontId="14" fillId="0" borderId="10" xfId="54" applyFont="1" applyBorder="1" applyAlignment="1">
      <alignment vertical="center"/>
      <protection/>
    </xf>
    <xf numFmtId="0" fontId="4" fillId="0" borderId="10" xfId="54" applyFont="1" applyBorder="1" applyAlignment="1">
      <alignment horizontal="center" vertical="center"/>
      <protection/>
    </xf>
    <xf numFmtId="0" fontId="4" fillId="0" borderId="11" xfId="54" applyFont="1" applyBorder="1" applyAlignment="1">
      <alignment horizontal="center" vertical="center"/>
      <protection/>
    </xf>
    <xf numFmtId="0" fontId="49" fillId="0" borderId="13" xfId="54" applyFont="1" applyFill="1" applyBorder="1" applyAlignment="1">
      <alignment vertical="center" wrapText="1"/>
      <protection/>
    </xf>
    <xf numFmtId="3" fontId="31" fillId="0" borderId="0" xfId="54" applyNumberFormat="1" applyFont="1" applyAlignment="1">
      <alignment vertical="center"/>
      <protection/>
    </xf>
    <xf numFmtId="49" fontId="5" fillId="0" borderId="23" xfId="52" applyNumberFormat="1" applyFont="1" applyFill="1" applyBorder="1" applyAlignment="1">
      <alignment horizontal="center" vertical="center"/>
      <protection/>
    </xf>
    <xf numFmtId="4" fontId="5" fillId="0" borderId="13" xfId="53" applyNumberFormat="1" applyFont="1" applyFill="1" applyBorder="1" applyAlignment="1">
      <alignment horizontal="center" vertical="center" wrapText="1"/>
      <protection/>
    </xf>
    <xf numFmtId="4" fontId="3" fillId="0" borderId="12" xfId="53" applyNumberFormat="1" applyFont="1" applyFill="1" applyBorder="1" applyAlignment="1">
      <alignment horizontal="right" vertical="center" wrapText="1"/>
      <protection/>
    </xf>
    <xf numFmtId="4" fontId="3" fillId="33" borderId="12" xfId="58" applyNumberFormat="1" applyFont="1" applyFill="1" applyBorder="1" applyAlignment="1">
      <alignment vertical="center"/>
      <protection/>
    </xf>
    <xf numFmtId="4" fontId="3" fillId="33" borderId="12" xfId="0" applyNumberFormat="1" applyFont="1" applyFill="1" applyBorder="1" applyAlignment="1">
      <alignment vertical="center"/>
    </xf>
    <xf numFmtId="4" fontId="3" fillId="33" borderId="17" xfId="0" applyNumberFormat="1" applyFont="1" applyFill="1" applyBorder="1" applyAlignment="1">
      <alignment vertical="center"/>
    </xf>
    <xf numFmtId="4" fontId="3" fillId="33" borderId="23" xfId="53" applyNumberFormat="1" applyFont="1" applyFill="1" applyBorder="1" applyAlignment="1">
      <alignment horizontal="center" vertical="center" wrapText="1"/>
      <protection/>
    </xf>
    <xf numFmtId="4" fontId="3" fillId="33" borderId="21" xfId="0" applyNumberFormat="1" applyFont="1" applyFill="1" applyBorder="1" applyAlignment="1">
      <alignment vertical="center"/>
    </xf>
    <xf numFmtId="0" fontId="12" fillId="0" borderId="13" xfId="53" applyFont="1" applyFill="1" applyBorder="1" applyAlignment="1">
      <alignment vertical="center" wrapText="1"/>
      <protection/>
    </xf>
    <xf numFmtId="4" fontId="72" fillId="0" borderId="0" xfId="0" applyNumberFormat="1" applyFont="1" applyFill="1" applyBorder="1" applyAlignment="1">
      <alignment vertical="center"/>
    </xf>
    <xf numFmtId="0" fontId="49" fillId="0" borderId="23" xfId="0" applyFont="1" applyFill="1" applyBorder="1" applyAlignment="1">
      <alignment horizontal="left" vertical="center"/>
    </xf>
    <xf numFmtId="0" fontId="29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0" xfId="58" applyFont="1" applyFill="1" applyBorder="1" applyAlignment="1">
      <alignment vertical="center" wrapText="1"/>
      <protection/>
    </xf>
    <xf numFmtId="0" fontId="4" fillId="0" borderId="0" xfId="54" applyFont="1" applyAlignment="1">
      <alignment/>
      <protection/>
    </xf>
    <xf numFmtId="0" fontId="9" fillId="0" borderId="0" xfId="54" applyFont="1" applyAlignment="1">
      <alignment horizontal="right"/>
      <protection/>
    </xf>
    <xf numFmtId="4" fontId="4" fillId="0" borderId="0" xfId="0" applyNumberFormat="1" applyFont="1" applyFill="1" applyAlignment="1">
      <alignment vertical="center"/>
    </xf>
    <xf numFmtId="0" fontId="68" fillId="0" borderId="0" xfId="0" applyFont="1" applyFill="1" applyAlignment="1">
      <alignment/>
    </xf>
    <xf numFmtId="0" fontId="16" fillId="0" borderId="0" xfId="0" applyFont="1" applyFill="1" applyAlignment="1">
      <alignment vertical="center"/>
    </xf>
    <xf numFmtId="4" fontId="7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0" fontId="26" fillId="0" borderId="0" xfId="0" applyFont="1" applyFill="1" applyAlignment="1">
      <alignment horizontal="left"/>
    </xf>
    <xf numFmtId="0" fontId="2" fillId="0" borderId="22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right" vertical="center" wrapText="1"/>
    </xf>
    <xf numFmtId="0" fontId="14" fillId="0" borderId="22" xfId="0" applyFont="1" applyFill="1" applyBorder="1" applyAlignment="1">
      <alignment/>
    </xf>
    <xf numFmtId="0" fontId="13" fillId="0" borderId="11" xfId="0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 horizontal="right" vertical="center" wrapText="1"/>
    </xf>
    <xf numFmtId="0" fontId="49" fillId="0" borderId="2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4" fontId="26" fillId="0" borderId="0" xfId="0" applyNumberFormat="1" applyFont="1" applyFill="1" applyAlignment="1">
      <alignment/>
    </xf>
    <xf numFmtId="0" fontId="49" fillId="0" borderId="20" xfId="0" applyFont="1" applyFill="1" applyBorder="1" applyAlignment="1">
      <alignment horizontal="left" vertical="center"/>
    </xf>
    <xf numFmtId="0" fontId="29" fillId="0" borderId="14" xfId="0" applyFont="1" applyFill="1" applyBorder="1" applyAlignment="1">
      <alignment/>
    </xf>
    <xf numFmtId="0" fontId="29" fillId="0" borderId="11" xfId="0" applyFont="1" applyFill="1" applyBorder="1" applyAlignment="1">
      <alignment horizontal="left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/>
    </xf>
    <xf numFmtId="0" fontId="29" fillId="0" borderId="13" xfId="0" applyFont="1" applyFill="1" applyBorder="1" applyAlignment="1">
      <alignment/>
    </xf>
    <xf numFmtId="0" fontId="49" fillId="0" borderId="19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left" vertical="center" wrapText="1"/>
    </xf>
    <xf numFmtId="0" fontId="49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28" fillId="0" borderId="11" xfId="0" applyFont="1" applyFill="1" applyBorder="1" applyAlignment="1">
      <alignment horizontal="left" vertical="center" wrapText="1"/>
    </xf>
    <xf numFmtId="4" fontId="0" fillId="0" borderId="0" xfId="0" applyNumberFormat="1" applyFont="1" applyFill="1" applyAlignment="1">
      <alignment/>
    </xf>
    <xf numFmtId="0" fontId="4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28" fillId="0" borderId="17" xfId="0" applyFont="1" applyFill="1" applyBorder="1" applyAlignment="1">
      <alignment horizontal="left" vertical="center" wrapText="1"/>
    </xf>
    <xf numFmtId="4" fontId="13" fillId="0" borderId="17" xfId="0" applyNumberFormat="1" applyFont="1" applyFill="1" applyBorder="1" applyAlignment="1">
      <alignment horizontal="right" vertical="center"/>
    </xf>
    <xf numFmtId="4" fontId="5" fillId="0" borderId="17" xfId="0" applyNumberFormat="1" applyFont="1" applyFill="1" applyBorder="1" applyAlignment="1">
      <alignment horizontal="right" vertical="center"/>
    </xf>
    <xf numFmtId="0" fontId="29" fillId="0" borderId="10" xfId="0" applyFont="1" applyFill="1" applyBorder="1" applyAlignment="1">
      <alignment horizontal="left" vertical="center"/>
    </xf>
    <xf numFmtId="0" fontId="54" fillId="0" borderId="19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/>
    </xf>
    <xf numFmtId="0" fontId="29" fillId="0" borderId="17" xfId="0" applyFont="1" applyFill="1" applyBorder="1" applyAlignment="1">
      <alignment/>
    </xf>
    <xf numFmtId="0" fontId="49" fillId="0" borderId="16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vertical="center" wrapText="1"/>
    </xf>
    <xf numFmtId="0" fontId="49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4" fontId="3" fillId="0" borderId="12" xfId="0" applyNumberFormat="1" applyFont="1" applyFill="1" applyBorder="1" applyAlignment="1">
      <alignment horizontal="right" vertical="center" wrapText="1"/>
    </xf>
    <xf numFmtId="0" fontId="49" fillId="0" borderId="13" xfId="0" applyFont="1" applyFill="1" applyBorder="1" applyAlignment="1">
      <alignment horizontal="left" vertical="center"/>
    </xf>
    <xf numFmtId="0" fontId="29" fillId="33" borderId="11" xfId="0" applyFont="1" applyFill="1" applyBorder="1" applyAlignment="1">
      <alignment vertical="center" wrapText="1"/>
    </xf>
    <xf numFmtId="4" fontId="77" fillId="0" borderId="0" xfId="53" applyNumberFormat="1" applyFont="1" applyFill="1" applyBorder="1" applyAlignment="1">
      <alignment horizontal="right" vertical="center" wrapText="1"/>
      <protection/>
    </xf>
    <xf numFmtId="4" fontId="69" fillId="0" borderId="0" xfId="0" applyNumberFormat="1" applyFont="1" applyFill="1" applyAlignment="1">
      <alignment vertical="center"/>
    </xf>
    <xf numFmtId="0" fontId="7" fillId="0" borderId="0" xfId="0" applyFont="1" applyAlignment="1">
      <alignment/>
    </xf>
    <xf numFmtId="49" fontId="13" fillId="0" borderId="0" xfId="52" applyNumberFormat="1" applyFont="1" applyFill="1">
      <alignment/>
      <protection/>
    </xf>
    <xf numFmtId="49" fontId="28" fillId="0" borderId="0" xfId="52" applyNumberFormat="1" applyFont="1" applyFill="1" applyBorder="1" applyAlignment="1">
      <alignment horizontal="center" vertical="center"/>
      <protection/>
    </xf>
    <xf numFmtId="4" fontId="28" fillId="0" borderId="0" xfId="52" applyNumberFormat="1" applyFont="1" applyFill="1" applyBorder="1" applyAlignment="1">
      <alignment vertical="center"/>
      <protection/>
    </xf>
    <xf numFmtId="4" fontId="78" fillId="0" borderId="0" xfId="52" applyNumberFormat="1" applyFont="1" applyFill="1" applyAlignment="1">
      <alignment vertical="center"/>
      <protection/>
    </xf>
    <xf numFmtId="4" fontId="79" fillId="0" borderId="0" xfId="52" applyNumberFormat="1" applyFont="1" applyFill="1" applyAlignment="1">
      <alignment vertical="center"/>
      <protection/>
    </xf>
    <xf numFmtId="4" fontId="80" fillId="0" borderId="0" xfId="52" applyNumberFormat="1" applyFont="1" applyFill="1" applyAlignment="1">
      <alignment vertical="center"/>
      <protection/>
    </xf>
    <xf numFmtId="4" fontId="26" fillId="0" borderId="0" xfId="0" applyNumberFormat="1" applyFont="1" applyFill="1" applyAlignment="1">
      <alignment vertical="center"/>
    </xf>
    <xf numFmtId="4" fontId="39" fillId="0" borderId="0" xfId="52" applyNumberFormat="1" applyFont="1" applyFill="1" applyAlignment="1">
      <alignment vertical="center"/>
      <protection/>
    </xf>
    <xf numFmtId="4" fontId="20" fillId="0" borderId="0" xfId="52" applyNumberFormat="1" applyFont="1" applyFill="1" applyAlignment="1">
      <alignment vertical="center"/>
      <protection/>
    </xf>
    <xf numFmtId="49" fontId="28" fillId="0" borderId="0" xfId="0" applyNumberFormat="1" applyFont="1" applyFill="1" applyBorder="1" applyAlignment="1">
      <alignment vertical="center"/>
    </xf>
    <xf numFmtId="49" fontId="81" fillId="0" borderId="0" xfId="52" applyNumberFormat="1" applyFont="1" applyFill="1" applyBorder="1" applyAlignment="1">
      <alignment horizontal="center" vertical="center"/>
      <protection/>
    </xf>
    <xf numFmtId="4" fontId="28" fillId="0" borderId="0" xfId="52" applyNumberFormat="1" applyFont="1" applyFill="1" applyAlignment="1">
      <alignment vertical="center"/>
      <protection/>
    </xf>
    <xf numFmtId="4" fontId="82" fillId="0" borderId="0" xfId="52" applyNumberFormat="1" applyFont="1" applyFill="1" applyAlignment="1">
      <alignment vertical="center"/>
      <protection/>
    </xf>
    <xf numFmtId="4" fontId="83" fillId="0" borderId="0" xfId="52" applyNumberFormat="1" applyFont="1" applyFill="1" applyAlignment="1">
      <alignment vertical="center"/>
      <protection/>
    </xf>
    <xf numFmtId="4" fontId="81" fillId="0" borderId="0" xfId="52" applyNumberFormat="1" applyFont="1" applyFill="1" applyAlignment="1">
      <alignment vertical="center"/>
      <protection/>
    </xf>
    <xf numFmtId="4" fontId="72" fillId="0" borderId="0" xfId="52" applyNumberFormat="1" applyFont="1" applyFill="1" applyAlignment="1">
      <alignment vertical="center"/>
      <protection/>
    </xf>
    <xf numFmtId="4" fontId="2" fillId="0" borderId="13" xfId="54" applyNumberFormat="1" applyFont="1" applyBorder="1" applyAlignment="1">
      <alignment vertical="center"/>
      <protection/>
    </xf>
    <xf numFmtId="4" fontId="77" fillId="0" borderId="0" xfId="52" applyNumberFormat="1" applyFont="1" applyFill="1">
      <alignment/>
      <protection/>
    </xf>
    <xf numFmtId="4" fontId="29" fillId="33" borderId="10" xfId="0" applyNumberFormat="1" applyFont="1" applyFill="1" applyBorder="1" applyAlignment="1">
      <alignment vertical="center"/>
    </xf>
    <xf numFmtId="0" fontId="29" fillId="33" borderId="19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vertical="center" wrapText="1"/>
    </xf>
    <xf numFmtId="4" fontId="29" fillId="33" borderId="10" xfId="0" applyNumberFormat="1" applyFont="1" applyFill="1" applyBorder="1" applyAlignment="1">
      <alignment vertical="center" wrapText="1"/>
    </xf>
    <xf numFmtId="0" fontId="46" fillId="33" borderId="10" xfId="0" applyFont="1" applyFill="1" applyBorder="1" applyAlignment="1">
      <alignment vertical="center" wrapText="1"/>
    </xf>
    <xf numFmtId="0" fontId="10" fillId="33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9" fillId="33" borderId="13" xfId="0" applyFont="1" applyFill="1" applyBorder="1" applyAlignment="1">
      <alignment horizontal="center" vertical="center"/>
    </xf>
    <xf numFmtId="0" fontId="29" fillId="33" borderId="13" xfId="0" applyFont="1" applyFill="1" applyBorder="1" applyAlignment="1">
      <alignment vertical="center" wrapText="1"/>
    </xf>
    <xf numFmtId="4" fontId="29" fillId="33" borderId="13" xfId="0" applyNumberFormat="1" applyFont="1" applyFill="1" applyBorder="1" applyAlignment="1">
      <alignment vertical="center" wrapText="1"/>
    </xf>
    <xf numFmtId="4" fontId="9" fillId="33" borderId="13" xfId="0" applyNumberFormat="1" applyFont="1" applyFill="1" applyBorder="1" applyAlignment="1">
      <alignment vertical="center" wrapText="1"/>
    </xf>
    <xf numFmtId="0" fontId="12" fillId="0" borderId="16" xfId="0" applyFont="1" applyFill="1" applyBorder="1" applyAlignment="1">
      <alignment vertical="center"/>
    </xf>
    <xf numFmtId="0" fontId="53" fillId="0" borderId="14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29" fillId="33" borderId="23" xfId="0" applyFont="1" applyFill="1" applyBorder="1" applyAlignment="1">
      <alignment vertical="center" wrapText="1"/>
    </xf>
    <xf numFmtId="4" fontId="29" fillId="33" borderId="23" xfId="0" applyNumberFormat="1" applyFont="1" applyFill="1" applyBorder="1" applyAlignment="1">
      <alignment vertical="center" wrapText="1"/>
    </xf>
    <xf numFmtId="0" fontId="46" fillId="33" borderId="13" xfId="0" applyFont="1" applyFill="1" applyBorder="1" applyAlignment="1">
      <alignment vertical="center" wrapText="1"/>
    </xf>
    <xf numFmtId="4" fontId="9" fillId="33" borderId="13" xfId="0" applyNumberFormat="1" applyFont="1" applyFill="1" applyBorder="1" applyAlignment="1">
      <alignment vertical="center"/>
    </xf>
    <xf numFmtId="0" fontId="9" fillId="33" borderId="19" xfId="0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vertical="center"/>
    </xf>
    <xf numFmtId="0" fontId="55" fillId="33" borderId="1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29" fillId="33" borderId="10" xfId="52" applyFont="1" applyFill="1" applyBorder="1" applyAlignment="1">
      <alignment vertical="center" wrapText="1"/>
      <protection/>
    </xf>
    <xf numFmtId="4" fontId="9" fillId="33" borderId="10" xfId="52" applyNumberFormat="1" applyFont="1" applyFill="1" applyBorder="1" applyAlignment="1">
      <alignment vertical="center"/>
      <protection/>
    </xf>
    <xf numFmtId="4" fontId="29" fillId="33" borderId="23" xfId="52" applyNumberFormat="1" applyFont="1" applyFill="1" applyBorder="1" applyAlignment="1">
      <alignment vertical="center" wrapText="1"/>
      <protection/>
    </xf>
    <xf numFmtId="0" fontId="46" fillId="33" borderId="10" xfId="57" applyFont="1" applyFill="1" applyBorder="1" applyAlignment="1">
      <alignment horizontal="left" vertical="center" wrapText="1"/>
      <protection/>
    </xf>
    <xf numFmtId="4" fontId="9" fillId="33" borderId="13" xfId="52" applyNumberFormat="1" applyFont="1" applyFill="1" applyBorder="1" applyAlignment="1">
      <alignment vertical="center"/>
      <protection/>
    </xf>
    <xf numFmtId="0" fontId="46" fillId="33" borderId="14" xfId="0" applyFont="1" applyFill="1" applyBorder="1" applyAlignment="1">
      <alignment vertical="center" wrapText="1"/>
    </xf>
    <xf numFmtId="4" fontId="29" fillId="33" borderId="10" xfId="52" applyNumberFormat="1" applyFont="1" applyFill="1" applyBorder="1" applyAlignment="1">
      <alignment vertical="center" wrapText="1"/>
      <protection/>
    </xf>
    <xf numFmtId="0" fontId="84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vertical="center"/>
    </xf>
    <xf numFmtId="0" fontId="49" fillId="0" borderId="10" xfId="52" applyFont="1" applyFill="1" applyBorder="1" applyAlignment="1">
      <alignment vertical="center" wrapText="1"/>
      <protection/>
    </xf>
    <xf numFmtId="0" fontId="57" fillId="0" borderId="13" xfId="0" applyFont="1" applyFill="1" applyBorder="1" applyAlignment="1">
      <alignment horizontal="center" vertical="center" wrapText="1"/>
    </xf>
    <xf numFmtId="0" fontId="85" fillId="0" borderId="15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51" fillId="0" borderId="10" xfId="52" applyFont="1" applyFill="1" applyBorder="1" applyAlignment="1">
      <alignment vertical="center" wrapText="1"/>
      <protection/>
    </xf>
    <xf numFmtId="0" fontId="26" fillId="0" borderId="13" xfId="0" applyFont="1" applyFill="1" applyBorder="1" applyAlignment="1">
      <alignment vertical="center"/>
    </xf>
    <xf numFmtId="4" fontId="49" fillId="0" borderId="10" xfId="52" applyNumberFormat="1" applyFont="1" applyFill="1" applyBorder="1" applyAlignment="1">
      <alignment vertical="center" wrapText="1"/>
      <protection/>
    </xf>
    <xf numFmtId="4" fontId="51" fillId="0" borderId="10" xfId="52" applyNumberFormat="1" applyFont="1" applyFill="1" applyBorder="1" applyAlignment="1">
      <alignment vertical="center" wrapText="1"/>
      <protection/>
    </xf>
    <xf numFmtId="0" fontId="29" fillId="33" borderId="13" xfId="52" applyFont="1" applyFill="1" applyBorder="1" applyAlignment="1">
      <alignment vertical="center" wrapText="1"/>
      <protection/>
    </xf>
    <xf numFmtId="4" fontId="29" fillId="33" borderId="13" xfId="52" applyNumberFormat="1" applyFont="1" applyFill="1" applyBorder="1" applyAlignment="1">
      <alignment vertical="center" wrapText="1"/>
      <protection/>
    </xf>
    <xf numFmtId="4" fontId="29" fillId="33" borderId="12" xfId="52" applyNumberFormat="1" applyFont="1" applyFill="1" applyBorder="1" applyAlignment="1">
      <alignment vertical="center" wrapText="1"/>
      <protection/>
    </xf>
    <xf numFmtId="0" fontId="29" fillId="0" borderId="24" xfId="0" applyFont="1" applyFill="1" applyBorder="1" applyAlignment="1">
      <alignment vertical="center" wrapText="1"/>
    </xf>
    <xf numFmtId="0" fontId="29" fillId="33" borderId="24" xfId="0" applyFont="1" applyFill="1" applyBorder="1" applyAlignment="1">
      <alignment vertical="center" wrapText="1"/>
    </xf>
    <xf numFmtId="0" fontId="26" fillId="0" borderId="16" xfId="0" applyFont="1" applyFill="1" applyBorder="1" applyAlignment="1">
      <alignment horizontal="center" vertical="center"/>
    </xf>
    <xf numFmtId="4" fontId="29" fillId="34" borderId="13" xfId="0" applyNumberFormat="1" applyFont="1" applyFill="1" applyBorder="1" applyAlignment="1">
      <alignment vertical="center"/>
    </xf>
    <xf numFmtId="4" fontId="29" fillId="34" borderId="10" xfId="0" applyNumberFormat="1" applyFont="1" applyFill="1" applyBorder="1" applyAlignment="1">
      <alignment vertical="center"/>
    </xf>
    <xf numFmtId="4" fontId="9" fillId="34" borderId="13" xfId="52" applyNumberFormat="1" applyFont="1" applyFill="1" applyBorder="1" applyAlignment="1">
      <alignment vertical="center"/>
      <protection/>
    </xf>
    <xf numFmtId="0" fontId="29" fillId="34" borderId="10" xfId="52" applyFont="1" applyFill="1" applyBorder="1" applyAlignment="1">
      <alignment vertical="center" wrapText="1"/>
      <protection/>
    </xf>
    <xf numFmtId="0" fontId="46" fillId="34" borderId="13" xfId="0" applyFont="1" applyFill="1" applyBorder="1" applyAlignment="1">
      <alignment vertical="center" wrapText="1"/>
    </xf>
    <xf numFmtId="0" fontId="5" fillId="0" borderId="0" xfId="52" applyFont="1" applyFill="1" applyBorder="1">
      <alignment/>
      <protection/>
    </xf>
    <xf numFmtId="4" fontId="5" fillId="0" borderId="13" xfId="52" applyNumberFormat="1" applyFont="1" applyFill="1" applyBorder="1" applyAlignment="1">
      <alignment horizontal="right" vertical="top"/>
      <protection/>
    </xf>
    <xf numFmtId="4" fontId="5" fillId="0" borderId="13" xfId="52" applyNumberFormat="1" applyFont="1" applyFill="1" applyBorder="1" applyAlignment="1">
      <alignment horizontal="right" vertical="center"/>
      <protection/>
    </xf>
    <xf numFmtId="49" fontId="75" fillId="0" borderId="0" xfId="57" applyNumberFormat="1" applyFont="1" applyFill="1">
      <alignment/>
      <protection/>
    </xf>
    <xf numFmtId="49" fontId="16" fillId="0" borderId="0" xfId="57" applyNumberFormat="1" applyFont="1" applyFill="1" applyAlignment="1">
      <alignment horizontal="center"/>
      <protection/>
    </xf>
    <xf numFmtId="4" fontId="16" fillId="0" borderId="0" xfId="57" applyNumberFormat="1" applyFont="1" applyFill="1" applyAlignment="1">
      <alignment horizontal="right"/>
      <protection/>
    </xf>
    <xf numFmtId="49" fontId="15" fillId="0" borderId="0" xfId="0" applyNumberFormat="1" applyFont="1" applyFill="1" applyAlignment="1">
      <alignment/>
    </xf>
    <xf numFmtId="49" fontId="75" fillId="0" borderId="0" xfId="0" applyNumberFormat="1" applyFont="1" applyFill="1" applyAlignment="1">
      <alignment/>
    </xf>
    <xf numFmtId="0" fontId="12" fillId="0" borderId="0" xfId="0" applyFont="1" applyFill="1" applyAlignment="1">
      <alignment vertical="center" wrapText="1"/>
    </xf>
    <xf numFmtId="0" fontId="46" fillId="0" borderId="14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7" fillId="0" borderId="14" xfId="54" applyFont="1" applyBorder="1" applyAlignment="1">
      <alignment horizontal="center" vertical="center" wrapText="1"/>
      <protection/>
    </xf>
    <xf numFmtId="0" fontId="0" fillId="0" borderId="12" xfId="0" applyBorder="1" applyAlignment="1">
      <alignment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left" vertical="center"/>
    </xf>
  </cellXfs>
  <cellStyles count="5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5" xfId="52"/>
    <cellStyle name="Normalny_Arkusz8" xfId="53"/>
    <cellStyle name="Normalny_Tabela nr 7" xfId="54"/>
    <cellStyle name="Normalny_tabela nr 8" xfId="55"/>
    <cellStyle name="Normalny_Uch.RMK luty" xfId="56"/>
    <cellStyle name="Normalny_Uch.RMK marzec" xfId="57"/>
    <cellStyle name="Normalny_Zał. nr 3A" xfId="58"/>
    <cellStyle name="Normalny_ZPMK luty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e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37"/>
  <sheetViews>
    <sheetView tabSelected="1" zoomScale="120" zoomScaleNormal="120" zoomScalePageLayoutView="0" workbookViewId="0" topLeftCell="A28">
      <pane xSplit="17550" topLeftCell="N1" activePane="topLeft" state="split"/>
      <selection pane="topLeft" activeCell="I518" sqref="I518"/>
      <selection pane="topRight" activeCell="N328" sqref="N328"/>
    </sheetView>
  </sheetViews>
  <sheetFormatPr defaultColWidth="9.140625" defaultRowHeight="12.75"/>
  <cols>
    <col min="1" max="1" width="6.28125" style="2" customWidth="1"/>
    <col min="2" max="2" width="7.140625" style="2" customWidth="1"/>
    <col min="3" max="3" width="7.00390625" style="2" customWidth="1"/>
    <col min="4" max="4" width="15.28125" style="2" customWidth="1"/>
    <col min="5" max="5" width="14.140625" style="2" customWidth="1"/>
    <col min="6" max="6" width="15.57421875" style="2" customWidth="1"/>
    <col min="7" max="7" width="15.7109375" style="2" customWidth="1"/>
    <col min="8" max="8" width="19.8515625" style="24" customWidth="1"/>
    <col min="9" max="9" width="28.00390625" style="32" customWidth="1"/>
    <col min="10" max="10" width="22.28125" style="33" customWidth="1"/>
    <col min="11" max="11" width="20.8515625" style="32" customWidth="1"/>
    <col min="12" max="12" width="17.28125" style="32" customWidth="1"/>
    <col min="13" max="13" width="22.421875" style="32" customWidth="1"/>
    <col min="14" max="14" width="15.00390625" style="2" customWidth="1"/>
    <col min="15" max="16384" width="9.140625" style="2" customWidth="1"/>
  </cols>
  <sheetData>
    <row r="1" spans="1:7" ht="18.75">
      <c r="A1" s="116"/>
      <c r="B1" s="116"/>
      <c r="C1" s="116"/>
      <c r="G1" s="124" t="s">
        <v>585</v>
      </c>
    </row>
    <row r="2" spans="1:14" s="50" customFormat="1" ht="23.25" customHeight="1">
      <c r="A2" s="64" t="s">
        <v>258</v>
      </c>
      <c r="B2" s="65"/>
      <c r="C2" s="66"/>
      <c r="D2" s="5"/>
      <c r="E2" s="5"/>
      <c r="F2" s="5"/>
      <c r="G2" s="57"/>
      <c r="H2" s="213" t="s">
        <v>405</v>
      </c>
      <c r="I2" s="59"/>
      <c r="J2" s="60"/>
      <c r="K2" s="57"/>
      <c r="L2" s="59"/>
      <c r="M2" s="59"/>
      <c r="N2" s="57"/>
    </row>
    <row r="3" spans="1:14" s="50" customFormat="1" ht="24" customHeight="1">
      <c r="A3" s="64" t="s">
        <v>364</v>
      </c>
      <c r="B3" s="65"/>
      <c r="C3" s="66"/>
      <c r="D3" s="5"/>
      <c r="E3" s="5"/>
      <c r="F3" s="5"/>
      <c r="G3" s="57"/>
      <c r="H3" s="61"/>
      <c r="I3" s="59"/>
      <c r="J3" s="60"/>
      <c r="K3" s="57"/>
      <c r="L3" s="59"/>
      <c r="M3" s="59"/>
      <c r="N3" s="57"/>
    </row>
    <row r="4" spans="1:14" s="50" customFormat="1" ht="24" customHeight="1">
      <c r="A4" s="64" t="s">
        <v>259</v>
      </c>
      <c r="B4" s="65"/>
      <c r="C4" s="66"/>
      <c r="D4" s="5"/>
      <c r="E4" s="5"/>
      <c r="F4" s="5"/>
      <c r="G4" s="57"/>
      <c r="H4" s="62"/>
      <c r="I4" s="59"/>
      <c r="J4" s="60"/>
      <c r="K4" s="57"/>
      <c r="L4" s="59"/>
      <c r="M4" s="59"/>
      <c r="N4" s="57"/>
    </row>
    <row r="5" spans="1:14" s="50" customFormat="1" ht="17.25" customHeight="1">
      <c r="A5" s="56"/>
      <c r="B5" s="57"/>
      <c r="C5" s="58"/>
      <c r="D5" s="57"/>
      <c r="E5" s="57"/>
      <c r="F5" s="57"/>
      <c r="G5" s="57"/>
      <c r="H5" s="62"/>
      <c r="I5" s="59"/>
      <c r="J5" s="60"/>
      <c r="K5" s="57"/>
      <c r="L5" s="59"/>
      <c r="M5" s="59"/>
      <c r="N5" s="57"/>
    </row>
    <row r="6" spans="1:14" ht="18.75">
      <c r="A6" s="23"/>
      <c r="B6" s="5"/>
      <c r="C6" s="6"/>
      <c r="D6" s="5"/>
      <c r="E6" s="5"/>
      <c r="F6" s="5"/>
      <c r="G6" s="5"/>
      <c r="H6" s="7"/>
      <c r="I6" s="43"/>
      <c r="J6" s="9"/>
      <c r="K6" s="5"/>
      <c r="L6" s="43"/>
      <c r="M6" s="43"/>
      <c r="N6" s="5"/>
    </row>
    <row r="7" spans="1:14" ht="19.5">
      <c r="A7" s="23" t="s">
        <v>401</v>
      </c>
      <c r="B7" s="5"/>
      <c r="C7" s="6"/>
      <c r="D7" s="5"/>
      <c r="E7" s="5"/>
      <c r="F7" s="5"/>
      <c r="G7" s="5"/>
      <c r="H7" s="7"/>
      <c r="I7" s="43"/>
      <c r="J7" s="9"/>
      <c r="K7" s="5"/>
      <c r="L7" s="43"/>
      <c r="M7" s="43"/>
      <c r="N7" s="5"/>
    </row>
    <row r="8" spans="1:14" ht="18.75">
      <c r="A8" s="23"/>
      <c r="B8" s="5"/>
      <c r="C8" s="6"/>
      <c r="D8" s="5"/>
      <c r="E8" s="5"/>
      <c r="F8" s="5"/>
      <c r="G8" s="5"/>
      <c r="H8" s="7"/>
      <c r="I8" s="43"/>
      <c r="J8" s="9"/>
      <c r="K8" s="5"/>
      <c r="L8" s="43"/>
      <c r="M8" s="43"/>
      <c r="N8" s="5"/>
    </row>
    <row r="9" spans="1:14" ht="18.75">
      <c r="A9" s="5"/>
      <c r="B9" s="5"/>
      <c r="C9" s="6"/>
      <c r="D9" s="5"/>
      <c r="E9" s="5"/>
      <c r="F9" s="5"/>
      <c r="G9" s="5"/>
      <c r="H9" s="7"/>
      <c r="I9" s="43"/>
      <c r="J9" s="9"/>
      <c r="K9" s="5"/>
      <c r="L9" s="43"/>
      <c r="M9" s="43"/>
      <c r="N9" s="5"/>
    </row>
    <row r="10" spans="1:14" ht="18.75">
      <c r="A10" s="67" t="s">
        <v>365</v>
      </c>
      <c r="B10" s="65"/>
      <c r="C10" s="66"/>
      <c r="D10" s="5"/>
      <c r="E10" s="5"/>
      <c r="F10" s="5"/>
      <c r="G10" s="5"/>
      <c r="H10" s="7"/>
      <c r="I10" s="43"/>
      <c r="J10" s="9"/>
      <c r="K10" s="5"/>
      <c r="L10" s="43"/>
      <c r="M10" s="43"/>
      <c r="N10" s="5"/>
    </row>
    <row r="11" spans="1:14" ht="18.75">
      <c r="A11" s="67" t="s">
        <v>366</v>
      </c>
      <c r="B11" s="65"/>
      <c r="C11" s="66"/>
      <c r="D11" s="5"/>
      <c r="E11" s="5"/>
      <c r="F11" s="5"/>
      <c r="G11" s="5"/>
      <c r="H11" s="7"/>
      <c r="I11" s="43"/>
      <c r="J11" s="9"/>
      <c r="K11" s="5"/>
      <c r="L11" s="43"/>
      <c r="M11" s="43"/>
      <c r="N11" s="5"/>
    </row>
    <row r="12" spans="1:14" ht="18.75">
      <c r="A12" s="67" t="s">
        <v>367</v>
      </c>
      <c r="B12" s="65"/>
      <c r="C12" s="66"/>
      <c r="D12" s="5"/>
      <c r="E12" s="5"/>
      <c r="F12" s="5"/>
      <c r="G12" s="5"/>
      <c r="H12" s="7"/>
      <c r="I12" s="43"/>
      <c r="J12" s="9"/>
      <c r="K12" s="5"/>
      <c r="L12" s="43"/>
      <c r="M12" s="43"/>
      <c r="N12" s="5"/>
    </row>
    <row r="13" spans="1:14" ht="18.75">
      <c r="A13" s="67" t="s">
        <v>368</v>
      </c>
      <c r="B13" s="65"/>
      <c r="C13" s="66"/>
      <c r="D13" s="5"/>
      <c r="E13" s="5"/>
      <c r="F13" s="5"/>
      <c r="G13" s="5"/>
      <c r="H13" s="7"/>
      <c r="I13" s="43"/>
      <c r="J13" s="9"/>
      <c r="K13" s="5"/>
      <c r="L13" s="43"/>
      <c r="M13" s="43"/>
      <c r="N13" s="5"/>
    </row>
    <row r="14" spans="1:14" ht="18.75">
      <c r="A14" s="55"/>
      <c r="B14" s="44"/>
      <c r="C14" s="16"/>
      <c r="D14" s="16"/>
      <c r="E14" s="5"/>
      <c r="F14" s="5"/>
      <c r="G14" s="5"/>
      <c r="H14" s="7"/>
      <c r="I14" s="43"/>
      <c r="J14" s="9"/>
      <c r="K14" s="5"/>
      <c r="L14" s="43"/>
      <c r="M14" s="43"/>
      <c r="N14" s="5"/>
    </row>
    <row r="15" spans="1:14" s="28" customFormat="1" ht="15.75">
      <c r="A15" s="8"/>
      <c r="B15" s="8"/>
      <c r="C15" s="31"/>
      <c r="D15" s="8"/>
      <c r="E15" s="31" t="s">
        <v>353</v>
      </c>
      <c r="F15" s="8"/>
      <c r="G15" s="8"/>
      <c r="H15" s="9"/>
      <c r="I15" s="35"/>
      <c r="J15" s="35"/>
      <c r="K15" s="42"/>
      <c r="L15" s="35"/>
      <c r="M15" s="35"/>
      <c r="N15" s="8"/>
    </row>
    <row r="16" spans="1:14" s="28" customFormat="1" ht="15.75">
      <c r="A16" s="8"/>
      <c r="B16" s="8"/>
      <c r="C16" s="31"/>
      <c r="D16" s="8"/>
      <c r="E16" s="31"/>
      <c r="F16" s="8"/>
      <c r="G16" s="8"/>
      <c r="H16" s="9"/>
      <c r="I16" s="35"/>
      <c r="J16" s="35"/>
      <c r="K16" s="42"/>
      <c r="L16" s="35"/>
      <c r="M16" s="35"/>
      <c r="N16" s="8"/>
    </row>
    <row r="17" spans="1:14" ht="18.75">
      <c r="A17" s="428" t="s">
        <v>404</v>
      </c>
      <c r="B17" s="63"/>
      <c r="C17" s="63"/>
      <c r="D17" s="63"/>
      <c r="E17" s="31"/>
      <c r="F17" s="8"/>
      <c r="G17" s="5"/>
      <c r="H17" s="7"/>
      <c r="I17" s="36"/>
      <c r="J17" s="35"/>
      <c r="K17" s="34"/>
      <c r="L17" s="34"/>
      <c r="M17" s="34"/>
      <c r="N17" s="5"/>
    </row>
    <row r="18" spans="1:14" ht="18.75">
      <c r="A18" s="429" t="s">
        <v>651</v>
      </c>
      <c r="B18" s="63"/>
      <c r="C18" s="63"/>
      <c r="D18" s="63"/>
      <c r="E18" s="31"/>
      <c r="F18" s="8"/>
      <c r="G18" s="5"/>
      <c r="H18" s="7"/>
      <c r="I18" s="34"/>
      <c r="J18" s="35"/>
      <c r="K18" s="34"/>
      <c r="L18" s="34"/>
      <c r="M18" s="34"/>
      <c r="N18" s="5"/>
    </row>
    <row r="19" spans="1:8" ht="15.75">
      <c r="A19" s="69" t="s">
        <v>650</v>
      </c>
      <c r="B19" s="8"/>
      <c r="C19" s="70"/>
      <c r="D19" s="8"/>
      <c r="E19" s="31"/>
      <c r="F19" s="8"/>
      <c r="H19" s="1"/>
    </row>
    <row r="20" spans="1:10" ht="15.75">
      <c r="A20" s="429" t="s">
        <v>561</v>
      </c>
      <c r="B20" s="210"/>
      <c r="C20" s="430"/>
      <c r="D20" s="430"/>
      <c r="E20" s="31"/>
      <c r="F20" s="8"/>
      <c r="H20" s="1"/>
      <c r="J20" s="73"/>
    </row>
    <row r="21" spans="1:10" ht="15.75">
      <c r="A21" s="69" t="s">
        <v>562</v>
      </c>
      <c r="B21" s="8"/>
      <c r="C21" s="70"/>
      <c r="D21" s="8"/>
      <c r="E21" s="31"/>
      <c r="F21" s="8"/>
      <c r="H21" s="1"/>
      <c r="J21" s="73"/>
    </row>
    <row r="22" spans="1:10" ht="15.75">
      <c r="A22" s="69" t="s">
        <v>563</v>
      </c>
      <c r="B22" s="210"/>
      <c r="C22" s="430"/>
      <c r="D22" s="430"/>
      <c r="E22" s="26"/>
      <c r="F22" s="8"/>
      <c r="H22" s="1"/>
      <c r="J22" s="73"/>
    </row>
    <row r="23" spans="1:10" ht="15.75">
      <c r="A23" s="88" t="s">
        <v>564</v>
      </c>
      <c r="B23" s="210"/>
      <c r="C23" s="430"/>
      <c r="D23" s="430"/>
      <c r="E23" s="26"/>
      <c r="F23" s="8"/>
      <c r="H23" s="1"/>
      <c r="J23" s="73"/>
    </row>
    <row r="24" spans="1:10" ht="15.75">
      <c r="A24" s="69" t="s">
        <v>565</v>
      </c>
      <c r="B24" s="906"/>
      <c r="C24" s="442"/>
      <c r="D24" s="18"/>
      <c r="E24" s="18"/>
      <c r="F24" s="8"/>
      <c r="H24" s="1"/>
      <c r="J24" s="73"/>
    </row>
    <row r="25" spans="1:10" ht="15.75">
      <c r="A25" s="69"/>
      <c r="B25" s="8"/>
      <c r="C25" s="70"/>
      <c r="D25" s="8"/>
      <c r="E25" s="31"/>
      <c r="F25" s="8"/>
      <c r="H25" s="1"/>
      <c r="J25" s="73"/>
    </row>
    <row r="27" spans="1:12" ht="18.75">
      <c r="A27" s="71" t="s">
        <v>369</v>
      </c>
      <c r="B27" s="68"/>
      <c r="C27" s="68"/>
      <c r="I27" s="72"/>
      <c r="J27" s="73"/>
      <c r="K27" s="74"/>
      <c r="L27" s="75"/>
    </row>
    <row r="28" spans="1:11" ht="15.75">
      <c r="A28" s="76"/>
      <c r="B28" s="77"/>
      <c r="C28" s="77"/>
      <c r="D28" s="26"/>
      <c r="E28" s="26"/>
      <c r="F28" s="78"/>
      <c r="H28" s="78"/>
      <c r="I28" s="79"/>
      <c r="K28" s="74"/>
    </row>
    <row r="29" spans="1:11" ht="15.75">
      <c r="A29" s="76" t="s">
        <v>370</v>
      </c>
      <c r="B29" s="77"/>
      <c r="C29" s="77"/>
      <c r="D29" s="26"/>
      <c r="E29" s="26"/>
      <c r="F29" s="78"/>
      <c r="H29" s="78">
        <f>H33+H51</f>
        <v>390461067.86999995</v>
      </c>
      <c r="I29" s="79"/>
      <c r="K29" s="74"/>
    </row>
    <row r="30" spans="1:11" ht="15.75">
      <c r="A30" s="76" t="s">
        <v>371</v>
      </c>
      <c r="B30" s="77"/>
      <c r="C30" s="77"/>
      <c r="D30" s="26"/>
      <c r="E30" s="26"/>
      <c r="F30" s="78"/>
      <c r="H30" s="78">
        <f>H34+H52</f>
        <v>393703990.5899999</v>
      </c>
      <c r="I30" s="211"/>
      <c r="K30" s="74"/>
    </row>
    <row r="31" spans="1:11" ht="15.75">
      <c r="A31" s="80" t="s">
        <v>372</v>
      </c>
      <c r="B31" s="81"/>
      <c r="C31" s="81"/>
      <c r="D31" s="26"/>
      <c r="E31" s="26"/>
      <c r="F31" s="78"/>
      <c r="H31" s="78"/>
      <c r="I31" s="211"/>
      <c r="J31" s="73"/>
      <c r="K31" s="74"/>
    </row>
    <row r="32" spans="1:11" ht="15.75">
      <c r="A32" s="80"/>
      <c r="B32" s="81"/>
      <c r="C32" s="81"/>
      <c r="D32" s="26"/>
      <c r="E32" s="26"/>
      <c r="F32" s="78"/>
      <c r="H32" s="78"/>
      <c r="I32" s="211"/>
      <c r="K32" s="74"/>
    </row>
    <row r="33" spans="1:11" ht="15.75">
      <c r="A33" s="76" t="s">
        <v>403</v>
      </c>
      <c r="B33" s="77"/>
      <c r="C33" s="77"/>
      <c r="D33" s="83"/>
      <c r="E33" s="26"/>
      <c r="F33" s="1"/>
      <c r="H33" s="78">
        <f>H36+H43</f>
        <v>272481787.84999996</v>
      </c>
      <c r="I33" s="211"/>
      <c r="K33" s="74"/>
    </row>
    <row r="34" spans="1:11" ht="15.75">
      <c r="A34" s="76" t="s">
        <v>371</v>
      </c>
      <c r="B34" s="77"/>
      <c r="C34" s="77"/>
      <c r="D34" s="83"/>
      <c r="E34" s="26"/>
      <c r="F34" s="1"/>
      <c r="H34" s="78">
        <f>H33-D82+F82</f>
        <v>274985979.29999995</v>
      </c>
      <c r="I34" s="211"/>
      <c r="K34" s="74"/>
    </row>
    <row r="35" spans="1:11" ht="15.75">
      <c r="A35" s="80"/>
      <c r="B35" s="68" t="s">
        <v>373</v>
      </c>
      <c r="C35" s="81"/>
      <c r="D35" s="26"/>
      <c r="E35" s="26"/>
      <c r="F35" s="1"/>
      <c r="H35" s="78"/>
      <c r="I35" s="211"/>
      <c r="J35" s="73"/>
      <c r="K35" s="74"/>
    </row>
    <row r="36" spans="1:11" ht="15.75">
      <c r="A36" s="84" t="s">
        <v>374</v>
      </c>
      <c r="B36" s="77"/>
      <c r="C36" s="77"/>
      <c r="D36" s="26"/>
      <c r="E36" s="26"/>
      <c r="F36" s="1"/>
      <c r="H36" s="78">
        <v>255999150.89</v>
      </c>
      <c r="I36" s="211"/>
      <c r="K36" s="74"/>
    </row>
    <row r="37" spans="1:11" ht="15.75">
      <c r="A37" s="84" t="s">
        <v>371</v>
      </c>
      <c r="B37" s="77"/>
      <c r="C37" s="77"/>
      <c r="D37" s="26"/>
      <c r="E37" s="26"/>
      <c r="F37" s="1"/>
      <c r="H37" s="78">
        <f>H36-D75+F69+F71+F73+F78+F79</f>
        <v>258527474.45</v>
      </c>
      <c r="I37" s="211"/>
      <c r="K37" s="74"/>
    </row>
    <row r="38" spans="1:11" ht="15.75">
      <c r="A38" s="84"/>
      <c r="B38" s="85" t="s">
        <v>253</v>
      </c>
      <c r="C38" s="77"/>
      <c r="D38" s="26"/>
      <c r="E38" s="26"/>
      <c r="F38" s="1"/>
      <c r="H38" s="78"/>
      <c r="I38" s="211"/>
      <c r="K38" s="74"/>
    </row>
    <row r="39" spans="1:11" ht="15.75">
      <c r="A39" s="84"/>
      <c r="B39" s="209" t="s">
        <v>254</v>
      </c>
      <c r="C39" s="77"/>
      <c r="D39" s="26"/>
      <c r="E39" s="26"/>
      <c r="F39" s="1"/>
      <c r="H39" s="78"/>
      <c r="I39" s="211"/>
      <c r="K39" s="74"/>
    </row>
    <row r="40" spans="1:11" ht="15.75">
      <c r="A40" s="84"/>
      <c r="B40" s="209" t="s">
        <v>255</v>
      </c>
      <c r="C40" s="81"/>
      <c r="D40" s="26"/>
      <c r="E40" s="26"/>
      <c r="F40" s="1"/>
      <c r="H40" s="78">
        <v>5276468.17</v>
      </c>
      <c r="I40" s="211"/>
      <c r="K40" s="74"/>
    </row>
    <row r="41" spans="1:11" ht="15.75">
      <c r="A41" s="84"/>
      <c r="B41" s="209" t="s">
        <v>375</v>
      </c>
      <c r="C41" s="85"/>
      <c r="D41" s="209"/>
      <c r="E41" s="26"/>
      <c r="F41" s="1"/>
      <c r="H41" s="78">
        <f>H40-D75+F78+F79</f>
        <v>6075870.73</v>
      </c>
      <c r="I41" s="211"/>
      <c r="K41" s="74"/>
    </row>
    <row r="42" spans="1:11" ht="15.75">
      <c r="A42" s="84"/>
      <c r="B42" s="209"/>
      <c r="C42" s="77"/>
      <c r="D42" s="26"/>
      <c r="E42" s="26"/>
      <c r="F42" s="1"/>
      <c r="H42" s="78"/>
      <c r="I42" s="211"/>
      <c r="K42" s="74"/>
    </row>
    <row r="43" spans="1:11" ht="15.75">
      <c r="A43" s="84" t="s">
        <v>256</v>
      </c>
      <c r="B43" s="77"/>
      <c r="C43" s="77"/>
      <c r="D43" s="26"/>
      <c r="E43" s="26"/>
      <c r="F43" s="1"/>
      <c r="H43" s="78">
        <v>16482636.96</v>
      </c>
      <c r="I43" s="211"/>
      <c r="K43" s="74"/>
    </row>
    <row r="44" spans="1:11" ht="15.75">
      <c r="A44" s="84" t="s">
        <v>371</v>
      </c>
      <c r="B44" s="77"/>
      <c r="C44" s="77"/>
      <c r="D44" s="26"/>
      <c r="E44" s="26"/>
      <c r="F44" s="1"/>
      <c r="H44" s="78">
        <f>H43-D80+F72+F81</f>
        <v>16458504.85</v>
      </c>
      <c r="I44" s="211"/>
      <c r="K44" s="74"/>
    </row>
    <row r="45" spans="1:11" ht="15.75">
      <c r="A45" s="84"/>
      <c r="B45" s="85" t="s">
        <v>253</v>
      </c>
      <c r="C45" s="77"/>
      <c r="D45" s="26"/>
      <c r="E45" s="26"/>
      <c r="F45" s="1"/>
      <c r="H45" s="78"/>
      <c r="I45" s="211"/>
      <c r="K45" s="74"/>
    </row>
    <row r="46" spans="1:11" ht="15.75">
      <c r="A46" s="84"/>
      <c r="B46" s="209" t="s">
        <v>254</v>
      </c>
      <c r="C46" s="77"/>
      <c r="D46" s="26"/>
      <c r="E46" s="26"/>
      <c r="F46" s="1"/>
      <c r="H46" s="78"/>
      <c r="I46" s="211"/>
      <c r="K46" s="74"/>
    </row>
    <row r="47" spans="1:11" ht="15.75">
      <c r="A47" s="84"/>
      <c r="B47" s="209" t="s">
        <v>255</v>
      </c>
      <c r="C47" s="81"/>
      <c r="D47" s="26"/>
      <c r="E47" s="26"/>
      <c r="F47" s="1"/>
      <c r="H47" s="78">
        <v>2644561</v>
      </c>
      <c r="I47" s="211"/>
      <c r="K47" s="74"/>
    </row>
    <row r="48" spans="1:11" ht="15.75">
      <c r="A48" s="84"/>
      <c r="B48" s="209" t="s">
        <v>375</v>
      </c>
      <c r="C48" s="85"/>
      <c r="D48" s="209"/>
      <c r="E48" s="26"/>
      <c r="F48" s="1"/>
      <c r="H48" s="78">
        <f>H47-D80+F81</f>
        <v>2457396.86</v>
      </c>
      <c r="I48" s="211"/>
      <c r="K48" s="74"/>
    </row>
    <row r="49" spans="1:11" ht="15.75">
      <c r="A49" s="84"/>
      <c r="B49" s="77"/>
      <c r="C49" s="77"/>
      <c r="D49" s="26"/>
      <c r="E49" s="26"/>
      <c r="F49" s="1"/>
      <c r="H49" s="78"/>
      <c r="I49" s="211"/>
      <c r="K49" s="74"/>
    </row>
    <row r="50" spans="1:11" ht="15.75">
      <c r="A50" s="84"/>
      <c r="B50" s="209"/>
      <c r="C50" s="77"/>
      <c r="D50" s="26"/>
      <c r="E50" s="26"/>
      <c r="F50" s="1"/>
      <c r="H50" s="78"/>
      <c r="I50" s="79"/>
      <c r="K50" s="74"/>
    </row>
    <row r="51" spans="1:11" ht="15.75">
      <c r="A51" s="76" t="s">
        <v>664</v>
      </c>
      <c r="B51" s="77"/>
      <c r="C51" s="77"/>
      <c r="D51" s="83"/>
      <c r="E51" s="92"/>
      <c r="F51" s="1"/>
      <c r="H51" s="78">
        <v>117979280.02</v>
      </c>
      <c r="I51" s="79"/>
      <c r="K51" s="74"/>
    </row>
    <row r="52" spans="1:11" ht="15.75">
      <c r="A52" s="76" t="s">
        <v>371</v>
      </c>
      <c r="B52" s="77"/>
      <c r="C52" s="77"/>
      <c r="D52" s="83"/>
      <c r="E52" s="92"/>
      <c r="F52" s="1"/>
      <c r="H52" s="78">
        <f>H51-D101+F101</f>
        <v>118718011.28999999</v>
      </c>
      <c r="I52" s="211"/>
      <c r="K52" s="74"/>
    </row>
    <row r="53" spans="1:11" ht="15.75">
      <c r="A53" s="80"/>
      <c r="B53" s="68" t="s">
        <v>373</v>
      </c>
      <c r="C53" s="81"/>
      <c r="D53" s="26"/>
      <c r="E53" s="92"/>
      <c r="F53" s="1"/>
      <c r="H53" s="78"/>
      <c r="I53" s="211"/>
      <c r="K53" s="74"/>
    </row>
    <row r="54" spans="1:11" ht="15.75">
      <c r="A54" s="84" t="s">
        <v>374</v>
      </c>
      <c r="B54" s="77"/>
      <c r="C54" s="77"/>
      <c r="D54" s="26"/>
      <c r="E54" s="92"/>
      <c r="F54" s="1"/>
      <c r="H54" s="78">
        <v>117849280.02</v>
      </c>
      <c r="I54" s="211"/>
      <c r="K54" s="74"/>
    </row>
    <row r="55" spans="1:11" ht="15.75">
      <c r="A55" s="84" t="s">
        <v>371</v>
      </c>
      <c r="B55" s="77"/>
      <c r="C55" s="77"/>
      <c r="D55" s="26"/>
      <c r="E55" s="92"/>
      <c r="F55" s="1"/>
      <c r="H55" s="78">
        <f>H54-D101+F101</f>
        <v>118588011.28999999</v>
      </c>
      <c r="I55" s="211"/>
      <c r="K55" s="74"/>
    </row>
    <row r="56" spans="1:11" ht="15.75">
      <c r="A56" s="84"/>
      <c r="B56" s="81" t="s">
        <v>351</v>
      </c>
      <c r="C56" s="77"/>
      <c r="D56" s="26"/>
      <c r="E56" s="92"/>
      <c r="F56" s="1"/>
      <c r="H56" s="78"/>
      <c r="I56" s="211"/>
      <c r="K56" s="74"/>
    </row>
    <row r="57" spans="1:11" ht="15.75">
      <c r="A57" s="84"/>
      <c r="B57" s="209" t="s">
        <v>254</v>
      </c>
      <c r="C57" s="77"/>
      <c r="D57" s="26"/>
      <c r="E57" s="26"/>
      <c r="F57" s="1"/>
      <c r="H57" s="1"/>
      <c r="I57" s="79"/>
      <c r="K57" s="74"/>
    </row>
    <row r="58" spans="1:11" ht="15.75">
      <c r="A58" s="84"/>
      <c r="B58" s="209" t="s">
        <v>255</v>
      </c>
      <c r="C58" s="81"/>
      <c r="D58" s="26"/>
      <c r="E58" s="26"/>
      <c r="F58" s="1"/>
      <c r="H58" s="1">
        <v>1342006.02</v>
      </c>
      <c r="I58" s="79"/>
      <c r="K58" s="74"/>
    </row>
    <row r="59" spans="1:11" ht="15.75">
      <c r="A59" s="84"/>
      <c r="B59" s="209" t="s">
        <v>375</v>
      </c>
      <c r="C59" s="85"/>
      <c r="D59" s="209"/>
      <c r="E59" s="26"/>
      <c r="F59" s="1"/>
      <c r="H59" s="1">
        <f>H58-D98-D100</f>
        <v>1159488.29</v>
      </c>
      <c r="I59" s="79"/>
      <c r="K59" s="74"/>
    </row>
    <row r="60" spans="1:11" ht="15.75">
      <c r="A60" s="84"/>
      <c r="B60" s="209"/>
      <c r="C60" s="77"/>
      <c r="D60" s="26"/>
      <c r="E60" s="26"/>
      <c r="F60" s="1"/>
      <c r="H60" s="1"/>
      <c r="I60" s="79"/>
      <c r="K60" s="74"/>
    </row>
    <row r="61" spans="1:11" ht="15.75">
      <c r="A61" s="84"/>
      <c r="B61" s="85"/>
      <c r="C61" s="77"/>
      <c r="D61" s="26"/>
      <c r="E61" s="26"/>
      <c r="F61" s="1"/>
      <c r="H61" s="1"/>
      <c r="I61" s="72"/>
      <c r="K61" s="74"/>
    </row>
    <row r="62" spans="1:11" ht="19.5">
      <c r="A62" s="89" t="s">
        <v>402</v>
      </c>
      <c r="B62" s="90"/>
      <c r="C62" s="91"/>
      <c r="D62" s="92"/>
      <c r="E62" s="92"/>
      <c r="F62" s="93"/>
      <c r="G62" s="93"/>
      <c r="H62" s="94"/>
      <c r="I62" s="72"/>
      <c r="K62" s="74"/>
    </row>
    <row r="63" spans="1:11" ht="19.5">
      <c r="A63" s="89"/>
      <c r="B63" s="90"/>
      <c r="C63" s="91"/>
      <c r="D63" s="92"/>
      <c r="E63" s="92"/>
      <c r="F63" s="93"/>
      <c r="G63" s="93"/>
      <c r="H63" s="94"/>
      <c r="I63" s="72"/>
      <c r="K63" s="74"/>
    </row>
    <row r="64" spans="1:11" ht="18.75">
      <c r="A64" s="98" t="s">
        <v>400</v>
      </c>
      <c r="B64" s="99"/>
      <c r="C64" s="100"/>
      <c r="D64" s="88"/>
      <c r="E64" s="88"/>
      <c r="F64" s="97"/>
      <c r="G64" s="97"/>
      <c r="I64" s="72"/>
      <c r="K64" s="74"/>
    </row>
    <row r="65" spans="1:11" ht="18.75">
      <c r="A65" s="95"/>
      <c r="B65" s="95"/>
      <c r="C65" s="95"/>
      <c r="D65" s="88"/>
      <c r="E65" s="88"/>
      <c r="F65" s="97"/>
      <c r="G65" s="97"/>
      <c r="I65" s="72"/>
      <c r="K65" s="74"/>
    </row>
    <row r="66" spans="1:11" ht="18.75">
      <c r="A66" s="101"/>
      <c r="B66" s="101"/>
      <c r="C66" s="102"/>
      <c r="D66" s="10" t="s">
        <v>376</v>
      </c>
      <c r="E66" s="11"/>
      <c r="F66" s="10" t="s">
        <v>377</v>
      </c>
      <c r="G66" s="11"/>
      <c r="I66" s="72"/>
      <c r="K66" s="74"/>
    </row>
    <row r="67" spans="1:11" ht="15" customHeight="1">
      <c r="A67" s="103"/>
      <c r="B67" s="103"/>
      <c r="C67" s="104"/>
      <c r="D67" s="12" t="s">
        <v>352</v>
      </c>
      <c r="E67" s="11" t="s">
        <v>351</v>
      </c>
      <c r="F67" s="12" t="s">
        <v>352</v>
      </c>
      <c r="G67" s="11" t="s">
        <v>351</v>
      </c>
      <c r="I67" s="72"/>
      <c r="K67" s="74"/>
    </row>
    <row r="68" spans="1:11" ht="21">
      <c r="A68" s="105" t="s">
        <v>354</v>
      </c>
      <c r="B68" s="105" t="s">
        <v>360</v>
      </c>
      <c r="C68" s="105" t="s">
        <v>355</v>
      </c>
      <c r="D68" s="13" t="s">
        <v>356</v>
      </c>
      <c r="E68" s="14" t="s">
        <v>357</v>
      </c>
      <c r="F68" s="13" t="s">
        <v>356</v>
      </c>
      <c r="G68" s="14" t="s">
        <v>357</v>
      </c>
      <c r="I68" s="72"/>
      <c r="K68" s="74"/>
    </row>
    <row r="69" spans="1:13" s="116" customFormat="1" ht="18.75">
      <c r="A69" s="216" t="s">
        <v>202</v>
      </c>
      <c r="B69" s="106" t="s">
        <v>203</v>
      </c>
      <c r="C69" s="110" t="s">
        <v>204</v>
      </c>
      <c r="D69" s="107"/>
      <c r="E69" s="107"/>
      <c r="F69" s="107">
        <v>560000</v>
      </c>
      <c r="G69" s="123"/>
      <c r="H69" s="124"/>
      <c r="I69" s="72"/>
      <c r="J69" s="108"/>
      <c r="K69" s="74"/>
      <c r="L69" s="125"/>
      <c r="M69" s="125"/>
    </row>
    <row r="70" spans="1:13" s="116" customFormat="1" ht="18.75">
      <c r="A70" s="106" t="s">
        <v>284</v>
      </c>
      <c r="B70" s="106"/>
      <c r="C70" s="110"/>
      <c r="D70" s="107"/>
      <c r="E70" s="107"/>
      <c r="F70" s="107">
        <f>F71+F72</f>
        <v>1296853.03</v>
      </c>
      <c r="G70" s="123"/>
      <c r="H70" s="124"/>
      <c r="I70" s="72"/>
      <c r="J70" s="108"/>
      <c r="K70" s="74"/>
      <c r="L70" s="125"/>
      <c r="M70" s="125"/>
    </row>
    <row r="71" spans="1:11" ht="18.75">
      <c r="A71" s="113"/>
      <c r="B71" s="128" t="s">
        <v>285</v>
      </c>
      <c r="C71" s="111" t="s">
        <v>286</v>
      </c>
      <c r="D71" s="112"/>
      <c r="E71" s="112"/>
      <c r="F71" s="112">
        <v>1133821</v>
      </c>
      <c r="G71" s="126"/>
      <c r="I71" s="127"/>
      <c r="K71" s="86"/>
    </row>
    <row r="72" spans="1:11" ht="18.75">
      <c r="A72" s="113"/>
      <c r="B72" s="114" t="s">
        <v>309</v>
      </c>
      <c r="C72" s="688" t="s">
        <v>310</v>
      </c>
      <c r="D72" s="112"/>
      <c r="E72" s="112"/>
      <c r="F72" s="112">
        <v>163032.03</v>
      </c>
      <c r="G72" s="126"/>
      <c r="I72" s="127"/>
      <c r="K72" s="86"/>
    </row>
    <row r="73" spans="1:13" s="116" customFormat="1" ht="18.75">
      <c r="A73" s="216" t="s">
        <v>657</v>
      </c>
      <c r="B73" s="106"/>
      <c r="C73" s="110"/>
      <c r="D73" s="107">
        <f>D74+D75+D76</f>
        <v>35885</v>
      </c>
      <c r="E73" s="107"/>
      <c r="F73" s="107">
        <f>F74+F75+F76</f>
        <v>35100</v>
      </c>
      <c r="G73" s="123"/>
      <c r="H73" s="124"/>
      <c r="I73" s="72"/>
      <c r="J73" s="108"/>
      <c r="K73" s="74"/>
      <c r="L73" s="125"/>
      <c r="M73" s="125"/>
    </row>
    <row r="74" spans="1:11" ht="18.75">
      <c r="A74" s="113"/>
      <c r="B74" s="114" t="s">
        <v>288</v>
      </c>
      <c r="C74" s="115" t="s">
        <v>660</v>
      </c>
      <c r="D74" s="112"/>
      <c r="E74" s="112"/>
      <c r="F74" s="112">
        <v>30000</v>
      </c>
      <c r="G74" s="126"/>
      <c r="I74" s="127"/>
      <c r="K74" s="86"/>
    </row>
    <row r="75" spans="1:11" ht="18.75">
      <c r="A75" s="113"/>
      <c r="B75" s="114" t="s">
        <v>211</v>
      </c>
      <c r="C75" s="115" t="s">
        <v>212</v>
      </c>
      <c r="D75" s="112">
        <v>35885</v>
      </c>
      <c r="E75" s="112"/>
      <c r="F75" s="112"/>
      <c r="G75" s="126"/>
      <c r="I75" s="127"/>
      <c r="K75" s="86"/>
    </row>
    <row r="76" spans="1:11" ht="18.75">
      <c r="A76" s="113"/>
      <c r="B76" s="217" t="s">
        <v>292</v>
      </c>
      <c r="C76" s="111" t="s">
        <v>293</v>
      </c>
      <c r="D76" s="112"/>
      <c r="E76" s="112"/>
      <c r="F76" s="112">
        <v>5100</v>
      </c>
      <c r="G76" s="126"/>
      <c r="I76" s="127"/>
      <c r="K76" s="86"/>
    </row>
    <row r="77" spans="1:13" s="116" customFormat="1" ht="18.75">
      <c r="A77" s="106" t="s">
        <v>663</v>
      </c>
      <c r="B77" s="106" t="s">
        <v>3</v>
      </c>
      <c r="C77" s="110"/>
      <c r="D77" s="123">
        <f>SUM(D78:D81)</f>
        <v>187850</v>
      </c>
      <c r="E77" s="123"/>
      <c r="F77" s="123">
        <f>SUM(F78:F81)</f>
        <v>835973.4199999998</v>
      </c>
      <c r="G77" s="123"/>
      <c r="H77" s="124"/>
      <c r="I77" s="72"/>
      <c r="J77" s="108"/>
      <c r="K77" s="74"/>
      <c r="L77" s="125"/>
      <c r="M77" s="125"/>
    </row>
    <row r="78" spans="1:11" ht="18.75">
      <c r="A78" s="114"/>
      <c r="B78" s="114"/>
      <c r="C78" s="424" t="s">
        <v>12</v>
      </c>
      <c r="D78" s="126"/>
      <c r="E78" s="126"/>
      <c r="F78" s="126">
        <f>1176063.4-408503.58</f>
        <v>767559.8199999998</v>
      </c>
      <c r="G78" s="126"/>
      <c r="I78" s="127"/>
      <c r="K78" s="86"/>
    </row>
    <row r="79" spans="1:11" ht="18.75">
      <c r="A79" s="114"/>
      <c r="B79" s="114"/>
      <c r="C79" s="217" t="s">
        <v>260</v>
      </c>
      <c r="D79" s="126"/>
      <c r="E79" s="126"/>
      <c r="F79" s="126">
        <f>62262.18-289.85+5755.41</f>
        <v>67727.74</v>
      </c>
      <c r="G79" s="126"/>
      <c r="I79" s="127"/>
      <c r="K79" s="86"/>
    </row>
    <row r="80" spans="1:11" ht="18.75">
      <c r="A80" s="114"/>
      <c r="B80" s="114"/>
      <c r="C80" s="217" t="s">
        <v>209</v>
      </c>
      <c r="D80" s="126">
        <v>187850</v>
      </c>
      <c r="E80" s="126"/>
      <c r="F80" s="126"/>
      <c r="G80" s="126"/>
      <c r="I80" s="127"/>
      <c r="K80" s="86"/>
    </row>
    <row r="81" spans="1:11" ht="18.75">
      <c r="A81" s="114"/>
      <c r="B81" s="114"/>
      <c r="C81" s="217" t="s">
        <v>210</v>
      </c>
      <c r="D81" s="126"/>
      <c r="E81" s="126"/>
      <c r="F81" s="126">
        <v>685.86</v>
      </c>
      <c r="G81" s="126"/>
      <c r="I81" s="127"/>
      <c r="K81" s="86"/>
    </row>
    <row r="82" spans="1:13" s="48" customFormat="1" ht="19.5" customHeight="1">
      <c r="A82" s="214" t="s">
        <v>361</v>
      </c>
      <c r="B82" s="215"/>
      <c r="C82" s="110"/>
      <c r="D82" s="129">
        <f>D69+D70+D73+D77</f>
        <v>223735</v>
      </c>
      <c r="E82" s="129">
        <f>E69+E70+E73+E77</f>
        <v>0</v>
      </c>
      <c r="F82" s="129">
        <f>F69+F70+F73+F77</f>
        <v>2727926.4499999997</v>
      </c>
      <c r="G82" s="129">
        <f>G69+G70+G73+G77</f>
        <v>0</v>
      </c>
      <c r="H82" s="121"/>
      <c r="I82" s="117"/>
      <c r="J82" s="118"/>
      <c r="K82" s="118"/>
      <c r="L82" s="49"/>
      <c r="M82" s="49"/>
    </row>
    <row r="83" spans="1:13" s="48" customFormat="1" ht="19.5" customHeight="1">
      <c r="A83" s="119"/>
      <c r="B83" s="120"/>
      <c r="C83" s="120"/>
      <c r="D83" s="121"/>
      <c r="E83" s="121"/>
      <c r="F83" s="121"/>
      <c r="G83" s="121"/>
      <c r="I83" s="117"/>
      <c r="J83" s="49"/>
      <c r="K83" s="118"/>
      <c r="L83" s="49"/>
      <c r="M83" s="49"/>
    </row>
    <row r="84" spans="1:13" s="48" customFormat="1" ht="19.5" customHeight="1">
      <c r="A84" s="119"/>
      <c r="B84" s="120"/>
      <c r="C84" s="120"/>
      <c r="D84" s="121"/>
      <c r="E84" s="121"/>
      <c r="F84" s="121"/>
      <c r="G84" s="121"/>
      <c r="I84" s="117"/>
      <c r="J84" s="49"/>
      <c r="K84" s="118"/>
      <c r="L84" s="49"/>
      <c r="M84" s="49"/>
    </row>
    <row r="85" spans="1:11" ht="19.5">
      <c r="A85" s="89" t="s">
        <v>661</v>
      </c>
      <c r="B85" s="90"/>
      <c r="C85" s="91"/>
      <c r="D85" s="92"/>
      <c r="E85" s="92"/>
      <c r="F85" s="93"/>
      <c r="G85" s="93"/>
      <c r="H85" s="94"/>
      <c r="I85" s="72"/>
      <c r="K85" s="74"/>
    </row>
    <row r="86" spans="1:11" ht="19.5">
      <c r="A86" s="89"/>
      <c r="B86" s="90"/>
      <c r="C86" s="91"/>
      <c r="D86" s="92"/>
      <c r="E86" s="92"/>
      <c r="F86" s="93"/>
      <c r="G86" s="93"/>
      <c r="H86" s="94"/>
      <c r="I86" s="72"/>
      <c r="K86" s="74"/>
    </row>
    <row r="87" spans="1:11" ht="19.5">
      <c r="A87" s="89"/>
      <c r="B87" s="90"/>
      <c r="C87" s="91"/>
      <c r="D87" s="92"/>
      <c r="E87" s="92"/>
      <c r="F87" s="93"/>
      <c r="G87" s="93"/>
      <c r="H87" s="94"/>
      <c r="I87" s="72"/>
      <c r="K87" s="74"/>
    </row>
    <row r="88" spans="1:11" ht="18.75">
      <c r="A88" s="98" t="s">
        <v>665</v>
      </c>
      <c r="B88" s="99"/>
      <c r="C88" s="100"/>
      <c r="D88" s="88"/>
      <c r="E88" s="88"/>
      <c r="F88" s="97"/>
      <c r="G88" s="97"/>
      <c r="I88" s="72"/>
      <c r="K88" s="74"/>
    </row>
    <row r="89" spans="1:11" ht="18.75">
      <c r="A89" s="95"/>
      <c r="B89" s="95"/>
      <c r="C89" s="95"/>
      <c r="D89" s="88"/>
      <c r="E89" s="88"/>
      <c r="F89" s="97"/>
      <c r="G89" s="97"/>
      <c r="I89" s="72"/>
      <c r="K89" s="74"/>
    </row>
    <row r="90" spans="1:11" ht="18.75">
      <c r="A90" s="101"/>
      <c r="B90" s="101"/>
      <c r="C90" s="102"/>
      <c r="D90" s="10" t="s">
        <v>376</v>
      </c>
      <c r="E90" s="11"/>
      <c r="F90" s="10" t="s">
        <v>377</v>
      </c>
      <c r="G90" s="11"/>
      <c r="I90" s="72"/>
      <c r="K90" s="74"/>
    </row>
    <row r="91" spans="1:11" ht="15" customHeight="1">
      <c r="A91" s="103"/>
      <c r="B91" s="103"/>
      <c r="C91" s="104"/>
      <c r="D91" s="12" t="s">
        <v>352</v>
      </c>
      <c r="E91" s="11" t="s">
        <v>351</v>
      </c>
      <c r="F91" s="12" t="s">
        <v>352</v>
      </c>
      <c r="G91" s="11" t="s">
        <v>351</v>
      </c>
      <c r="I91" s="72"/>
      <c r="K91" s="74"/>
    </row>
    <row r="92" spans="1:11" ht="21">
      <c r="A92" s="105" t="s">
        <v>354</v>
      </c>
      <c r="B92" s="105" t="s">
        <v>360</v>
      </c>
      <c r="C92" s="105" t="s">
        <v>355</v>
      </c>
      <c r="D92" s="13" t="s">
        <v>356</v>
      </c>
      <c r="E92" s="14" t="s">
        <v>357</v>
      </c>
      <c r="F92" s="13" t="s">
        <v>356</v>
      </c>
      <c r="G92" s="14" t="s">
        <v>357</v>
      </c>
      <c r="I92" s="72"/>
      <c r="K92" s="74"/>
    </row>
    <row r="93" spans="1:13" s="116" customFormat="1" ht="18.75">
      <c r="A93" s="687" t="s">
        <v>284</v>
      </c>
      <c r="B93" s="106"/>
      <c r="C93" s="110"/>
      <c r="D93" s="107"/>
      <c r="E93" s="107"/>
      <c r="F93" s="107">
        <f>F94+F95</f>
        <v>905021</v>
      </c>
      <c r="G93" s="123"/>
      <c r="H93" s="124"/>
      <c r="I93" s="72"/>
      <c r="J93" s="108"/>
      <c r="K93" s="74"/>
      <c r="L93" s="125"/>
      <c r="M93" s="125"/>
    </row>
    <row r="94" spans="1:11" ht="18.75">
      <c r="A94" s="423"/>
      <c r="B94" s="111" t="s">
        <v>285</v>
      </c>
      <c r="C94" s="111" t="s">
        <v>286</v>
      </c>
      <c r="D94" s="112"/>
      <c r="E94" s="112"/>
      <c r="F94" s="112">
        <v>904670</v>
      </c>
      <c r="G94" s="126"/>
      <c r="I94" s="127"/>
      <c r="K94" s="86"/>
    </row>
    <row r="95" spans="1:11" ht="18.75">
      <c r="A95" s="114"/>
      <c r="B95" s="111" t="s">
        <v>287</v>
      </c>
      <c r="C95" s="111" t="s">
        <v>286</v>
      </c>
      <c r="D95" s="112"/>
      <c r="E95" s="112"/>
      <c r="F95" s="112">
        <v>351</v>
      </c>
      <c r="G95" s="126"/>
      <c r="I95" s="127"/>
      <c r="K95" s="86"/>
    </row>
    <row r="96" spans="1:13" s="116" customFormat="1" ht="18.75">
      <c r="A96" s="106" t="s">
        <v>657</v>
      </c>
      <c r="B96" s="110"/>
      <c r="C96" s="110"/>
      <c r="D96" s="107">
        <f>D97+D98</f>
        <v>62610.4</v>
      </c>
      <c r="E96" s="107"/>
      <c r="F96" s="107">
        <f>F97+F98</f>
        <v>16228</v>
      </c>
      <c r="G96" s="123"/>
      <c r="H96" s="124"/>
      <c r="I96" s="72"/>
      <c r="J96" s="108"/>
      <c r="K96" s="74"/>
      <c r="L96" s="125"/>
      <c r="M96" s="125"/>
    </row>
    <row r="97" spans="1:11" ht="18.75">
      <c r="A97" s="114"/>
      <c r="B97" s="111" t="s">
        <v>290</v>
      </c>
      <c r="C97" s="111" t="s">
        <v>308</v>
      </c>
      <c r="D97" s="112"/>
      <c r="E97" s="112"/>
      <c r="F97" s="112">
        <v>16228</v>
      </c>
      <c r="G97" s="126"/>
      <c r="I97" s="127"/>
      <c r="K97" s="86"/>
    </row>
    <row r="98" spans="1:11" ht="18.75">
      <c r="A98" s="114"/>
      <c r="B98" s="111" t="s">
        <v>213</v>
      </c>
      <c r="C98" s="111" t="s">
        <v>212</v>
      </c>
      <c r="D98" s="112">
        <v>62610.4</v>
      </c>
      <c r="E98" s="112"/>
      <c r="F98" s="112"/>
      <c r="G98" s="126"/>
      <c r="I98" s="127"/>
      <c r="K98" s="86"/>
    </row>
    <row r="99" spans="1:11" ht="18.75">
      <c r="A99" s="106" t="s">
        <v>663</v>
      </c>
      <c r="B99" s="106" t="s">
        <v>3</v>
      </c>
      <c r="C99" s="110"/>
      <c r="D99" s="107">
        <f>SUM(D100:D100)</f>
        <v>119907.33</v>
      </c>
      <c r="E99" s="107"/>
      <c r="F99" s="107"/>
      <c r="G99" s="123"/>
      <c r="I99" s="127"/>
      <c r="K99" s="86"/>
    </row>
    <row r="100" spans="1:11" ht="18.75">
      <c r="A100" s="114"/>
      <c r="B100" s="114"/>
      <c r="C100" s="424" t="s">
        <v>12</v>
      </c>
      <c r="D100" s="112">
        <v>119907.33</v>
      </c>
      <c r="E100" s="112"/>
      <c r="F100" s="112"/>
      <c r="G100" s="126"/>
      <c r="I100" s="127"/>
      <c r="K100" s="86"/>
    </row>
    <row r="101" spans="1:13" s="48" customFormat="1" ht="19.5" customHeight="1">
      <c r="A101" s="214" t="s">
        <v>361</v>
      </c>
      <c r="B101" s="215"/>
      <c r="C101" s="110"/>
      <c r="D101" s="129">
        <f>D93+D96+D99</f>
        <v>182517.73</v>
      </c>
      <c r="E101" s="129">
        <f>E93+E96+E99</f>
        <v>0</v>
      </c>
      <c r="F101" s="129">
        <f>F93+F96+F99</f>
        <v>921249</v>
      </c>
      <c r="G101" s="129">
        <f>G93+G96+G99</f>
        <v>0</v>
      </c>
      <c r="H101" s="121"/>
      <c r="I101" s="117"/>
      <c r="J101" s="118"/>
      <c r="K101" s="118"/>
      <c r="L101" s="49"/>
      <c r="M101" s="49"/>
    </row>
    <row r="102" spans="1:13" s="48" customFormat="1" ht="19.5" customHeight="1">
      <c r="A102" s="119"/>
      <c r="B102" s="120"/>
      <c r="C102" s="120"/>
      <c r="D102" s="121"/>
      <c r="E102" s="121"/>
      <c r="F102" s="121"/>
      <c r="G102" s="121"/>
      <c r="I102" s="117"/>
      <c r="J102" s="49"/>
      <c r="K102" s="118"/>
      <c r="L102" s="49"/>
      <c r="M102" s="49"/>
    </row>
    <row r="103" spans="1:13" s="48" customFormat="1" ht="19.5" customHeight="1">
      <c r="A103" s="119"/>
      <c r="B103" s="120"/>
      <c r="C103" s="120"/>
      <c r="D103" s="121"/>
      <c r="E103" s="121"/>
      <c r="F103" s="121"/>
      <c r="G103" s="121"/>
      <c r="I103" s="117"/>
      <c r="J103" s="49"/>
      <c r="K103" s="118"/>
      <c r="L103" s="49"/>
      <c r="M103" s="49"/>
    </row>
    <row r="104" spans="1:13" s="28" customFormat="1" ht="15.75">
      <c r="A104" s="71" t="s">
        <v>567</v>
      </c>
      <c r="B104" s="131"/>
      <c r="C104" s="132"/>
      <c r="H104" s="1"/>
      <c r="I104" s="72"/>
      <c r="J104" s="33"/>
      <c r="K104" s="82"/>
      <c r="L104" s="33"/>
      <c r="M104" s="33"/>
    </row>
    <row r="105" spans="1:23" ht="15.75">
      <c r="A105" s="130"/>
      <c r="B105" s="130"/>
      <c r="C105" s="130"/>
      <c r="D105" s="28"/>
      <c r="E105" s="28"/>
      <c r="F105" s="28"/>
      <c r="G105" s="28"/>
      <c r="H105" s="1"/>
      <c r="I105" s="133"/>
      <c r="J105" s="38"/>
      <c r="K105" s="134"/>
      <c r="L105" s="37"/>
      <c r="M105" s="37"/>
      <c r="N105" s="16"/>
      <c r="O105" s="16"/>
      <c r="P105" s="16"/>
      <c r="Q105" s="135"/>
      <c r="R105" s="135"/>
      <c r="S105" s="135"/>
      <c r="T105" s="135"/>
      <c r="U105" s="135"/>
      <c r="V105" s="135"/>
      <c r="W105" s="135"/>
    </row>
    <row r="106" spans="1:23" ht="18.75">
      <c r="A106" s="71"/>
      <c r="B106" s="131"/>
      <c r="C106" s="132"/>
      <c r="D106" s="16"/>
      <c r="E106" s="16"/>
      <c r="F106" s="16"/>
      <c r="G106" s="16"/>
      <c r="H106" s="17"/>
      <c r="I106" s="136"/>
      <c r="J106" s="137"/>
      <c r="K106" s="134"/>
      <c r="L106" s="37"/>
      <c r="M106" s="37"/>
      <c r="N106" s="16"/>
      <c r="O106" s="16"/>
      <c r="P106" s="16"/>
      <c r="Q106" s="135"/>
      <c r="R106" s="135"/>
      <c r="S106" s="135"/>
      <c r="T106" s="135"/>
      <c r="U106" s="135"/>
      <c r="V106" s="135"/>
      <c r="W106" s="135"/>
    </row>
    <row r="107" spans="1:23" ht="15.75">
      <c r="A107" s="71"/>
      <c r="B107" s="138" t="s">
        <v>378</v>
      </c>
      <c r="C107" s="139"/>
      <c r="D107" s="16"/>
      <c r="E107" s="16"/>
      <c r="F107" s="16"/>
      <c r="G107" s="16"/>
      <c r="H107" s="140">
        <f>H110+H126</f>
        <v>386147343.03000003</v>
      </c>
      <c r="I107" s="136"/>
      <c r="J107" s="137"/>
      <c r="K107" s="134"/>
      <c r="L107" s="37"/>
      <c r="M107" s="37"/>
      <c r="N107" s="16"/>
      <c r="O107" s="16"/>
      <c r="P107" s="16"/>
      <c r="Q107" s="135"/>
      <c r="R107" s="135"/>
      <c r="S107" s="135"/>
      <c r="T107" s="135"/>
      <c r="U107" s="135"/>
      <c r="V107" s="135"/>
      <c r="W107" s="135"/>
    </row>
    <row r="108" spans="1:23" ht="15.75">
      <c r="A108" s="71"/>
      <c r="B108" s="138" t="s">
        <v>375</v>
      </c>
      <c r="C108" s="139"/>
      <c r="D108" s="16"/>
      <c r="E108" s="16"/>
      <c r="F108" s="16"/>
      <c r="G108" s="16"/>
      <c r="H108" s="140">
        <f>H111+H127</f>
        <v>400290265.75</v>
      </c>
      <c r="I108" s="212"/>
      <c r="J108" s="137"/>
      <c r="K108" s="134"/>
      <c r="L108" s="37"/>
      <c r="M108" s="37"/>
      <c r="N108" s="16"/>
      <c r="O108" s="16"/>
      <c r="P108" s="16"/>
      <c r="Q108" s="135"/>
      <c r="R108" s="135"/>
      <c r="S108" s="135"/>
      <c r="T108" s="135"/>
      <c r="U108" s="135"/>
      <c r="V108" s="135"/>
      <c r="W108" s="135"/>
    </row>
    <row r="109" spans="1:23" ht="15.75">
      <c r="A109" s="71"/>
      <c r="B109" s="142" t="s">
        <v>373</v>
      </c>
      <c r="C109" s="132"/>
      <c r="D109" s="16"/>
      <c r="E109" s="16"/>
      <c r="F109" s="16"/>
      <c r="G109" s="16"/>
      <c r="H109" s="140"/>
      <c r="I109" s="212"/>
      <c r="J109" s="137"/>
      <c r="K109" s="134"/>
      <c r="L109" s="37"/>
      <c r="M109" s="37"/>
      <c r="N109" s="16"/>
      <c r="O109" s="16"/>
      <c r="P109" s="16"/>
      <c r="Q109" s="135"/>
      <c r="R109" s="135"/>
      <c r="S109" s="135"/>
      <c r="T109" s="135"/>
      <c r="U109" s="135"/>
      <c r="V109" s="135"/>
      <c r="W109" s="135"/>
    </row>
    <row r="110" spans="1:23" ht="15.75">
      <c r="A110" s="144" t="s">
        <v>379</v>
      </c>
      <c r="B110" s="144"/>
      <c r="C110" s="144"/>
      <c r="D110" s="92"/>
      <c r="E110" s="88"/>
      <c r="F110" s="88"/>
      <c r="G110" s="16"/>
      <c r="H110" s="140">
        <f>H113+H122</f>
        <v>263548493.01000002</v>
      </c>
      <c r="I110" s="212"/>
      <c r="J110" s="137"/>
      <c r="K110" s="134"/>
      <c r="L110" s="37"/>
      <c r="M110" s="37"/>
      <c r="N110" s="16"/>
      <c r="O110" s="16"/>
      <c r="P110" s="16"/>
      <c r="Q110" s="135"/>
      <c r="R110" s="135"/>
      <c r="S110" s="135"/>
      <c r="T110" s="135"/>
      <c r="U110" s="135"/>
      <c r="V110" s="135"/>
      <c r="W110" s="135"/>
    </row>
    <row r="111" spans="1:23" ht="15.75">
      <c r="A111" s="144"/>
      <c r="B111" s="145" t="s">
        <v>375</v>
      </c>
      <c r="C111" s="144"/>
      <c r="D111" s="92"/>
      <c r="E111" s="88"/>
      <c r="F111" s="88"/>
      <c r="G111" s="16"/>
      <c r="H111" s="140">
        <f>H110-D254+F254</f>
        <v>275978560.86</v>
      </c>
      <c r="I111" s="212"/>
      <c r="J111" s="137"/>
      <c r="K111" s="134"/>
      <c r="L111" s="37"/>
      <c r="M111" s="37"/>
      <c r="N111" s="16"/>
      <c r="O111" s="16"/>
      <c r="P111" s="16"/>
      <c r="Q111" s="135"/>
      <c r="R111" s="135"/>
      <c r="S111" s="135"/>
      <c r="T111" s="135"/>
      <c r="U111" s="135"/>
      <c r="V111" s="135"/>
      <c r="W111" s="135"/>
    </row>
    <row r="112" spans="1:23" ht="15.75">
      <c r="A112" s="87" t="s">
        <v>352</v>
      </c>
      <c r="B112" s="87" t="s">
        <v>380</v>
      </c>
      <c r="C112" s="87"/>
      <c r="D112" s="88"/>
      <c r="E112" s="88"/>
      <c r="F112" s="88"/>
      <c r="G112" s="16"/>
      <c r="H112" s="140"/>
      <c r="I112" s="212"/>
      <c r="J112" s="137"/>
      <c r="K112" s="134"/>
      <c r="L112" s="37"/>
      <c r="M112" s="37"/>
      <c r="N112" s="16"/>
      <c r="O112" s="16"/>
      <c r="P112" s="16"/>
      <c r="Q112" s="135"/>
      <c r="R112" s="135"/>
      <c r="S112" s="135"/>
      <c r="T112" s="135"/>
      <c r="U112" s="135"/>
      <c r="V112" s="135"/>
      <c r="W112" s="135"/>
    </row>
    <row r="113" spans="1:23" ht="15.75">
      <c r="A113" s="147" t="s">
        <v>381</v>
      </c>
      <c r="B113" s="147"/>
      <c r="C113" s="147"/>
      <c r="D113" s="148"/>
      <c r="E113" s="88"/>
      <c r="F113" s="88"/>
      <c r="G113" s="16"/>
      <c r="H113" s="140">
        <v>242469853.96</v>
      </c>
      <c r="I113" s="212"/>
      <c r="J113" s="137"/>
      <c r="K113" s="134"/>
      <c r="L113" s="37"/>
      <c r="M113" s="37"/>
      <c r="N113" s="16"/>
      <c r="O113" s="16"/>
      <c r="P113" s="16"/>
      <c r="Q113" s="135"/>
      <c r="R113" s="135"/>
      <c r="S113" s="135"/>
      <c r="T113" s="135"/>
      <c r="U113" s="135"/>
      <c r="V113" s="135"/>
      <c r="W113" s="135"/>
    </row>
    <row r="114" spans="1:23" ht="15.75">
      <c r="A114" s="147"/>
      <c r="B114" s="149" t="s">
        <v>375</v>
      </c>
      <c r="C114" s="147"/>
      <c r="D114" s="148"/>
      <c r="E114" s="92"/>
      <c r="F114" s="148"/>
      <c r="G114" s="16"/>
      <c r="H114" s="140">
        <f>H113-D254+F254-F153-F167-F168-F172-F176-F177-F184-F188-F190-F235-F236-F240-F241-F245</f>
        <v>246716563.78</v>
      </c>
      <c r="I114" s="212"/>
      <c r="J114" s="137"/>
      <c r="K114" s="134"/>
      <c r="L114" s="37"/>
      <c r="M114" s="37"/>
      <c r="N114" s="16"/>
      <c r="O114" s="16"/>
      <c r="P114" s="16"/>
      <c r="Q114" s="135"/>
      <c r="R114" s="135"/>
      <c r="S114" s="135"/>
      <c r="T114" s="135"/>
      <c r="U114" s="135"/>
      <c r="V114" s="135"/>
      <c r="W114" s="135"/>
    </row>
    <row r="115" spans="1:23" ht="15.75">
      <c r="A115" s="147"/>
      <c r="B115" s="682" t="s">
        <v>351</v>
      </c>
      <c r="C115" s="147"/>
      <c r="D115" s="148"/>
      <c r="E115" s="92"/>
      <c r="F115" s="148"/>
      <c r="G115" s="16"/>
      <c r="H115" s="140"/>
      <c r="I115" s="212"/>
      <c r="J115" s="137"/>
      <c r="K115" s="134"/>
      <c r="L115" s="37"/>
      <c r="M115" s="37"/>
      <c r="N115" s="16"/>
      <c r="O115" s="16"/>
      <c r="P115" s="16"/>
      <c r="Q115" s="135"/>
      <c r="R115" s="135"/>
      <c r="S115" s="135"/>
      <c r="T115" s="135"/>
      <c r="U115" s="135"/>
      <c r="V115" s="135"/>
      <c r="W115" s="135"/>
    </row>
    <row r="116" spans="1:23" ht="15.75">
      <c r="A116" s="84"/>
      <c r="B116" s="683" t="s">
        <v>196</v>
      </c>
      <c r="C116" s="77"/>
      <c r="D116" s="26"/>
      <c r="E116" s="92"/>
      <c r="F116" s="148"/>
      <c r="G116" s="16"/>
      <c r="H116" s="140"/>
      <c r="I116" s="212"/>
      <c r="J116" s="137"/>
      <c r="K116" s="134"/>
      <c r="L116" s="37"/>
      <c r="M116" s="37"/>
      <c r="N116" s="16"/>
      <c r="O116" s="16"/>
      <c r="P116" s="16"/>
      <c r="Q116" s="135"/>
      <c r="R116" s="135"/>
      <c r="S116" s="135"/>
      <c r="T116" s="135"/>
      <c r="U116" s="135"/>
      <c r="V116" s="135"/>
      <c r="W116" s="135"/>
    </row>
    <row r="117" spans="1:23" ht="15.75">
      <c r="A117" s="84"/>
      <c r="B117" s="85" t="s">
        <v>251</v>
      </c>
      <c r="C117" s="77"/>
      <c r="D117" s="26"/>
      <c r="E117" s="92"/>
      <c r="F117" s="148"/>
      <c r="G117" s="16"/>
      <c r="H117" s="140"/>
      <c r="I117" s="212"/>
      <c r="J117" s="137"/>
      <c r="K117" s="134"/>
      <c r="L117" s="37"/>
      <c r="M117" s="37"/>
      <c r="N117" s="16"/>
      <c r="O117" s="16"/>
      <c r="P117" s="16"/>
      <c r="Q117" s="135"/>
      <c r="R117" s="135"/>
      <c r="S117" s="135"/>
      <c r="T117" s="135"/>
      <c r="U117" s="135"/>
      <c r="V117" s="135"/>
      <c r="W117" s="135"/>
    </row>
    <row r="118" spans="1:23" ht="15.75">
      <c r="A118" s="84"/>
      <c r="B118" s="85" t="s">
        <v>252</v>
      </c>
      <c r="C118" s="77"/>
      <c r="D118" s="26"/>
      <c r="E118" s="92"/>
      <c r="F118" s="148"/>
      <c r="G118" s="16"/>
      <c r="H118" s="143">
        <v>5305249.13</v>
      </c>
      <c r="I118" s="212"/>
      <c r="J118" s="137"/>
      <c r="K118" s="134"/>
      <c r="L118" s="37"/>
      <c r="M118" s="37"/>
      <c r="N118" s="16"/>
      <c r="O118" s="16"/>
      <c r="P118" s="16"/>
      <c r="Q118" s="135"/>
      <c r="R118" s="135"/>
      <c r="S118" s="135"/>
      <c r="T118" s="135"/>
      <c r="U118" s="135"/>
      <c r="V118" s="135"/>
      <c r="W118" s="135"/>
    </row>
    <row r="119" spans="1:23" ht="15.75">
      <c r="A119" s="84"/>
      <c r="B119" s="85" t="s">
        <v>375</v>
      </c>
      <c r="C119" s="77"/>
      <c r="D119" s="26"/>
      <c r="E119" s="92"/>
      <c r="F119" s="148"/>
      <c r="G119" s="16"/>
      <c r="H119" s="143">
        <f>H118-D195+F195-F216+F180+F181+F183</f>
        <v>6872772.14</v>
      </c>
      <c r="I119" s="136"/>
      <c r="J119" s="137"/>
      <c r="K119" s="134"/>
      <c r="L119" s="37"/>
      <c r="M119" s="37"/>
      <c r="N119" s="16"/>
      <c r="O119" s="16"/>
      <c r="P119" s="16"/>
      <c r="Q119" s="135"/>
      <c r="R119" s="135"/>
      <c r="S119" s="135"/>
      <c r="T119" s="135"/>
      <c r="U119" s="135"/>
      <c r="V119" s="135"/>
      <c r="W119" s="135"/>
    </row>
    <row r="120" spans="1:23" ht="15.75">
      <c r="A120" s="84"/>
      <c r="B120" s="85"/>
      <c r="C120" s="77"/>
      <c r="D120" s="26"/>
      <c r="E120" s="92"/>
      <c r="F120" s="148"/>
      <c r="G120" s="16"/>
      <c r="H120" s="143"/>
      <c r="I120" s="136"/>
      <c r="J120" s="137"/>
      <c r="K120" s="134"/>
      <c r="L120" s="37"/>
      <c r="M120" s="37"/>
      <c r="N120" s="16"/>
      <c r="O120" s="16"/>
      <c r="P120" s="16"/>
      <c r="Q120" s="135"/>
      <c r="R120" s="135"/>
      <c r="S120" s="135"/>
      <c r="T120" s="135"/>
      <c r="U120" s="135"/>
      <c r="V120" s="135"/>
      <c r="W120" s="135"/>
    </row>
    <row r="121" spans="1:23" ht="15.75">
      <c r="A121" s="147"/>
      <c r="B121" s="149"/>
      <c r="C121" s="147"/>
      <c r="D121" s="148"/>
      <c r="E121" s="92"/>
      <c r="F121" s="148"/>
      <c r="G121" s="16"/>
      <c r="H121" s="140"/>
      <c r="I121" s="136"/>
      <c r="J121" s="137"/>
      <c r="K121" s="134"/>
      <c r="L121" s="37"/>
      <c r="M121" s="37"/>
      <c r="N121" s="16"/>
      <c r="O121" s="16"/>
      <c r="P121" s="16"/>
      <c r="Q121" s="135"/>
      <c r="R121" s="135"/>
      <c r="S121" s="135"/>
      <c r="T121" s="135"/>
      <c r="U121" s="135"/>
      <c r="V121" s="135"/>
      <c r="W121" s="135"/>
    </row>
    <row r="122" spans="1:23" ht="15.75">
      <c r="A122" s="147" t="s">
        <v>382</v>
      </c>
      <c r="B122" s="147"/>
      <c r="C122" s="144"/>
      <c r="D122" s="148"/>
      <c r="E122" s="92"/>
      <c r="F122" s="148"/>
      <c r="G122" s="16"/>
      <c r="H122" s="140">
        <v>21078639.05</v>
      </c>
      <c r="I122" s="136"/>
      <c r="J122" s="137"/>
      <c r="K122" s="134"/>
      <c r="L122" s="37"/>
      <c r="M122" s="37"/>
      <c r="N122" s="16"/>
      <c r="O122" s="16"/>
      <c r="P122" s="16"/>
      <c r="Q122" s="135"/>
      <c r="R122" s="135"/>
      <c r="S122" s="135"/>
      <c r="T122" s="135"/>
      <c r="U122" s="135"/>
      <c r="V122" s="135"/>
      <c r="W122" s="135"/>
    </row>
    <row r="123" spans="1:23" ht="15.75">
      <c r="A123" s="147"/>
      <c r="B123" s="149" t="s">
        <v>375</v>
      </c>
      <c r="C123" s="144"/>
      <c r="D123" s="148"/>
      <c r="E123" s="92"/>
      <c r="F123" s="148"/>
      <c r="G123" s="16"/>
      <c r="H123" s="140">
        <f>H122+F153+F167+F168+F172+F176+F177+F184+F188+F190+F235+F236+F240+F241+F245</f>
        <v>29261997.080000002</v>
      </c>
      <c r="I123" s="212"/>
      <c r="J123" s="137"/>
      <c r="K123" s="134"/>
      <c r="L123" s="37"/>
      <c r="M123" s="37"/>
      <c r="N123" s="16"/>
      <c r="O123" s="16"/>
      <c r="P123" s="16"/>
      <c r="Q123" s="135"/>
      <c r="R123" s="135"/>
      <c r="S123" s="135"/>
      <c r="T123" s="135"/>
      <c r="U123" s="135"/>
      <c r="V123" s="135"/>
      <c r="W123" s="135"/>
    </row>
    <row r="124" spans="1:23" ht="15.75">
      <c r="A124" s="84"/>
      <c r="B124" s="85"/>
      <c r="C124" s="77"/>
      <c r="D124" s="26"/>
      <c r="E124" s="92"/>
      <c r="F124" s="148"/>
      <c r="G124" s="16"/>
      <c r="H124" s="140"/>
      <c r="I124" s="212"/>
      <c r="J124" s="137"/>
      <c r="K124" s="134"/>
      <c r="L124" s="37"/>
      <c r="M124" s="37"/>
      <c r="N124" s="16"/>
      <c r="O124" s="16"/>
      <c r="P124" s="16"/>
      <c r="Q124" s="135"/>
      <c r="R124" s="135"/>
      <c r="S124" s="135"/>
      <c r="T124" s="135"/>
      <c r="U124" s="135"/>
      <c r="V124" s="135"/>
      <c r="W124" s="135"/>
    </row>
    <row r="125" spans="1:23" ht="15.75">
      <c r="A125" s="147"/>
      <c r="B125" s="149"/>
      <c r="C125" s="144"/>
      <c r="D125" s="148"/>
      <c r="E125" s="92"/>
      <c r="F125" s="148"/>
      <c r="G125" s="16"/>
      <c r="H125" s="140"/>
      <c r="I125" s="141"/>
      <c r="J125" s="38"/>
      <c r="K125" s="134"/>
      <c r="L125" s="37"/>
      <c r="M125" s="37"/>
      <c r="N125" s="16"/>
      <c r="O125" s="16"/>
      <c r="P125" s="16"/>
      <c r="Q125" s="135"/>
      <c r="R125" s="135"/>
      <c r="S125" s="135"/>
      <c r="T125" s="135"/>
      <c r="U125" s="135"/>
      <c r="V125" s="135"/>
      <c r="W125" s="135"/>
    </row>
    <row r="126" spans="1:23" ht="15.75">
      <c r="A126" s="144" t="s">
        <v>383</v>
      </c>
      <c r="B126" s="144"/>
      <c r="C126" s="144"/>
      <c r="D126" s="92"/>
      <c r="E126" s="92"/>
      <c r="F126" s="148"/>
      <c r="G126" s="16"/>
      <c r="H126" s="140">
        <f>H129+H138</f>
        <v>122598850.02</v>
      </c>
      <c r="I126" s="141"/>
      <c r="J126" s="38"/>
      <c r="K126" s="134"/>
      <c r="L126" s="37"/>
      <c r="M126" s="37"/>
      <c r="N126" s="16"/>
      <c r="O126" s="16"/>
      <c r="P126" s="16"/>
      <c r="Q126" s="135"/>
      <c r="R126" s="135"/>
      <c r="S126" s="135"/>
      <c r="T126" s="135"/>
      <c r="U126" s="135"/>
      <c r="V126" s="135"/>
      <c r="W126" s="135"/>
    </row>
    <row r="127" spans="1:11" ht="15.75">
      <c r="A127" s="144"/>
      <c r="B127" s="145" t="s">
        <v>375</v>
      </c>
      <c r="C127" s="144"/>
      <c r="D127" s="92"/>
      <c r="E127" s="92"/>
      <c r="F127" s="148"/>
      <c r="H127" s="78">
        <f>H126-D301+F301</f>
        <v>124311704.89</v>
      </c>
      <c r="I127" s="72"/>
      <c r="J127" s="73"/>
      <c r="K127" s="74"/>
    </row>
    <row r="128" spans="1:12" ht="15.75">
      <c r="A128" s="87" t="s">
        <v>352</v>
      </c>
      <c r="B128" s="87" t="s">
        <v>380</v>
      </c>
      <c r="C128" s="87"/>
      <c r="D128" s="88"/>
      <c r="E128" s="92"/>
      <c r="F128" s="148"/>
      <c r="H128" s="78"/>
      <c r="I128" s="72"/>
      <c r="J128" s="73"/>
      <c r="K128" s="74"/>
      <c r="L128" s="74"/>
    </row>
    <row r="129" spans="1:23" ht="18.75">
      <c r="A129" s="147" t="s">
        <v>381</v>
      </c>
      <c r="B129" s="147"/>
      <c r="C129" s="147"/>
      <c r="D129" s="148"/>
      <c r="E129" s="92"/>
      <c r="F129" s="148"/>
      <c r="G129" s="16"/>
      <c r="H129" s="140">
        <v>112933998.02</v>
      </c>
      <c r="I129" s="17"/>
      <c r="J129" s="150"/>
      <c r="K129" s="134"/>
      <c r="L129" s="134"/>
      <c r="M129" s="37"/>
      <c r="N129" s="151"/>
      <c r="O129" s="16"/>
      <c r="P129" s="16"/>
      <c r="Q129" s="135"/>
      <c r="R129" s="135"/>
      <c r="S129" s="135"/>
      <c r="T129" s="135"/>
      <c r="U129" s="135"/>
      <c r="V129" s="135"/>
      <c r="W129" s="135"/>
    </row>
    <row r="130" spans="1:23" ht="15.75">
      <c r="A130" s="147"/>
      <c r="B130" s="149" t="s">
        <v>375</v>
      </c>
      <c r="C130" s="147"/>
      <c r="D130" s="148"/>
      <c r="E130" s="92"/>
      <c r="F130" s="148"/>
      <c r="G130" s="16"/>
      <c r="H130" s="140">
        <f>H129-D301+F301-F279-F272-F270-F266</f>
        <v>113651852.89</v>
      </c>
      <c r="I130" s="141"/>
      <c r="J130" s="150"/>
      <c r="K130" s="134"/>
      <c r="L130" s="37"/>
      <c r="M130" s="37"/>
      <c r="N130" s="151"/>
      <c r="O130" s="16"/>
      <c r="P130" s="16"/>
      <c r="Q130" s="135"/>
      <c r="R130" s="135"/>
      <c r="S130" s="135"/>
      <c r="T130" s="135"/>
      <c r="U130" s="135"/>
      <c r="V130" s="135"/>
      <c r="W130" s="135"/>
    </row>
    <row r="131" spans="1:23" ht="15.75">
      <c r="A131" s="15"/>
      <c r="B131" s="441" t="s">
        <v>351</v>
      </c>
      <c r="C131" s="442"/>
      <c r="D131" s="18"/>
      <c r="E131" s="92"/>
      <c r="F131" s="148"/>
      <c r="G131" s="16"/>
      <c r="H131" s="140"/>
      <c r="I131" s="141"/>
      <c r="J131" s="150"/>
      <c r="K131" s="134"/>
      <c r="L131" s="37"/>
      <c r="M131" s="37"/>
      <c r="N131" s="151"/>
      <c r="O131" s="16"/>
      <c r="P131" s="16"/>
      <c r="Q131" s="135"/>
      <c r="R131" s="135"/>
      <c r="S131" s="135"/>
      <c r="T131" s="135"/>
      <c r="U131" s="135"/>
      <c r="V131" s="135"/>
      <c r="W131" s="135"/>
    </row>
    <row r="132" spans="1:23" ht="15.75">
      <c r="A132" s="84"/>
      <c r="B132" s="683" t="s">
        <v>196</v>
      </c>
      <c r="C132" s="77"/>
      <c r="D132" s="26"/>
      <c r="E132" s="92"/>
      <c r="F132" s="148"/>
      <c r="G132" s="16"/>
      <c r="H132" s="143"/>
      <c r="I132" s="141"/>
      <c r="J132" s="150"/>
      <c r="K132" s="134"/>
      <c r="L132" s="37"/>
      <c r="M132" s="37"/>
      <c r="N132" s="151"/>
      <c r="O132" s="16"/>
      <c r="P132" s="16"/>
      <c r="Q132" s="135"/>
      <c r="R132" s="135"/>
      <c r="S132" s="135"/>
      <c r="T132" s="135"/>
      <c r="U132" s="135"/>
      <c r="V132" s="135"/>
      <c r="W132" s="135"/>
    </row>
    <row r="133" spans="1:23" ht="15.75">
      <c r="A133" s="84"/>
      <c r="B133" s="85" t="s">
        <v>251</v>
      </c>
      <c r="C133" s="77"/>
      <c r="D133" s="26"/>
      <c r="E133" s="92"/>
      <c r="F133" s="148"/>
      <c r="G133" s="16"/>
      <c r="H133" s="143"/>
      <c r="I133" s="141"/>
      <c r="J133" s="150"/>
      <c r="K133" s="134"/>
      <c r="L133" s="37"/>
      <c r="M133" s="37"/>
      <c r="N133" s="151"/>
      <c r="O133" s="16"/>
      <c r="P133" s="16"/>
      <c r="Q133" s="135"/>
      <c r="R133" s="135"/>
      <c r="S133" s="135"/>
      <c r="T133" s="135"/>
      <c r="U133" s="135"/>
      <c r="V133" s="135"/>
      <c r="W133" s="135"/>
    </row>
    <row r="134" spans="1:23" ht="15.75">
      <c r="A134" s="84"/>
      <c r="B134" s="85" t="s">
        <v>252</v>
      </c>
      <c r="C134" s="77"/>
      <c r="D134" s="26"/>
      <c r="E134" s="92"/>
      <c r="F134" s="148"/>
      <c r="G134" s="16"/>
      <c r="H134" s="143">
        <v>1372006.02</v>
      </c>
      <c r="I134" s="141"/>
      <c r="J134" s="150"/>
      <c r="K134" s="134"/>
      <c r="L134" s="37"/>
      <c r="M134" s="37"/>
      <c r="N134" s="151"/>
      <c r="O134" s="16"/>
      <c r="P134" s="16"/>
      <c r="Q134" s="135"/>
      <c r="R134" s="135"/>
      <c r="S134" s="135"/>
      <c r="T134" s="135"/>
      <c r="U134" s="135"/>
      <c r="V134" s="135"/>
      <c r="W134" s="135"/>
    </row>
    <row r="135" spans="1:23" ht="15.75">
      <c r="A135" s="84"/>
      <c r="B135" s="85" t="s">
        <v>375</v>
      </c>
      <c r="C135" s="77"/>
      <c r="D135" s="26"/>
      <c r="E135" s="92"/>
      <c r="F135" s="148"/>
      <c r="G135" s="16"/>
      <c r="H135" s="143">
        <f>H134-D282-D284+F281+F284</f>
        <v>1400732.8900000001</v>
      </c>
      <c r="I135" s="141"/>
      <c r="J135" s="150"/>
      <c r="K135" s="134"/>
      <c r="L135" s="37"/>
      <c r="M135" s="37"/>
      <c r="N135" s="151"/>
      <c r="O135" s="16"/>
      <c r="P135" s="16"/>
      <c r="Q135" s="135"/>
      <c r="R135" s="135"/>
      <c r="S135" s="135"/>
      <c r="T135" s="135"/>
      <c r="U135" s="135"/>
      <c r="V135" s="135"/>
      <c r="W135" s="135"/>
    </row>
    <row r="136" spans="1:23" ht="15.75">
      <c r="A136" s="147"/>
      <c r="B136" s="149"/>
      <c r="C136" s="147"/>
      <c r="D136" s="148"/>
      <c r="E136" s="92"/>
      <c r="F136" s="148"/>
      <c r="G136" s="16"/>
      <c r="H136" s="140"/>
      <c r="I136" s="141"/>
      <c r="J136" s="150"/>
      <c r="K136" s="134"/>
      <c r="L136" s="37"/>
      <c r="M136" s="37"/>
      <c r="N136" s="151"/>
      <c r="O136" s="16"/>
      <c r="P136" s="16"/>
      <c r="Q136" s="135"/>
      <c r="R136" s="135"/>
      <c r="S136" s="135"/>
      <c r="T136" s="135"/>
      <c r="U136" s="135"/>
      <c r="V136" s="135"/>
      <c r="W136" s="135"/>
    </row>
    <row r="137" spans="1:23" ht="15.75">
      <c r="A137" s="147"/>
      <c r="B137" s="85"/>
      <c r="C137" s="77"/>
      <c r="D137" s="26"/>
      <c r="E137" s="92"/>
      <c r="F137" s="148"/>
      <c r="G137" s="16"/>
      <c r="H137" s="140"/>
      <c r="I137" s="141"/>
      <c r="J137" s="38"/>
      <c r="K137" s="134"/>
      <c r="L137" s="37"/>
      <c r="M137" s="37"/>
      <c r="N137" s="16"/>
      <c r="O137" s="16"/>
      <c r="P137" s="16"/>
      <c r="Q137" s="135"/>
      <c r="R137" s="135"/>
      <c r="S137" s="135"/>
      <c r="T137" s="135"/>
      <c r="U137" s="135"/>
      <c r="V137" s="135"/>
      <c r="W137" s="135"/>
    </row>
    <row r="138" spans="1:23" ht="15.75">
      <c r="A138" s="147" t="s">
        <v>382</v>
      </c>
      <c r="B138" s="147"/>
      <c r="C138" s="144"/>
      <c r="D138" s="148"/>
      <c r="E138" s="92"/>
      <c r="F138" s="148"/>
      <c r="G138" s="16"/>
      <c r="H138" s="140">
        <v>9664852</v>
      </c>
      <c r="I138" s="141"/>
      <c r="J138" s="38"/>
      <c r="K138" s="134"/>
      <c r="L138" s="37"/>
      <c r="M138" s="37"/>
      <c r="N138" s="16"/>
      <c r="O138" s="16"/>
      <c r="P138" s="16"/>
      <c r="Q138" s="135"/>
      <c r="R138" s="135"/>
      <c r="S138" s="135"/>
      <c r="T138" s="135"/>
      <c r="U138" s="135"/>
      <c r="V138" s="135"/>
      <c r="W138" s="135"/>
    </row>
    <row r="139" spans="1:23" ht="15.75">
      <c r="A139" s="147"/>
      <c r="B139" s="149" t="s">
        <v>375</v>
      </c>
      <c r="C139" s="144"/>
      <c r="D139" s="148"/>
      <c r="E139" s="92"/>
      <c r="F139" s="148"/>
      <c r="G139" s="16"/>
      <c r="H139" s="140">
        <f>H138+F266+F270+F272+F279</f>
        <v>10659852</v>
      </c>
      <c r="I139" s="141"/>
      <c r="J139" s="150"/>
      <c r="K139" s="134"/>
      <c r="L139" s="37"/>
      <c r="M139" s="37"/>
      <c r="N139" s="16"/>
      <c r="O139" s="16"/>
      <c r="P139" s="16"/>
      <c r="Q139" s="135"/>
      <c r="R139" s="135"/>
      <c r="S139" s="135"/>
      <c r="T139" s="135"/>
      <c r="U139" s="135"/>
      <c r="V139" s="135"/>
      <c r="W139" s="135"/>
    </row>
    <row r="140" spans="1:23" ht="15.75">
      <c r="A140" s="147"/>
      <c r="B140" s="85"/>
      <c r="C140" s="77"/>
      <c r="D140" s="26"/>
      <c r="E140" s="92"/>
      <c r="F140" s="148"/>
      <c r="G140" s="16"/>
      <c r="H140" s="140"/>
      <c r="I140" s="141"/>
      <c r="J140" s="137"/>
      <c r="K140" s="134"/>
      <c r="L140" s="37"/>
      <c r="M140" s="37"/>
      <c r="N140" s="16"/>
      <c r="O140" s="16"/>
      <c r="P140" s="16"/>
      <c r="Q140" s="135"/>
      <c r="R140" s="135"/>
      <c r="S140" s="135"/>
      <c r="T140" s="135"/>
      <c r="U140" s="135"/>
      <c r="V140" s="135"/>
      <c r="W140" s="135"/>
    </row>
    <row r="141" spans="1:23" ht="18.75">
      <c r="A141" s="144"/>
      <c r="B141" s="145"/>
      <c r="C141" s="144"/>
      <c r="D141" s="148"/>
      <c r="E141" s="92"/>
      <c r="F141" s="148"/>
      <c r="G141" s="16"/>
      <c r="H141" s="17"/>
      <c r="I141" s="141"/>
      <c r="J141" s="150"/>
      <c r="K141" s="134"/>
      <c r="L141" s="137"/>
      <c r="M141" s="152"/>
      <c r="N141" s="151"/>
      <c r="O141" s="151"/>
      <c r="P141" s="16"/>
      <c r="Q141" s="135"/>
      <c r="R141" s="135"/>
      <c r="S141" s="135"/>
      <c r="T141" s="135"/>
      <c r="U141" s="135"/>
      <c r="V141" s="135"/>
      <c r="W141" s="135"/>
    </row>
    <row r="142" spans="1:23" ht="18.75">
      <c r="A142" s="153" t="s">
        <v>363</v>
      </c>
      <c r="B142" s="154"/>
      <c r="C142" s="155"/>
      <c r="D142" s="18"/>
      <c r="E142" s="18"/>
      <c r="F142" s="18"/>
      <c r="G142" s="18"/>
      <c r="H142" s="21"/>
      <c r="I142" s="141"/>
      <c r="J142" s="137"/>
      <c r="K142" s="156"/>
      <c r="L142" s="39"/>
      <c r="M142" s="37"/>
      <c r="N142" s="151"/>
      <c r="O142" s="151"/>
      <c r="P142" s="16"/>
      <c r="Q142" s="16"/>
      <c r="R142" s="16"/>
      <c r="S142" s="16"/>
      <c r="T142" s="16"/>
      <c r="U142" s="16"/>
      <c r="V142" s="16"/>
      <c r="W142" s="16"/>
    </row>
    <row r="143" spans="1:23" ht="18.75">
      <c r="A143" s="153"/>
      <c r="B143" s="154"/>
      <c r="C143" s="155"/>
      <c r="D143" s="18"/>
      <c r="E143" s="18"/>
      <c r="F143" s="18"/>
      <c r="G143" s="18"/>
      <c r="H143" s="21"/>
      <c r="I143" s="141"/>
      <c r="J143" s="39"/>
      <c r="K143" s="156"/>
      <c r="L143" s="157"/>
      <c r="M143" s="37"/>
      <c r="N143" s="16"/>
      <c r="O143" s="16"/>
      <c r="P143" s="16"/>
      <c r="Q143" s="16"/>
      <c r="R143" s="16"/>
      <c r="S143" s="16"/>
      <c r="T143" s="16"/>
      <c r="U143" s="16"/>
      <c r="V143" s="16"/>
      <c r="W143" s="16"/>
    </row>
    <row r="144" spans="1:23" ht="18.75">
      <c r="A144" s="158" t="s">
        <v>568</v>
      </c>
      <c r="B144" s="158"/>
      <c r="C144" s="159"/>
      <c r="D144" s="19"/>
      <c r="E144" s="19"/>
      <c r="F144" s="19"/>
      <c r="G144" s="19"/>
      <c r="H144" s="17"/>
      <c r="I144" s="141"/>
      <c r="J144" s="38"/>
      <c r="K144" s="134"/>
      <c r="L144" s="160"/>
      <c r="M144" s="161"/>
      <c r="N144" s="16"/>
      <c r="O144" s="16"/>
      <c r="P144" s="16"/>
      <c r="Q144" s="16"/>
      <c r="R144" s="16"/>
      <c r="S144" s="16"/>
      <c r="T144" s="16"/>
      <c r="U144" s="16"/>
      <c r="V144" s="16"/>
      <c r="W144" s="16"/>
    </row>
    <row r="145" spans="1:23" ht="18.75">
      <c r="A145" s="158"/>
      <c r="B145" s="158"/>
      <c r="C145" s="159"/>
      <c r="D145" s="19"/>
      <c r="E145" s="19"/>
      <c r="F145" s="19"/>
      <c r="G145" s="19"/>
      <c r="H145" s="17"/>
      <c r="I145" s="141"/>
      <c r="J145" s="38"/>
      <c r="K145" s="134"/>
      <c r="L145" s="146"/>
      <c r="M145" s="134"/>
      <c r="N145" s="16"/>
      <c r="O145" s="16"/>
      <c r="P145" s="16"/>
      <c r="Q145" s="16"/>
      <c r="R145" s="16"/>
      <c r="S145" s="16"/>
      <c r="T145" s="16"/>
      <c r="U145" s="16"/>
      <c r="V145" s="16"/>
      <c r="W145" s="16"/>
    </row>
    <row r="146" spans="1:23" ht="18.75">
      <c r="A146" s="101"/>
      <c r="B146" s="101"/>
      <c r="C146" s="102"/>
      <c r="D146" s="10" t="s">
        <v>349</v>
      </c>
      <c r="E146" s="11"/>
      <c r="F146" s="10" t="s">
        <v>350</v>
      </c>
      <c r="G146" s="11"/>
      <c r="H146" s="17"/>
      <c r="I146" s="141"/>
      <c r="J146" s="38"/>
      <c r="K146" s="134"/>
      <c r="L146" s="37"/>
      <c r="M146" s="37"/>
      <c r="N146" s="16"/>
      <c r="O146" s="16"/>
      <c r="P146" s="16"/>
      <c r="Q146" s="16"/>
      <c r="R146" s="16"/>
      <c r="S146" s="16"/>
      <c r="T146" s="16"/>
      <c r="U146" s="16"/>
      <c r="V146" s="16"/>
      <c r="W146" s="16"/>
    </row>
    <row r="147" spans="1:23" ht="13.5" customHeight="1">
      <c r="A147" s="103"/>
      <c r="B147" s="103"/>
      <c r="C147" s="104"/>
      <c r="D147" s="12" t="s">
        <v>352</v>
      </c>
      <c r="E147" s="11" t="s">
        <v>351</v>
      </c>
      <c r="F147" s="12" t="s">
        <v>352</v>
      </c>
      <c r="G147" s="11" t="s">
        <v>351</v>
      </c>
      <c r="H147" s="17"/>
      <c r="I147" s="141"/>
      <c r="J147" s="38"/>
      <c r="K147" s="134"/>
      <c r="L147" s="37"/>
      <c r="M147" s="37"/>
      <c r="N147" s="16"/>
      <c r="O147" s="16"/>
      <c r="P147" s="16"/>
      <c r="Q147" s="16"/>
      <c r="R147" s="16"/>
      <c r="S147" s="16"/>
      <c r="T147" s="16"/>
      <c r="U147" s="16"/>
      <c r="V147" s="16"/>
      <c r="W147" s="16"/>
    </row>
    <row r="148" spans="1:23" ht="27.75" customHeight="1">
      <c r="A148" s="105" t="s">
        <v>354</v>
      </c>
      <c r="B148" s="105" t="s">
        <v>360</v>
      </c>
      <c r="C148" s="105" t="s">
        <v>355</v>
      </c>
      <c r="D148" s="13" t="s">
        <v>356</v>
      </c>
      <c r="E148" s="14" t="s">
        <v>357</v>
      </c>
      <c r="F148" s="13" t="s">
        <v>356</v>
      </c>
      <c r="G148" s="14" t="s">
        <v>357</v>
      </c>
      <c r="H148" s="17"/>
      <c r="I148" s="156"/>
      <c r="J148" s="38"/>
      <c r="K148" s="134"/>
      <c r="L148" s="37"/>
      <c r="M148" s="37"/>
      <c r="N148" s="16"/>
      <c r="O148" s="16"/>
      <c r="P148" s="16"/>
      <c r="Q148" s="16"/>
      <c r="R148" s="16"/>
      <c r="S148" s="16"/>
      <c r="T148" s="16"/>
      <c r="U148" s="16"/>
      <c r="V148" s="16"/>
      <c r="W148" s="16"/>
    </row>
    <row r="149" spans="1:23" s="29" customFormat="1" ht="19.5" customHeight="1">
      <c r="A149" s="109" t="s">
        <v>311</v>
      </c>
      <c r="B149" s="162"/>
      <c r="C149" s="106"/>
      <c r="D149" s="107"/>
      <c r="E149" s="107"/>
      <c r="F149" s="107">
        <f>F150+F151</f>
        <v>5440032.03</v>
      </c>
      <c r="G149" s="107"/>
      <c r="H149" s="140"/>
      <c r="I149" s="137"/>
      <c r="J149" s="39"/>
      <c r="K149" s="137"/>
      <c r="L149" s="39"/>
      <c r="M149" s="39"/>
      <c r="N149" s="163"/>
      <c r="O149" s="163"/>
      <c r="P149" s="163"/>
      <c r="Q149" s="163"/>
      <c r="R149" s="163"/>
      <c r="S149" s="163"/>
      <c r="T149" s="163"/>
      <c r="U149" s="163"/>
      <c r="V149" s="163"/>
      <c r="W149" s="163"/>
    </row>
    <row r="150" spans="1:23" s="28" customFormat="1" ht="19.5" customHeight="1">
      <c r="A150" s="423"/>
      <c r="B150" s="688" t="s">
        <v>244</v>
      </c>
      <c r="C150" s="217" t="s">
        <v>294</v>
      </c>
      <c r="D150" s="112"/>
      <c r="E150" s="112"/>
      <c r="F150" s="112">
        <v>60000</v>
      </c>
      <c r="G150" s="112"/>
      <c r="H150" s="143"/>
      <c r="I150" s="150"/>
      <c r="J150" s="38"/>
      <c r="K150" s="150"/>
      <c r="L150" s="38"/>
      <c r="M150" s="38"/>
      <c r="N150" s="15"/>
      <c r="O150" s="15"/>
      <c r="P150" s="15"/>
      <c r="Q150" s="15"/>
      <c r="R150" s="15"/>
      <c r="S150" s="15"/>
      <c r="T150" s="15"/>
      <c r="U150" s="15"/>
      <c r="V150" s="15"/>
      <c r="W150" s="15"/>
    </row>
    <row r="151" spans="1:23" s="28" customFormat="1" ht="19.5" customHeight="1">
      <c r="A151" s="114"/>
      <c r="B151" s="688" t="s">
        <v>312</v>
      </c>
      <c r="C151" s="217"/>
      <c r="D151" s="112"/>
      <c r="E151" s="112"/>
      <c r="F151" s="112">
        <f>SUM(F152:F153)</f>
        <v>5380032.03</v>
      </c>
      <c r="G151" s="112"/>
      <c r="H151" s="143"/>
      <c r="I151" s="150"/>
      <c r="J151" s="38"/>
      <c r="K151" s="150"/>
      <c r="L151" s="38"/>
      <c r="M151" s="38"/>
      <c r="N151" s="15"/>
      <c r="O151" s="15"/>
      <c r="P151" s="15"/>
      <c r="Q151" s="15"/>
      <c r="R151" s="15"/>
      <c r="S151" s="15"/>
      <c r="T151" s="15"/>
      <c r="U151" s="15"/>
      <c r="V151" s="15"/>
      <c r="W151" s="15"/>
    </row>
    <row r="152" spans="1:23" s="28" customFormat="1" ht="19.5" customHeight="1">
      <c r="A152" s="113"/>
      <c r="B152" s="423"/>
      <c r="C152" s="111" t="s">
        <v>291</v>
      </c>
      <c r="D152" s="112"/>
      <c r="E152" s="112"/>
      <c r="F152" s="112">
        <f>62000+100000</f>
        <v>162000</v>
      </c>
      <c r="G152" s="112"/>
      <c r="H152" s="143"/>
      <c r="I152" s="150"/>
      <c r="J152" s="38"/>
      <c r="K152" s="150"/>
      <c r="L152" s="38"/>
      <c r="M152" s="38"/>
      <c r="N152" s="15"/>
      <c r="O152" s="15"/>
      <c r="P152" s="15"/>
      <c r="Q152" s="15"/>
      <c r="R152" s="15"/>
      <c r="S152" s="15"/>
      <c r="T152" s="15"/>
      <c r="U152" s="15"/>
      <c r="V152" s="15"/>
      <c r="W152" s="15"/>
    </row>
    <row r="153" spans="1:23" s="28" customFormat="1" ht="19.5" customHeight="1">
      <c r="A153" s="439"/>
      <c r="B153" s="128"/>
      <c r="C153" s="111" t="s">
        <v>305</v>
      </c>
      <c r="D153" s="112"/>
      <c r="E153" s="112"/>
      <c r="F153" s="112">
        <f>163032.03+100000+1000000+50000+900000+900000+20000+85000+1400000+600000</f>
        <v>5218032.03</v>
      </c>
      <c r="G153" s="112"/>
      <c r="H153" s="143"/>
      <c r="I153" s="150"/>
      <c r="J153" s="38"/>
      <c r="K153" s="150"/>
      <c r="L153" s="38"/>
      <c r="M153" s="38"/>
      <c r="N153" s="15"/>
      <c r="O153" s="15"/>
      <c r="P153" s="15"/>
      <c r="Q153" s="15"/>
      <c r="R153" s="15"/>
      <c r="S153" s="15"/>
      <c r="T153" s="15"/>
      <c r="U153" s="15"/>
      <c r="V153" s="15"/>
      <c r="W153" s="15"/>
    </row>
    <row r="154" spans="1:23" s="29" customFormat="1" ht="19.5" customHeight="1">
      <c r="A154" s="106" t="s">
        <v>301</v>
      </c>
      <c r="B154" s="110" t="s">
        <v>302</v>
      </c>
      <c r="C154" s="106"/>
      <c r="D154" s="107"/>
      <c r="E154" s="107"/>
      <c r="F154" s="107">
        <f>SUM(F155:F158)</f>
        <v>87352</v>
      </c>
      <c r="G154" s="107"/>
      <c r="H154" s="140"/>
      <c r="I154" s="137"/>
      <c r="J154" s="39"/>
      <c r="K154" s="137"/>
      <c r="L154" s="39"/>
      <c r="M154" s="39"/>
      <c r="N154" s="163"/>
      <c r="O154" s="163"/>
      <c r="P154" s="163"/>
      <c r="Q154" s="163"/>
      <c r="R154" s="163"/>
      <c r="S154" s="163"/>
      <c r="T154" s="163"/>
      <c r="U154" s="163"/>
      <c r="V154" s="163"/>
      <c r="W154" s="163"/>
    </row>
    <row r="155" spans="1:23" s="28" customFormat="1" ht="19.5" customHeight="1">
      <c r="A155" s="114"/>
      <c r="B155" s="424"/>
      <c r="C155" s="217" t="s">
        <v>291</v>
      </c>
      <c r="D155" s="112"/>
      <c r="E155" s="112"/>
      <c r="F155" s="112">
        <v>15000</v>
      </c>
      <c r="G155" s="112"/>
      <c r="H155" s="143"/>
      <c r="I155" s="150"/>
      <c r="J155" s="38"/>
      <c r="K155" s="150"/>
      <c r="L155" s="38"/>
      <c r="M155" s="38"/>
      <c r="N155" s="15"/>
      <c r="O155" s="15"/>
      <c r="P155" s="15"/>
      <c r="Q155" s="15"/>
      <c r="R155" s="15"/>
      <c r="S155" s="15"/>
      <c r="T155" s="15"/>
      <c r="U155" s="15"/>
      <c r="V155" s="15"/>
      <c r="W155" s="15"/>
    </row>
    <row r="156" spans="1:23" s="28" customFormat="1" ht="19.5" customHeight="1">
      <c r="A156" s="114"/>
      <c r="B156" s="424"/>
      <c r="C156" s="217" t="s">
        <v>294</v>
      </c>
      <c r="D156" s="112"/>
      <c r="E156" s="112"/>
      <c r="F156" s="112">
        <f>52352-50000-200</f>
        <v>2152</v>
      </c>
      <c r="G156" s="112"/>
      <c r="H156" s="143"/>
      <c r="I156" s="150"/>
      <c r="J156" s="38"/>
      <c r="K156" s="150"/>
      <c r="L156" s="38"/>
      <c r="M156" s="38"/>
      <c r="N156" s="15"/>
      <c r="O156" s="15"/>
      <c r="P156" s="15"/>
      <c r="Q156" s="15"/>
      <c r="R156" s="15"/>
      <c r="S156" s="15"/>
      <c r="T156" s="15"/>
      <c r="U156" s="15"/>
      <c r="V156" s="15"/>
      <c r="W156" s="15"/>
    </row>
    <row r="157" spans="1:23" s="28" customFormat="1" ht="19.5" customHeight="1">
      <c r="A157" s="114"/>
      <c r="B157" s="424"/>
      <c r="C157" s="217" t="s">
        <v>57</v>
      </c>
      <c r="D157" s="112"/>
      <c r="E157" s="112"/>
      <c r="F157" s="112">
        <v>200</v>
      </c>
      <c r="G157" s="112"/>
      <c r="H157" s="143"/>
      <c r="I157" s="150"/>
      <c r="J157" s="38"/>
      <c r="K157" s="150"/>
      <c r="L157" s="38"/>
      <c r="M157" s="38"/>
      <c r="N157" s="15"/>
      <c r="O157" s="15"/>
      <c r="P157" s="15"/>
      <c r="Q157" s="15"/>
      <c r="R157" s="15"/>
      <c r="S157" s="15"/>
      <c r="T157" s="15"/>
      <c r="U157" s="15"/>
      <c r="V157" s="15"/>
      <c r="W157" s="15"/>
    </row>
    <row r="158" spans="1:23" s="28" customFormat="1" ht="19.5" customHeight="1">
      <c r="A158" s="114"/>
      <c r="B158" s="424"/>
      <c r="C158" s="217" t="s">
        <v>243</v>
      </c>
      <c r="D158" s="112"/>
      <c r="E158" s="112"/>
      <c r="F158" s="112">
        <v>70000</v>
      </c>
      <c r="G158" s="112"/>
      <c r="H158" s="143"/>
      <c r="I158" s="150"/>
      <c r="J158" s="38"/>
      <c r="K158" s="150"/>
      <c r="L158" s="38"/>
      <c r="M158" s="38"/>
      <c r="N158" s="15"/>
      <c r="O158" s="15"/>
      <c r="P158" s="15"/>
      <c r="Q158" s="15"/>
      <c r="R158" s="15"/>
      <c r="S158" s="15"/>
      <c r="T158" s="15"/>
      <c r="U158" s="15"/>
      <c r="V158" s="15"/>
      <c r="W158" s="15"/>
    </row>
    <row r="159" spans="1:23" s="29" customFormat="1" ht="19.5" customHeight="1">
      <c r="A159" s="109" t="s">
        <v>295</v>
      </c>
      <c r="B159" s="162"/>
      <c r="C159" s="106"/>
      <c r="D159" s="107">
        <f>D160+D161+D168</f>
        <v>5000</v>
      </c>
      <c r="E159" s="107"/>
      <c r="F159" s="107">
        <f>F160+F161+F168</f>
        <v>1524000</v>
      </c>
      <c r="G159" s="107"/>
      <c r="H159" s="140"/>
      <c r="I159" s="137"/>
      <c r="J159" s="39"/>
      <c r="K159" s="137"/>
      <c r="L159" s="39"/>
      <c r="M159" s="39"/>
      <c r="N159" s="163"/>
      <c r="O159" s="163"/>
      <c r="P159" s="163"/>
      <c r="Q159" s="163"/>
      <c r="R159" s="163"/>
      <c r="S159" s="163"/>
      <c r="T159" s="163"/>
      <c r="U159" s="163"/>
      <c r="V159" s="163"/>
      <c r="W159" s="163"/>
    </row>
    <row r="160" spans="1:23" s="28" customFormat="1" ht="19.5" customHeight="1">
      <c r="A160" s="423"/>
      <c r="B160" s="688" t="s">
        <v>296</v>
      </c>
      <c r="C160" s="217" t="s">
        <v>297</v>
      </c>
      <c r="D160" s="112">
        <v>5000</v>
      </c>
      <c r="E160" s="112"/>
      <c r="F160" s="112"/>
      <c r="G160" s="112"/>
      <c r="H160" s="143"/>
      <c r="I160" s="150"/>
      <c r="J160" s="38"/>
      <c r="K160" s="150"/>
      <c r="L160" s="38"/>
      <c r="M160" s="38"/>
      <c r="N160" s="15"/>
      <c r="O160" s="15"/>
      <c r="P160" s="15"/>
      <c r="Q160" s="15"/>
      <c r="R160" s="15"/>
      <c r="S160" s="15"/>
      <c r="T160" s="15"/>
      <c r="U160" s="15"/>
      <c r="V160" s="15"/>
      <c r="W160" s="15"/>
    </row>
    <row r="161" spans="1:23" s="28" customFormat="1" ht="19.5" customHeight="1">
      <c r="A161" s="114"/>
      <c r="B161" s="688" t="s">
        <v>298</v>
      </c>
      <c r="C161" s="217"/>
      <c r="D161" s="112"/>
      <c r="E161" s="112"/>
      <c r="F161" s="112">
        <f>SUM(F162:F167)</f>
        <v>524000</v>
      </c>
      <c r="G161" s="112"/>
      <c r="H161" s="143"/>
      <c r="I161" s="150"/>
      <c r="J161" s="38"/>
      <c r="K161" s="150"/>
      <c r="L161" s="38"/>
      <c r="M161" s="38"/>
      <c r="N161" s="15"/>
      <c r="O161" s="15"/>
      <c r="P161" s="15"/>
      <c r="Q161" s="15"/>
      <c r="R161" s="15"/>
      <c r="S161" s="15"/>
      <c r="T161" s="15"/>
      <c r="U161" s="15"/>
      <c r="V161" s="15"/>
      <c r="W161" s="15"/>
    </row>
    <row r="162" spans="1:23" s="28" customFormat="1" ht="19.5" customHeight="1">
      <c r="A162" s="113"/>
      <c r="B162" s="423"/>
      <c r="C162" s="111" t="s">
        <v>207</v>
      </c>
      <c r="D162" s="112"/>
      <c r="E162" s="112"/>
      <c r="F162" s="112">
        <v>20000</v>
      </c>
      <c r="G162" s="112"/>
      <c r="H162" s="143"/>
      <c r="I162" s="150"/>
      <c r="J162" s="38"/>
      <c r="K162" s="150"/>
      <c r="L162" s="38"/>
      <c r="M162" s="38"/>
      <c r="N162" s="15"/>
      <c r="O162" s="15"/>
      <c r="P162" s="15"/>
      <c r="Q162" s="15"/>
      <c r="R162" s="15"/>
      <c r="S162" s="15"/>
      <c r="T162" s="15"/>
      <c r="U162" s="15"/>
      <c r="V162" s="15"/>
      <c r="W162" s="15"/>
    </row>
    <row r="163" spans="1:23" s="28" customFormat="1" ht="19.5" customHeight="1">
      <c r="A163" s="113"/>
      <c r="B163" s="114"/>
      <c r="C163" s="111" t="s">
        <v>208</v>
      </c>
      <c r="D163" s="112"/>
      <c r="E163" s="112"/>
      <c r="F163" s="112">
        <v>90000</v>
      </c>
      <c r="G163" s="112"/>
      <c r="H163" s="143"/>
      <c r="I163" s="150"/>
      <c r="J163" s="38"/>
      <c r="K163" s="150"/>
      <c r="L163" s="38"/>
      <c r="M163" s="38"/>
      <c r="N163" s="15"/>
      <c r="O163" s="15"/>
      <c r="P163" s="15"/>
      <c r="Q163" s="15"/>
      <c r="R163" s="15"/>
      <c r="S163" s="15"/>
      <c r="T163" s="15"/>
      <c r="U163" s="15"/>
      <c r="V163" s="15"/>
      <c r="W163" s="15"/>
    </row>
    <row r="164" spans="1:23" s="28" customFormat="1" ht="19.5" customHeight="1">
      <c r="A164" s="113"/>
      <c r="B164" s="114"/>
      <c r="C164" s="111" t="s">
        <v>291</v>
      </c>
      <c r="D164" s="112"/>
      <c r="E164" s="112"/>
      <c r="F164" s="112">
        <v>9000</v>
      </c>
      <c r="G164" s="112"/>
      <c r="H164" s="143"/>
      <c r="I164" s="150"/>
      <c r="J164" s="38"/>
      <c r="K164" s="150"/>
      <c r="L164" s="38"/>
      <c r="M164" s="38"/>
      <c r="N164" s="15"/>
      <c r="O164" s="15"/>
      <c r="P164" s="15"/>
      <c r="Q164" s="15"/>
      <c r="R164" s="15"/>
      <c r="S164" s="15"/>
      <c r="T164" s="15"/>
      <c r="U164" s="15"/>
      <c r="V164" s="15"/>
      <c r="W164" s="15"/>
    </row>
    <row r="165" spans="1:23" s="28" customFormat="1" ht="19.5" customHeight="1">
      <c r="A165" s="113"/>
      <c r="B165" s="114"/>
      <c r="C165" s="111" t="s">
        <v>294</v>
      </c>
      <c r="D165" s="112"/>
      <c r="E165" s="112"/>
      <c r="F165" s="112">
        <f>90000+50000</f>
        <v>140000</v>
      </c>
      <c r="G165" s="112"/>
      <c r="H165" s="143"/>
      <c r="I165" s="150"/>
      <c r="J165" s="38"/>
      <c r="K165" s="150"/>
      <c r="L165" s="38"/>
      <c r="M165" s="38"/>
      <c r="N165" s="15"/>
      <c r="O165" s="15"/>
      <c r="P165" s="15"/>
      <c r="Q165" s="15"/>
      <c r="R165" s="15"/>
      <c r="S165" s="15"/>
      <c r="T165" s="15"/>
      <c r="U165" s="15"/>
      <c r="V165" s="15"/>
      <c r="W165" s="15"/>
    </row>
    <row r="166" spans="1:23" s="28" customFormat="1" ht="19.5" customHeight="1">
      <c r="A166" s="113"/>
      <c r="B166" s="114"/>
      <c r="C166" s="111" t="s">
        <v>41</v>
      </c>
      <c r="D166" s="112"/>
      <c r="E166" s="112"/>
      <c r="F166" s="112">
        <v>50000</v>
      </c>
      <c r="G166" s="112"/>
      <c r="H166" s="143"/>
      <c r="I166" s="150"/>
      <c r="J166" s="38"/>
      <c r="K166" s="150"/>
      <c r="L166" s="38"/>
      <c r="M166" s="38"/>
      <c r="N166" s="15"/>
      <c r="O166" s="15"/>
      <c r="P166" s="15"/>
      <c r="Q166" s="15"/>
      <c r="R166" s="15"/>
      <c r="S166" s="15"/>
      <c r="T166" s="15"/>
      <c r="U166" s="15"/>
      <c r="V166" s="15"/>
      <c r="W166" s="15"/>
    </row>
    <row r="167" spans="1:23" s="28" customFormat="1" ht="19.5" customHeight="1">
      <c r="A167" s="113"/>
      <c r="B167" s="114"/>
      <c r="C167" s="111" t="s">
        <v>305</v>
      </c>
      <c r="D167" s="112"/>
      <c r="E167" s="112"/>
      <c r="F167" s="112">
        <f>50000+165000</f>
        <v>215000</v>
      </c>
      <c r="G167" s="112"/>
      <c r="H167" s="143"/>
      <c r="I167" s="150"/>
      <c r="J167" s="38"/>
      <c r="K167" s="150"/>
      <c r="L167" s="38"/>
      <c r="M167" s="38"/>
      <c r="N167" s="15"/>
      <c r="O167" s="15"/>
      <c r="P167" s="15"/>
      <c r="Q167" s="15"/>
      <c r="R167" s="15"/>
      <c r="S167" s="15"/>
      <c r="T167" s="15"/>
      <c r="U167" s="15"/>
      <c r="V167" s="15"/>
      <c r="W167" s="15"/>
    </row>
    <row r="168" spans="1:23" s="28" customFormat="1" ht="19.5" customHeight="1">
      <c r="A168" s="113"/>
      <c r="B168" s="217" t="s">
        <v>111</v>
      </c>
      <c r="C168" s="111" t="s">
        <v>305</v>
      </c>
      <c r="D168" s="112"/>
      <c r="E168" s="112"/>
      <c r="F168" s="112">
        <v>1000000</v>
      </c>
      <c r="G168" s="112"/>
      <c r="H168" s="143"/>
      <c r="I168" s="150"/>
      <c r="J168" s="38"/>
      <c r="K168" s="150"/>
      <c r="L168" s="38"/>
      <c r="M168" s="38"/>
      <c r="N168" s="15"/>
      <c r="O168" s="15"/>
      <c r="P168" s="15"/>
      <c r="Q168" s="15"/>
      <c r="R168" s="15"/>
      <c r="S168" s="15"/>
      <c r="T168" s="15"/>
      <c r="U168" s="15"/>
      <c r="V168" s="15"/>
      <c r="W168" s="15"/>
    </row>
    <row r="169" spans="1:23" s="29" customFormat="1" ht="19.5" customHeight="1">
      <c r="A169" s="216" t="s">
        <v>235</v>
      </c>
      <c r="B169" s="106" t="s">
        <v>238</v>
      </c>
      <c r="C169" s="110" t="s">
        <v>208</v>
      </c>
      <c r="D169" s="107"/>
      <c r="E169" s="107"/>
      <c r="F169" s="107">
        <v>2500</v>
      </c>
      <c r="G169" s="107"/>
      <c r="H169" s="140"/>
      <c r="I169" s="137"/>
      <c r="J169" s="39"/>
      <c r="K169" s="137"/>
      <c r="L169" s="39"/>
      <c r="M169" s="39"/>
      <c r="N169" s="163"/>
      <c r="O169" s="163"/>
      <c r="P169" s="163"/>
      <c r="Q169" s="163"/>
      <c r="R169" s="163"/>
      <c r="S169" s="163"/>
      <c r="T169" s="163"/>
      <c r="U169" s="163"/>
      <c r="V169" s="163"/>
      <c r="W169" s="163"/>
    </row>
    <row r="170" spans="1:23" s="29" customFormat="1" ht="19.5" customHeight="1">
      <c r="A170" s="216" t="s">
        <v>284</v>
      </c>
      <c r="B170" s="106" t="s">
        <v>248</v>
      </c>
      <c r="C170" s="110"/>
      <c r="D170" s="107"/>
      <c r="E170" s="107"/>
      <c r="F170" s="107">
        <f>SUM(F171:F172)</f>
        <v>412388.49</v>
      </c>
      <c r="G170" s="107"/>
      <c r="H170" s="140"/>
      <c r="I170" s="137"/>
      <c r="J170" s="39"/>
      <c r="K170" s="137"/>
      <c r="L170" s="39"/>
      <c r="M170" s="39"/>
      <c r="N170" s="163"/>
      <c r="O170" s="163"/>
      <c r="P170" s="163"/>
      <c r="Q170" s="163"/>
      <c r="R170" s="163"/>
      <c r="S170" s="163"/>
      <c r="T170" s="163"/>
      <c r="U170" s="163"/>
      <c r="V170" s="163"/>
      <c r="W170" s="163"/>
    </row>
    <row r="171" spans="1:23" s="28" customFormat="1" ht="19.5" customHeight="1">
      <c r="A171" s="113"/>
      <c r="B171" s="114"/>
      <c r="C171" s="115" t="s">
        <v>249</v>
      </c>
      <c r="D171" s="112"/>
      <c r="E171" s="112"/>
      <c r="F171" s="112">
        <f>793.59+234995+10000+497.9+2-33900</f>
        <v>212388.49</v>
      </c>
      <c r="G171" s="112"/>
      <c r="H171" s="143"/>
      <c r="I171" s="150"/>
      <c r="J171" s="38"/>
      <c r="K171" s="150"/>
      <c r="L171" s="38"/>
      <c r="M171" s="38"/>
      <c r="N171" s="15"/>
      <c r="O171" s="15"/>
      <c r="P171" s="15"/>
      <c r="Q171" s="15"/>
      <c r="R171" s="15"/>
      <c r="S171" s="15"/>
      <c r="T171" s="15"/>
      <c r="U171" s="15"/>
      <c r="V171" s="15"/>
      <c r="W171" s="15"/>
    </row>
    <row r="172" spans="1:23" s="28" customFormat="1" ht="19.5" customHeight="1">
      <c r="A172" s="113"/>
      <c r="B172" s="114"/>
      <c r="C172" s="115" t="s">
        <v>250</v>
      </c>
      <c r="D172" s="112"/>
      <c r="E172" s="112"/>
      <c r="F172" s="112">
        <v>200000</v>
      </c>
      <c r="G172" s="112"/>
      <c r="H172" s="143"/>
      <c r="I172" s="150"/>
      <c r="J172" s="38"/>
      <c r="K172" s="150"/>
      <c r="L172" s="38"/>
      <c r="M172" s="38"/>
      <c r="N172" s="15"/>
      <c r="O172" s="15"/>
      <c r="P172" s="15"/>
      <c r="Q172" s="15"/>
      <c r="R172" s="15"/>
      <c r="S172" s="15"/>
      <c r="T172" s="15"/>
      <c r="U172" s="15"/>
      <c r="V172" s="15"/>
      <c r="W172" s="15"/>
    </row>
    <row r="173" spans="1:23" s="29" customFormat="1" ht="19.5" customHeight="1">
      <c r="A173" s="106" t="s">
        <v>657</v>
      </c>
      <c r="B173" s="106"/>
      <c r="C173" s="106"/>
      <c r="D173" s="107">
        <f>D174+D178+D185</f>
        <v>44.26</v>
      </c>
      <c r="E173" s="107"/>
      <c r="F173" s="107">
        <f>F174+F178+F185</f>
        <v>482688.01</v>
      </c>
      <c r="G173" s="107"/>
      <c r="H173" s="140"/>
      <c r="I173" s="137"/>
      <c r="J173" s="39"/>
      <c r="K173" s="137"/>
      <c r="L173" s="39"/>
      <c r="M173" s="39"/>
      <c r="N173" s="163"/>
      <c r="O173" s="163"/>
      <c r="P173" s="163"/>
      <c r="Q173" s="163"/>
      <c r="R173" s="163"/>
      <c r="S173" s="163"/>
      <c r="T173" s="163"/>
      <c r="U173" s="163"/>
      <c r="V173" s="163"/>
      <c r="W173" s="163"/>
    </row>
    <row r="174" spans="1:23" s="28" customFormat="1" ht="19.5" customHeight="1">
      <c r="A174" s="423"/>
      <c r="B174" s="423" t="s">
        <v>288</v>
      </c>
      <c r="C174" s="111"/>
      <c r="D174" s="112"/>
      <c r="E174" s="112"/>
      <c r="F174" s="112">
        <f>SUM(F175:F177)</f>
        <v>141000</v>
      </c>
      <c r="G174" s="112"/>
      <c r="H174" s="143"/>
      <c r="I174" s="150"/>
      <c r="J174" s="38"/>
      <c r="K174" s="150"/>
      <c r="L174" s="38"/>
      <c r="M174" s="38"/>
      <c r="N174" s="15"/>
      <c r="O174" s="15"/>
      <c r="P174" s="15"/>
      <c r="Q174" s="15"/>
      <c r="R174" s="15"/>
      <c r="S174" s="15"/>
      <c r="T174" s="15"/>
      <c r="U174" s="15"/>
      <c r="V174" s="15"/>
      <c r="W174" s="15"/>
    </row>
    <row r="175" spans="1:23" s="28" customFormat="1" ht="19.5" customHeight="1">
      <c r="A175" s="113"/>
      <c r="B175" s="423"/>
      <c r="C175" s="111" t="s">
        <v>289</v>
      </c>
      <c r="D175" s="112"/>
      <c r="E175" s="112"/>
      <c r="F175" s="112">
        <v>30000</v>
      </c>
      <c r="G175" s="112"/>
      <c r="H175" s="143"/>
      <c r="I175" s="150"/>
      <c r="J175" s="38"/>
      <c r="K175" s="150"/>
      <c r="L175" s="38"/>
      <c r="M175" s="38"/>
      <c r="N175" s="15"/>
      <c r="O175" s="15"/>
      <c r="P175" s="15"/>
      <c r="Q175" s="15"/>
      <c r="R175" s="15"/>
      <c r="S175" s="15"/>
      <c r="T175" s="15"/>
      <c r="U175" s="15"/>
      <c r="V175" s="15"/>
      <c r="W175" s="15"/>
    </row>
    <row r="176" spans="1:23" s="28" customFormat="1" ht="19.5" customHeight="1">
      <c r="A176" s="113"/>
      <c r="B176" s="114"/>
      <c r="C176" s="111" t="s">
        <v>305</v>
      </c>
      <c r="D176" s="112"/>
      <c r="E176" s="112"/>
      <c r="F176" s="112">
        <v>60000</v>
      </c>
      <c r="G176" s="112"/>
      <c r="H176" s="143"/>
      <c r="I176" s="150"/>
      <c r="J176" s="38"/>
      <c r="K176" s="150"/>
      <c r="L176" s="38"/>
      <c r="M176" s="38"/>
      <c r="N176" s="15"/>
      <c r="O176" s="15"/>
      <c r="P176" s="15"/>
      <c r="Q176" s="15"/>
      <c r="R176" s="15"/>
      <c r="S176" s="15"/>
      <c r="T176" s="15"/>
      <c r="U176" s="15"/>
      <c r="V176" s="15"/>
      <c r="W176" s="15"/>
    </row>
    <row r="177" spans="1:23" s="28" customFormat="1" ht="19.5" customHeight="1">
      <c r="A177" s="113"/>
      <c r="B177" s="114"/>
      <c r="C177" s="111" t="s">
        <v>107</v>
      </c>
      <c r="D177" s="112"/>
      <c r="E177" s="112"/>
      <c r="F177" s="112">
        <v>51000</v>
      </c>
      <c r="G177" s="112"/>
      <c r="H177" s="143"/>
      <c r="I177" s="150"/>
      <c r="J177" s="38"/>
      <c r="K177" s="150"/>
      <c r="L177" s="38"/>
      <c r="M177" s="38"/>
      <c r="N177" s="15"/>
      <c r="O177" s="15"/>
      <c r="P177" s="15"/>
      <c r="Q177" s="15"/>
      <c r="R177" s="15"/>
      <c r="S177" s="15"/>
      <c r="T177" s="15"/>
      <c r="U177" s="15"/>
      <c r="V177" s="15"/>
      <c r="W177" s="15"/>
    </row>
    <row r="178" spans="1:23" s="28" customFormat="1" ht="19.5" customHeight="1">
      <c r="A178" s="113"/>
      <c r="B178" s="217" t="s">
        <v>211</v>
      </c>
      <c r="C178" s="115"/>
      <c r="D178" s="112">
        <f>SUM(D179:D184)</f>
        <v>44.26</v>
      </c>
      <c r="E178" s="112"/>
      <c r="F178" s="112">
        <f>SUM(F179:F184)</f>
        <v>246588.01</v>
      </c>
      <c r="G178" s="112"/>
      <c r="H178" s="143"/>
      <c r="I178" s="150"/>
      <c r="J178" s="38"/>
      <c r="K178" s="150"/>
      <c r="L178" s="38"/>
      <c r="M178" s="38"/>
      <c r="N178" s="15"/>
      <c r="O178" s="15"/>
      <c r="P178" s="15"/>
      <c r="Q178" s="15"/>
      <c r="R178" s="15"/>
      <c r="S178" s="15"/>
      <c r="T178" s="15"/>
      <c r="U178" s="15"/>
      <c r="V178" s="15"/>
      <c r="W178" s="15"/>
    </row>
    <row r="179" spans="1:23" s="28" customFormat="1" ht="19.5" customHeight="1">
      <c r="A179" s="113"/>
      <c r="B179" s="114"/>
      <c r="C179" s="115" t="s">
        <v>214</v>
      </c>
      <c r="D179" s="112">
        <v>40.04</v>
      </c>
      <c r="E179" s="112"/>
      <c r="F179" s="112"/>
      <c r="G179" s="112"/>
      <c r="H179" s="143"/>
      <c r="I179" s="150"/>
      <c r="J179" s="38"/>
      <c r="K179" s="150"/>
      <c r="L179" s="38"/>
      <c r="M179" s="38"/>
      <c r="N179" s="15"/>
      <c r="O179" s="15"/>
      <c r="P179" s="15"/>
      <c r="Q179" s="15"/>
      <c r="R179" s="15"/>
      <c r="S179" s="15"/>
      <c r="T179" s="15"/>
      <c r="U179" s="15"/>
      <c r="V179" s="15"/>
      <c r="W179" s="15"/>
    </row>
    <row r="180" spans="1:23" s="28" customFormat="1" ht="19.5" customHeight="1">
      <c r="A180" s="113"/>
      <c r="B180" s="114"/>
      <c r="C180" s="115" t="s">
        <v>219</v>
      </c>
      <c r="D180" s="112"/>
      <c r="E180" s="112"/>
      <c r="F180" s="112">
        <v>36</v>
      </c>
      <c r="G180" s="112"/>
      <c r="H180" s="143"/>
      <c r="I180" s="150"/>
      <c r="J180" s="38"/>
      <c r="K180" s="150"/>
      <c r="L180" s="38"/>
      <c r="M180" s="38"/>
      <c r="N180" s="15"/>
      <c r="O180" s="15"/>
      <c r="P180" s="15"/>
      <c r="Q180" s="15"/>
      <c r="R180" s="15"/>
      <c r="S180" s="15"/>
      <c r="T180" s="15"/>
      <c r="U180" s="15"/>
      <c r="V180" s="15"/>
      <c r="W180" s="15"/>
    </row>
    <row r="181" spans="1:23" s="28" customFormat="1" ht="19.5" customHeight="1">
      <c r="A181" s="113"/>
      <c r="B181" s="114"/>
      <c r="C181" s="115" t="s">
        <v>220</v>
      </c>
      <c r="D181" s="112"/>
      <c r="E181" s="112"/>
      <c r="F181" s="112">
        <v>2000</v>
      </c>
      <c r="G181" s="112"/>
      <c r="H181" s="143"/>
      <c r="I181" s="150"/>
      <c r="J181" s="38"/>
      <c r="K181" s="150"/>
      <c r="L181" s="38"/>
      <c r="M181" s="38"/>
      <c r="N181" s="15"/>
      <c r="O181" s="15"/>
      <c r="P181" s="15"/>
      <c r="Q181" s="15"/>
      <c r="R181" s="15"/>
      <c r="S181" s="15"/>
      <c r="T181" s="15"/>
      <c r="U181" s="15"/>
      <c r="V181" s="15"/>
      <c r="W181" s="15"/>
    </row>
    <row r="182" spans="1:23" s="28" customFormat="1" ht="19.5" customHeight="1">
      <c r="A182" s="113"/>
      <c r="B182" s="114"/>
      <c r="C182" s="115" t="s">
        <v>215</v>
      </c>
      <c r="D182" s="112">
        <v>4.22</v>
      </c>
      <c r="E182" s="112"/>
      <c r="F182" s="112"/>
      <c r="G182" s="112"/>
      <c r="H182" s="143"/>
      <c r="I182" s="150"/>
      <c r="J182" s="38"/>
      <c r="K182" s="150"/>
      <c r="L182" s="38"/>
      <c r="M182" s="38"/>
      <c r="N182" s="15"/>
      <c r="O182" s="15"/>
      <c r="P182" s="15"/>
      <c r="Q182" s="15"/>
      <c r="R182" s="15"/>
      <c r="S182" s="15"/>
      <c r="T182" s="15"/>
      <c r="U182" s="15"/>
      <c r="V182" s="15"/>
      <c r="W182" s="15"/>
    </row>
    <row r="183" spans="1:23" s="28" customFormat="1" ht="19.5" customHeight="1">
      <c r="A183" s="113"/>
      <c r="B183" s="114"/>
      <c r="C183" s="115" t="s">
        <v>221</v>
      </c>
      <c r="D183" s="112"/>
      <c r="E183" s="112"/>
      <c r="F183" s="112">
        <v>5226.01</v>
      </c>
      <c r="G183" s="112"/>
      <c r="H183" s="143"/>
      <c r="I183" s="150"/>
      <c r="J183" s="38"/>
      <c r="K183" s="150"/>
      <c r="L183" s="38"/>
      <c r="M183" s="38"/>
      <c r="N183" s="15"/>
      <c r="O183" s="15"/>
      <c r="P183" s="15"/>
      <c r="Q183" s="15"/>
      <c r="R183" s="15"/>
      <c r="S183" s="15"/>
      <c r="T183" s="15"/>
      <c r="U183" s="15"/>
      <c r="V183" s="15"/>
      <c r="W183" s="15"/>
    </row>
    <row r="184" spans="1:23" s="28" customFormat="1" ht="19.5" customHeight="1">
      <c r="A184" s="113"/>
      <c r="B184" s="114"/>
      <c r="C184" s="115" t="s">
        <v>305</v>
      </c>
      <c r="D184" s="112"/>
      <c r="E184" s="112"/>
      <c r="F184" s="112">
        <f>185326+54000</f>
        <v>239326</v>
      </c>
      <c r="G184" s="112"/>
      <c r="H184" s="143"/>
      <c r="I184" s="150"/>
      <c r="J184" s="38"/>
      <c r="K184" s="150"/>
      <c r="L184" s="38"/>
      <c r="M184" s="38"/>
      <c r="N184" s="15"/>
      <c r="O184" s="15"/>
      <c r="P184" s="15"/>
      <c r="Q184" s="15"/>
      <c r="R184" s="15"/>
      <c r="S184" s="15"/>
      <c r="T184" s="15"/>
      <c r="U184" s="15"/>
      <c r="V184" s="15"/>
      <c r="W184" s="15"/>
    </row>
    <row r="185" spans="1:23" s="28" customFormat="1" ht="19.5" customHeight="1">
      <c r="A185" s="113"/>
      <c r="B185" s="217" t="s">
        <v>292</v>
      </c>
      <c r="C185" s="115"/>
      <c r="D185" s="112"/>
      <c r="E185" s="112"/>
      <c r="F185" s="112">
        <f>SUM(F186:F188)</f>
        <v>95100</v>
      </c>
      <c r="G185" s="112"/>
      <c r="H185" s="143"/>
      <c r="I185" s="150"/>
      <c r="J185" s="38"/>
      <c r="K185" s="150"/>
      <c r="L185" s="38"/>
      <c r="M185" s="38"/>
      <c r="N185" s="15"/>
      <c r="O185" s="15"/>
      <c r="P185" s="15"/>
      <c r="Q185" s="15"/>
      <c r="R185" s="15"/>
      <c r="S185" s="15"/>
      <c r="T185" s="15"/>
      <c r="U185" s="15"/>
      <c r="V185" s="15"/>
      <c r="W185" s="15"/>
    </row>
    <row r="186" spans="1:23" s="28" customFormat="1" ht="19.5" customHeight="1">
      <c r="A186" s="113"/>
      <c r="B186" s="114"/>
      <c r="C186" s="115" t="s">
        <v>289</v>
      </c>
      <c r="D186" s="112"/>
      <c r="E186" s="112"/>
      <c r="F186" s="112">
        <v>20000</v>
      </c>
      <c r="G186" s="112"/>
      <c r="H186" s="143"/>
      <c r="I186" s="150"/>
      <c r="J186" s="38"/>
      <c r="K186" s="150"/>
      <c r="L186" s="38"/>
      <c r="M186" s="38"/>
      <c r="N186" s="15"/>
      <c r="O186" s="15"/>
      <c r="P186" s="15"/>
      <c r="Q186" s="15"/>
      <c r="R186" s="15"/>
      <c r="S186" s="15"/>
      <c r="T186" s="15"/>
      <c r="U186" s="15"/>
      <c r="V186" s="15"/>
      <c r="W186" s="15"/>
    </row>
    <row r="187" spans="1:23" s="28" customFormat="1" ht="19.5" customHeight="1">
      <c r="A187" s="113"/>
      <c r="B187" s="114"/>
      <c r="C187" s="115" t="s">
        <v>294</v>
      </c>
      <c r="D187" s="112"/>
      <c r="E187" s="112"/>
      <c r="F187" s="112">
        <v>5100</v>
      </c>
      <c r="G187" s="112"/>
      <c r="H187" s="143"/>
      <c r="I187" s="150"/>
      <c r="J187" s="38"/>
      <c r="K187" s="150"/>
      <c r="L187" s="38"/>
      <c r="M187" s="38"/>
      <c r="N187" s="15"/>
      <c r="O187" s="15"/>
      <c r="P187" s="15"/>
      <c r="Q187" s="15"/>
      <c r="R187" s="15"/>
      <c r="S187" s="15"/>
      <c r="T187" s="15"/>
      <c r="U187" s="15"/>
      <c r="V187" s="15"/>
      <c r="W187" s="15"/>
    </row>
    <row r="188" spans="1:23" s="28" customFormat="1" ht="19.5" customHeight="1">
      <c r="A188" s="113"/>
      <c r="B188" s="114"/>
      <c r="C188" s="424" t="s">
        <v>305</v>
      </c>
      <c r="D188" s="112"/>
      <c r="E188" s="112"/>
      <c r="F188" s="112">
        <v>70000</v>
      </c>
      <c r="G188" s="112"/>
      <c r="H188" s="143"/>
      <c r="I188" s="150"/>
      <c r="J188" s="38"/>
      <c r="K188" s="150"/>
      <c r="L188" s="38"/>
      <c r="M188" s="38"/>
      <c r="N188" s="15"/>
      <c r="O188" s="15"/>
      <c r="P188" s="15"/>
      <c r="Q188" s="15"/>
      <c r="R188" s="15"/>
      <c r="S188" s="15"/>
      <c r="T188" s="15"/>
      <c r="U188" s="15"/>
      <c r="V188" s="15"/>
      <c r="W188" s="15"/>
    </row>
    <row r="189" spans="1:23" s="29" customFormat="1" ht="19.5" customHeight="1">
      <c r="A189" s="106" t="s">
        <v>239</v>
      </c>
      <c r="B189" s="110"/>
      <c r="C189" s="110"/>
      <c r="D189" s="107"/>
      <c r="E189" s="107"/>
      <c r="F189" s="107">
        <f>F190+F191</f>
        <v>121600</v>
      </c>
      <c r="G189" s="107"/>
      <c r="H189" s="140"/>
      <c r="I189" s="137"/>
      <c r="J189" s="39"/>
      <c r="K189" s="137"/>
      <c r="L189" s="39"/>
      <c r="M189" s="39"/>
      <c r="N189" s="163"/>
      <c r="O189" s="163"/>
      <c r="P189" s="163"/>
      <c r="Q189" s="163"/>
      <c r="R189" s="163"/>
      <c r="S189" s="163"/>
      <c r="T189" s="163"/>
      <c r="U189" s="163"/>
      <c r="V189" s="163"/>
      <c r="W189" s="163"/>
    </row>
    <row r="190" spans="1:23" s="28" customFormat="1" ht="19.5" customHeight="1">
      <c r="A190" s="691"/>
      <c r="B190" s="423" t="s">
        <v>240</v>
      </c>
      <c r="C190" s="111" t="s">
        <v>230</v>
      </c>
      <c r="D190" s="112"/>
      <c r="E190" s="112"/>
      <c r="F190" s="112">
        <v>100000</v>
      </c>
      <c r="G190" s="112"/>
      <c r="H190" s="143"/>
      <c r="I190" s="150"/>
      <c r="J190" s="38"/>
      <c r="K190" s="150"/>
      <c r="L190" s="38"/>
      <c r="M190" s="38"/>
      <c r="N190" s="15"/>
      <c r="O190" s="15"/>
      <c r="P190" s="15"/>
      <c r="Q190" s="15"/>
      <c r="R190" s="15"/>
      <c r="S190" s="15"/>
      <c r="T190" s="15"/>
      <c r="U190" s="15"/>
      <c r="V190" s="15"/>
      <c r="W190" s="15"/>
    </row>
    <row r="191" spans="1:23" s="28" customFormat="1" ht="19.5" customHeight="1">
      <c r="A191" s="113"/>
      <c r="B191" s="423" t="s">
        <v>241</v>
      </c>
      <c r="C191" s="688" t="s">
        <v>294</v>
      </c>
      <c r="D191" s="112"/>
      <c r="E191" s="112"/>
      <c r="F191" s="112">
        <v>21600</v>
      </c>
      <c r="G191" s="112"/>
      <c r="H191" s="143"/>
      <c r="I191" s="150"/>
      <c r="J191" s="38"/>
      <c r="K191" s="150"/>
      <c r="L191" s="38"/>
      <c r="M191" s="38"/>
      <c r="N191" s="15"/>
      <c r="O191" s="15"/>
      <c r="P191" s="15"/>
      <c r="Q191" s="15"/>
      <c r="R191" s="15"/>
      <c r="S191" s="15"/>
      <c r="T191" s="15"/>
      <c r="U191" s="15"/>
      <c r="V191" s="15"/>
      <c r="W191" s="15"/>
    </row>
    <row r="192" spans="1:23" s="29" customFormat="1" ht="19.5" customHeight="1">
      <c r="A192" s="106" t="s">
        <v>662</v>
      </c>
      <c r="B192" s="110"/>
      <c r="C192" s="106"/>
      <c r="D192" s="107">
        <f>D193+D194</f>
        <v>210278.42</v>
      </c>
      <c r="E192" s="107"/>
      <c r="F192" s="107"/>
      <c r="G192" s="107"/>
      <c r="H192" s="140"/>
      <c r="I192" s="137"/>
      <c r="J192" s="39"/>
      <c r="K192" s="137"/>
      <c r="L192" s="39"/>
      <c r="M192" s="39"/>
      <c r="N192" s="163"/>
      <c r="O192" s="163"/>
      <c r="P192" s="163"/>
      <c r="Q192" s="163"/>
      <c r="R192" s="163"/>
      <c r="S192" s="163"/>
      <c r="T192" s="163"/>
      <c r="U192" s="163"/>
      <c r="V192" s="163"/>
      <c r="W192" s="163"/>
    </row>
    <row r="193" spans="1:23" s="28" customFormat="1" ht="19.5" customHeight="1">
      <c r="A193" s="114"/>
      <c r="B193" s="217" t="s">
        <v>318</v>
      </c>
      <c r="C193" s="128" t="s">
        <v>283</v>
      </c>
      <c r="D193" s="112">
        <v>65000</v>
      </c>
      <c r="E193" s="112"/>
      <c r="F193" s="112"/>
      <c r="G193" s="112"/>
      <c r="H193" s="143"/>
      <c r="I193" s="150"/>
      <c r="J193" s="38"/>
      <c r="K193" s="150"/>
      <c r="L193" s="38"/>
      <c r="M193" s="38"/>
      <c r="N193" s="15"/>
      <c r="O193" s="15"/>
      <c r="P193" s="15"/>
      <c r="Q193" s="15"/>
      <c r="R193" s="15"/>
      <c r="S193" s="15"/>
      <c r="T193" s="15"/>
      <c r="U193" s="15"/>
      <c r="V193" s="15"/>
      <c r="W193" s="15"/>
    </row>
    <row r="194" spans="1:23" s="28" customFormat="1" ht="19.5" customHeight="1">
      <c r="A194" s="113"/>
      <c r="B194" s="217" t="s">
        <v>282</v>
      </c>
      <c r="C194" s="217" t="s">
        <v>283</v>
      </c>
      <c r="D194" s="112">
        <v>145278.42</v>
      </c>
      <c r="E194" s="112"/>
      <c r="F194" s="112"/>
      <c r="G194" s="112"/>
      <c r="H194" s="143"/>
      <c r="I194" s="150"/>
      <c r="J194" s="38"/>
      <c r="K194" s="150"/>
      <c r="L194" s="38"/>
      <c r="M194" s="38"/>
      <c r="N194" s="15"/>
      <c r="O194" s="15"/>
      <c r="P194" s="15"/>
      <c r="Q194" s="15"/>
      <c r="R194" s="15"/>
      <c r="S194" s="15"/>
      <c r="T194" s="15"/>
      <c r="U194" s="15"/>
      <c r="V194" s="15"/>
      <c r="W194" s="15"/>
    </row>
    <row r="195" spans="1:23" s="28" customFormat="1" ht="19.5" customHeight="1">
      <c r="A195" s="216" t="s">
        <v>663</v>
      </c>
      <c r="B195" s="106" t="s">
        <v>3</v>
      </c>
      <c r="C195" s="110"/>
      <c r="D195" s="459"/>
      <c r="E195" s="46"/>
      <c r="F195" s="459">
        <f>SUM(F196:F229)</f>
        <v>1600261.0000000002</v>
      </c>
      <c r="G195" s="112"/>
      <c r="H195" s="143"/>
      <c r="I195" s="150"/>
      <c r="J195" s="38"/>
      <c r="K195" s="150"/>
      <c r="L195" s="38"/>
      <c r="M195" s="38"/>
      <c r="N195" s="15"/>
      <c r="O195" s="15"/>
      <c r="P195" s="15"/>
      <c r="Q195" s="15"/>
      <c r="R195" s="15"/>
      <c r="S195" s="15"/>
      <c r="T195" s="15"/>
      <c r="U195" s="15"/>
      <c r="V195" s="15"/>
      <c r="W195" s="15"/>
    </row>
    <row r="196" spans="1:23" s="28" customFormat="1" ht="19.5" customHeight="1">
      <c r="A196" s="423"/>
      <c r="B196" s="424"/>
      <c r="C196" s="115" t="s">
        <v>217</v>
      </c>
      <c r="D196" s="460"/>
      <c r="E196" s="434"/>
      <c r="F196" s="684">
        <v>5833.61</v>
      </c>
      <c r="G196" s="112"/>
      <c r="H196" s="143"/>
      <c r="I196" s="150"/>
      <c r="J196" s="38"/>
      <c r="K196" s="150"/>
      <c r="L196" s="38"/>
      <c r="M196" s="38"/>
      <c r="N196" s="15"/>
      <c r="O196" s="15"/>
      <c r="P196" s="15"/>
      <c r="Q196" s="15"/>
      <c r="R196" s="15"/>
      <c r="S196" s="15"/>
      <c r="T196" s="15"/>
      <c r="U196" s="15"/>
      <c r="V196" s="15"/>
      <c r="W196" s="15"/>
    </row>
    <row r="197" spans="1:23" s="28" customFormat="1" ht="19.5" customHeight="1">
      <c r="A197" s="114"/>
      <c r="B197" s="424"/>
      <c r="C197" s="115" t="s">
        <v>218</v>
      </c>
      <c r="D197" s="460"/>
      <c r="E197" s="434"/>
      <c r="F197" s="684">
        <v>1029.46</v>
      </c>
      <c r="G197" s="112"/>
      <c r="H197" s="143"/>
      <c r="I197" s="150"/>
      <c r="J197" s="38"/>
      <c r="K197" s="150"/>
      <c r="L197" s="38"/>
      <c r="M197" s="38"/>
      <c r="N197" s="15"/>
      <c r="O197" s="15"/>
      <c r="P197" s="15"/>
      <c r="Q197" s="15"/>
      <c r="R197" s="15"/>
      <c r="S197" s="15"/>
      <c r="T197" s="15"/>
      <c r="U197" s="15"/>
      <c r="V197" s="15"/>
      <c r="W197" s="15"/>
    </row>
    <row r="198" spans="1:23" s="28" customFormat="1" ht="19.5" customHeight="1">
      <c r="A198" s="114"/>
      <c r="B198" s="424"/>
      <c r="C198" s="115" t="s">
        <v>261</v>
      </c>
      <c r="D198" s="460"/>
      <c r="E198" s="434"/>
      <c r="F198" s="434">
        <v>678.1</v>
      </c>
      <c r="G198" s="112"/>
      <c r="H198" s="143"/>
      <c r="I198" s="851"/>
      <c r="J198" s="38"/>
      <c r="K198" s="150"/>
      <c r="L198" s="38"/>
      <c r="M198" s="38"/>
      <c r="N198" s="15"/>
      <c r="O198" s="15"/>
      <c r="P198" s="15"/>
      <c r="Q198" s="15"/>
      <c r="R198" s="15"/>
      <c r="S198" s="15"/>
      <c r="T198" s="15"/>
      <c r="U198" s="15"/>
      <c r="V198" s="15"/>
      <c r="W198" s="15"/>
    </row>
    <row r="199" spans="1:23" s="28" customFormat="1" ht="19.5" customHeight="1">
      <c r="A199" s="114"/>
      <c r="B199" s="424"/>
      <c r="C199" s="115" t="s">
        <v>262</v>
      </c>
      <c r="D199" s="460"/>
      <c r="E199" s="434"/>
      <c r="F199" s="434">
        <v>35.9</v>
      </c>
      <c r="G199" s="112"/>
      <c r="H199" s="143"/>
      <c r="I199" s="150"/>
      <c r="J199" s="38"/>
      <c r="K199" s="150"/>
      <c r="L199" s="38"/>
      <c r="M199" s="38"/>
      <c r="N199" s="15"/>
      <c r="O199" s="15"/>
      <c r="P199" s="15"/>
      <c r="Q199" s="15"/>
      <c r="R199" s="15"/>
      <c r="S199" s="15"/>
      <c r="T199" s="15"/>
      <c r="U199" s="15"/>
      <c r="V199" s="15"/>
      <c r="W199" s="15"/>
    </row>
    <row r="200" spans="1:23" s="28" customFormat="1" ht="19.5" customHeight="1">
      <c r="A200" s="114"/>
      <c r="B200" s="424"/>
      <c r="C200" s="115" t="s">
        <v>280</v>
      </c>
      <c r="D200" s="460"/>
      <c r="E200" s="434"/>
      <c r="F200" s="434">
        <v>145278.42</v>
      </c>
      <c r="G200" s="112"/>
      <c r="H200" s="143"/>
      <c r="I200" s="150"/>
      <c r="J200" s="38"/>
      <c r="K200" s="150"/>
      <c r="L200" s="38"/>
      <c r="M200" s="38"/>
      <c r="N200" s="15"/>
      <c r="O200" s="15"/>
      <c r="P200" s="15"/>
      <c r="Q200" s="15"/>
      <c r="R200" s="15"/>
      <c r="S200" s="15"/>
      <c r="T200" s="15"/>
      <c r="U200" s="15"/>
      <c r="V200" s="15"/>
      <c r="W200" s="15"/>
    </row>
    <row r="201" spans="1:23" s="28" customFormat="1" ht="19.5" customHeight="1">
      <c r="A201" s="114"/>
      <c r="B201" s="424"/>
      <c r="C201" s="115" t="s">
        <v>4</v>
      </c>
      <c r="D201" s="460"/>
      <c r="E201" s="434"/>
      <c r="F201" s="434">
        <f>418845.96-1737.75</f>
        <v>417108.21</v>
      </c>
      <c r="G201" s="112"/>
      <c r="H201" s="143"/>
      <c r="I201" s="150"/>
      <c r="J201" s="38"/>
      <c r="K201" s="150"/>
      <c r="L201" s="38"/>
      <c r="M201" s="38"/>
      <c r="N201" s="15"/>
      <c r="O201" s="15"/>
      <c r="P201" s="15"/>
      <c r="Q201" s="15"/>
      <c r="R201" s="15"/>
      <c r="S201" s="15"/>
      <c r="T201" s="15"/>
      <c r="U201" s="15"/>
      <c r="V201" s="15"/>
      <c r="W201" s="15"/>
    </row>
    <row r="202" spans="1:23" s="28" customFormat="1" ht="19.5" customHeight="1">
      <c r="A202" s="114"/>
      <c r="B202" s="424"/>
      <c r="C202" s="115" t="s">
        <v>263</v>
      </c>
      <c r="D202" s="460"/>
      <c r="E202" s="434"/>
      <c r="F202" s="434">
        <f>22174.04-306.67+40.04</f>
        <v>21907.410000000003</v>
      </c>
      <c r="G202" s="112"/>
      <c r="H202" s="143"/>
      <c r="I202" s="150"/>
      <c r="J202" s="38"/>
      <c r="K202" s="150"/>
      <c r="L202" s="38"/>
      <c r="M202" s="38"/>
      <c r="N202" s="15"/>
      <c r="O202" s="15"/>
      <c r="P202" s="15"/>
      <c r="Q202" s="15"/>
      <c r="R202" s="15"/>
      <c r="S202" s="15"/>
      <c r="T202" s="15"/>
      <c r="U202" s="15"/>
      <c r="V202" s="15"/>
      <c r="W202" s="15"/>
    </row>
    <row r="203" spans="1:23" s="28" customFormat="1" ht="19.5" customHeight="1">
      <c r="A203" s="114"/>
      <c r="B203" s="424"/>
      <c r="C203" s="115" t="s">
        <v>5</v>
      </c>
      <c r="D203" s="460"/>
      <c r="E203" s="434"/>
      <c r="F203" s="434">
        <f>81103.04+16500+1780.32</f>
        <v>99383.36</v>
      </c>
      <c r="G203" s="112"/>
      <c r="H203" s="143"/>
      <c r="I203" s="150"/>
      <c r="J203" s="38"/>
      <c r="K203" s="150"/>
      <c r="L203" s="38"/>
      <c r="M203" s="38"/>
      <c r="N203" s="15"/>
      <c r="O203" s="15"/>
      <c r="P203" s="15"/>
      <c r="Q203" s="15"/>
      <c r="R203" s="15"/>
      <c r="S203" s="15"/>
      <c r="T203" s="15"/>
      <c r="U203" s="15"/>
      <c r="V203" s="15"/>
      <c r="W203" s="15"/>
    </row>
    <row r="204" spans="1:23" s="28" customFormat="1" ht="19.5" customHeight="1">
      <c r="A204" s="114"/>
      <c r="B204" s="424"/>
      <c r="C204" s="115" t="s">
        <v>264</v>
      </c>
      <c r="D204" s="460"/>
      <c r="E204" s="434"/>
      <c r="F204" s="434">
        <f>4293.66+314.18</f>
        <v>4607.84</v>
      </c>
      <c r="G204" s="112"/>
      <c r="H204" s="143"/>
      <c r="I204" s="150"/>
      <c r="J204" s="38"/>
      <c r="K204" s="150"/>
      <c r="L204" s="38"/>
      <c r="M204" s="38"/>
      <c r="N204" s="15"/>
      <c r="O204" s="15"/>
      <c r="P204" s="15"/>
      <c r="Q204" s="15"/>
      <c r="R204" s="15"/>
      <c r="S204" s="15"/>
      <c r="T204" s="15"/>
      <c r="U204" s="15"/>
      <c r="V204" s="15"/>
      <c r="W204" s="15"/>
    </row>
    <row r="205" spans="1:23" s="28" customFormat="1" ht="19.5" customHeight="1">
      <c r="A205" s="114"/>
      <c r="B205" s="424"/>
      <c r="C205" s="115" t="s">
        <v>6</v>
      </c>
      <c r="D205" s="460"/>
      <c r="E205" s="434"/>
      <c r="F205" s="434">
        <f>10253+3500-42.57+0.35</f>
        <v>13710.78</v>
      </c>
      <c r="G205" s="112"/>
      <c r="H205" s="143"/>
      <c r="I205" s="150"/>
      <c r="J205" s="38"/>
      <c r="K205" s="150"/>
      <c r="L205" s="38"/>
      <c r="M205" s="38"/>
      <c r="N205" s="15"/>
      <c r="O205" s="15"/>
      <c r="P205" s="15"/>
      <c r="Q205" s="15"/>
      <c r="R205" s="15"/>
      <c r="S205" s="15"/>
      <c r="T205" s="15"/>
      <c r="U205" s="15"/>
      <c r="V205" s="15"/>
      <c r="W205" s="15"/>
    </row>
    <row r="206" spans="1:23" s="28" customFormat="1" ht="19.5" customHeight="1">
      <c r="A206" s="114"/>
      <c r="B206" s="424"/>
      <c r="C206" s="115" t="s">
        <v>216</v>
      </c>
      <c r="D206" s="460"/>
      <c r="E206" s="434"/>
      <c r="F206" s="434">
        <f>542.8-7.51</f>
        <v>535.29</v>
      </c>
      <c r="G206" s="112"/>
      <c r="H206" s="143"/>
      <c r="I206" s="150"/>
      <c r="J206" s="38"/>
      <c r="K206" s="150"/>
      <c r="L206" s="38"/>
      <c r="M206" s="38"/>
      <c r="N206" s="15"/>
      <c r="O206" s="15"/>
      <c r="P206" s="15"/>
      <c r="Q206" s="15"/>
      <c r="R206" s="15"/>
      <c r="S206" s="15"/>
      <c r="T206" s="15"/>
      <c r="U206" s="15"/>
      <c r="V206" s="15"/>
      <c r="W206" s="15"/>
    </row>
    <row r="207" spans="1:23" s="28" customFormat="1" ht="19.5" customHeight="1">
      <c r="A207" s="114"/>
      <c r="B207" s="424"/>
      <c r="C207" s="115" t="s">
        <v>7</v>
      </c>
      <c r="D207" s="460"/>
      <c r="E207" s="434"/>
      <c r="F207" s="434">
        <f>48158.93+30000+6462.18+7.97</f>
        <v>84629.07999999999</v>
      </c>
      <c r="G207" s="112"/>
      <c r="H207" s="143"/>
      <c r="I207" s="150"/>
      <c r="J207" s="38"/>
      <c r="K207" s="150"/>
      <c r="L207" s="38"/>
      <c r="M207" s="38"/>
      <c r="N207" s="15"/>
      <c r="O207" s="15"/>
      <c r="P207" s="15"/>
      <c r="Q207" s="15"/>
      <c r="R207" s="15"/>
      <c r="S207" s="15"/>
      <c r="T207" s="15"/>
      <c r="U207" s="15"/>
      <c r="V207" s="15"/>
      <c r="W207" s="15"/>
    </row>
    <row r="208" spans="1:23" s="28" customFormat="1" ht="19.5" customHeight="1">
      <c r="A208" s="114"/>
      <c r="B208" s="424"/>
      <c r="C208" s="115" t="s">
        <v>265</v>
      </c>
      <c r="D208" s="460"/>
      <c r="E208" s="434"/>
      <c r="F208" s="434">
        <f>2549.57+1140.38</f>
        <v>3689.9500000000003</v>
      </c>
      <c r="G208" s="112"/>
      <c r="H208" s="143"/>
      <c r="I208" s="150"/>
      <c r="J208" s="38"/>
      <c r="K208" s="150"/>
      <c r="L208" s="38"/>
      <c r="M208" s="38"/>
      <c r="N208" s="15"/>
      <c r="O208" s="15"/>
      <c r="P208" s="15"/>
      <c r="Q208" s="15"/>
      <c r="R208" s="15"/>
      <c r="S208" s="15"/>
      <c r="T208" s="15"/>
      <c r="U208" s="15"/>
      <c r="V208" s="15"/>
      <c r="W208" s="15"/>
    </row>
    <row r="209" spans="1:23" s="28" customFormat="1" ht="19.5" customHeight="1">
      <c r="A209" s="114"/>
      <c r="B209" s="424"/>
      <c r="C209" s="115" t="s">
        <v>8</v>
      </c>
      <c r="D209" s="460"/>
      <c r="E209" s="434"/>
      <c r="F209" s="434">
        <f>26482.74+78.7</f>
        <v>26561.440000000002</v>
      </c>
      <c r="G209" s="112"/>
      <c r="H209" s="143"/>
      <c r="I209" s="150"/>
      <c r="J209" s="38"/>
      <c r="K209" s="150"/>
      <c r="L209" s="38"/>
      <c r="M209" s="38"/>
      <c r="N209" s="15"/>
      <c r="O209" s="15"/>
      <c r="P209" s="15"/>
      <c r="Q209" s="15"/>
      <c r="R209" s="15"/>
      <c r="S209" s="15"/>
      <c r="T209" s="15"/>
      <c r="U209" s="15"/>
      <c r="V209" s="15"/>
      <c r="W209" s="15"/>
    </row>
    <row r="210" spans="1:23" s="28" customFormat="1" ht="19.5" customHeight="1">
      <c r="A210" s="114"/>
      <c r="B210" s="424"/>
      <c r="C210" s="115" t="s">
        <v>266</v>
      </c>
      <c r="D210" s="460"/>
      <c r="E210" s="684"/>
      <c r="F210" s="684">
        <f>1402.02+4.22</f>
        <v>1406.24</v>
      </c>
      <c r="G210" s="112"/>
      <c r="H210" s="143"/>
      <c r="I210" s="150"/>
      <c r="J210" s="38"/>
      <c r="K210" s="150"/>
      <c r="L210" s="38"/>
      <c r="M210" s="38"/>
      <c r="N210" s="15"/>
      <c r="O210" s="15"/>
      <c r="P210" s="15"/>
      <c r="Q210" s="15"/>
      <c r="R210" s="15"/>
      <c r="S210" s="15"/>
      <c r="T210" s="15"/>
      <c r="U210" s="15"/>
      <c r="V210" s="15"/>
      <c r="W210" s="15"/>
    </row>
    <row r="211" spans="1:23" s="28" customFormat="1" ht="19.5" customHeight="1">
      <c r="A211" s="114"/>
      <c r="B211" s="424"/>
      <c r="C211" s="115" t="s">
        <v>222</v>
      </c>
      <c r="D211" s="460"/>
      <c r="E211" s="684"/>
      <c r="F211" s="684">
        <f>20+2979.61</f>
        <v>2999.61</v>
      </c>
      <c r="G211" s="112"/>
      <c r="H211" s="143"/>
      <c r="I211" s="150"/>
      <c r="J211" s="38"/>
      <c r="K211" s="150"/>
      <c r="L211" s="38"/>
      <c r="M211" s="38"/>
      <c r="N211" s="15"/>
      <c r="O211" s="15"/>
      <c r="P211" s="15"/>
      <c r="Q211" s="15"/>
      <c r="R211" s="15"/>
      <c r="S211" s="15"/>
      <c r="T211" s="15"/>
      <c r="U211" s="15"/>
      <c r="V211" s="15"/>
      <c r="W211" s="15"/>
    </row>
    <row r="212" spans="1:23" s="28" customFormat="1" ht="19.5" customHeight="1">
      <c r="A212" s="114"/>
      <c r="B212" s="424"/>
      <c r="C212" s="115" t="s">
        <v>268</v>
      </c>
      <c r="D212" s="460"/>
      <c r="E212" s="684"/>
      <c r="F212" s="684">
        <v>11396.65</v>
      </c>
      <c r="G212" s="112"/>
      <c r="H212" s="143"/>
      <c r="I212" s="150"/>
      <c r="J212" s="38"/>
      <c r="K212" s="150"/>
      <c r="L212" s="38"/>
      <c r="M212" s="38"/>
      <c r="N212" s="15"/>
      <c r="O212" s="15"/>
      <c r="P212" s="15"/>
      <c r="Q212" s="15"/>
      <c r="R212" s="15"/>
      <c r="S212" s="15"/>
      <c r="T212" s="15"/>
      <c r="U212" s="15"/>
      <c r="V212" s="15"/>
      <c r="W212" s="15"/>
    </row>
    <row r="213" spans="1:23" s="28" customFormat="1" ht="19.5" customHeight="1">
      <c r="A213" s="114"/>
      <c r="B213" s="424"/>
      <c r="C213" s="115" t="s">
        <v>269</v>
      </c>
      <c r="D213" s="460"/>
      <c r="E213" s="684"/>
      <c r="F213" s="684">
        <v>603.35</v>
      </c>
      <c r="G213" s="112"/>
      <c r="H213" s="143"/>
      <c r="I213" s="150"/>
      <c r="J213" s="38"/>
      <c r="K213" s="150"/>
      <c r="L213" s="38"/>
      <c r="M213" s="38"/>
      <c r="N213" s="15"/>
      <c r="O213" s="15"/>
      <c r="P213" s="15"/>
      <c r="Q213" s="15"/>
      <c r="R213" s="15"/>
      <c r="S213" s="15"/>
      <c r="T213" s="15"/>
      <c r="U213" s="15"/>
      <c r="V213" s="15"/>
      <c r="W213" s="15"/>
    </row>
    <row r="214" spans="1:23" s="28" customFormat="1" ht="19.5" customHeight="1">
      <c r="A214" s="114"/>
      <c r="B214" s="424"/>
      <c r="C214" s="115" t="s">
        <v>270</v>
      </c>
      <c r="D214" s="460"/>
      <c r="E214" s="684"/>
      <c r="F214" s="684">
        <v>17740.79</v>
      </c>
      <c r="G214" s="112"/>
      <c r="H214" s="143"/>
      <c r="I214" s="150"/>
      <c r="J214" s="38"/>
      <c r="K214" s="150"/>
      <c r="L214" s="38"/>
      <c r="M214" s="38"/>
      <c r="N214" s="15"/>
      <c r="O214" s="15"/>
      <c r="P214" s="15"/>
      <c r="Q214" s="15"/>
      <c r="R214" s="15"/>
      <c r="S214" s="15"/>
      <c r="T214" s="15"/>
      <c r="U214" s="15"/>
      <c r="V214" s="15"/>
      <c r="W214" s="15"/>
    </row>
    <row r="215" spans="1:23" s="28" customFormat="1" ht="19.5" customHeight="1">
      <c r="A215" s="114"/>
      <c r="B215" s="424"/>
      <c r="C215" s="115" t="s">
        <v>271</v>
      </c>
      <c r="D215" s="460"/>
      <c r="E215" s="684"/>
      <c r="F215" s="684">
        <v>939.21</v>
      </c>
      <c r="G215" s="112"/>
      <c r="H215" s="143"/>
      <c r="I215" s="150"/>
      <c r="J215" s="38"/>
      <c r="K215" s="150"/>
      <c r="L215" s="38"/>
      <c r="M215" s="38"/>
      <c r="N215" s="15"/>
      <c r="O215" s="15"/>
      <c r="P215" s="15"/>
      <c r="Q215" s="15"/>
      <c r="R215" s="15"/>
      <c r="S215" s="15"/>
      <c r="T215" s="15"/>
      <c r="U215" s="15"/>
      <c r="V215" s="15"/>
      <c r="W215" s="15"/>
    </row>
    <row r="216" spans="1:23" s="28" customFormat="1" ht="19.5" customHeight="1">
      <c r="A216" s="114"/>
      <c r="B216" s="424"/>
      <c r="C216" s="115" t="s">
        <v>294</v>
      </c>
      <c r="D216" s="460"/>
      <c r="E216" s="684"/>
      <c r="F216" s="684">
        <v>40000</v>
      </c>
      <c r="G216" s="112"/>
      <c r="H216" s="143"/>
      <c r="I216" s="150"/>
      <c r="J216" s="38"/>
      <c r="K216" s="150"/>
      <c r="L216" s="38"/>
      <c r="M216" s="38"/>
      <c r="N216" s="15"/>
      <c r="O216" s="15"/>
      <c r="P216" s="15"/>
      <c r="Q216" s="15"/>
      <c r="R216" s="15"/>
      <c r="S216" s="15"/>
      <c r="T216" s="15"/>
      <c r="U216" s="15"/>
      <c r="V216" s="15"/>
      <c r="W216" s="15"/>
    </row>
    <row r="217" spans="1:23" s="28" customFormat="1" ht="19.5" customHeight="1">
      <c r="A217" s="114"/>
      <c r="B217" s="424"/>
      <c r="C217" s="115" t="s">
        <v>9</v>
      </c>
      <c r="D217" s="460"/>
      <c r="E217" s="684"/>
      <c r="F217" s="684">
        <f>542336.64+10195.44+19279.53+45377.04+12167.92+4275.76+2000</f>
        <v>635632.3300000001</v>
      </c>
      <c r="G217" s="112"/>
      <c r="H217" s="143"/>
      <c r="I217" s="150"/>
      <c r="J217" s="38"/>
      <c r="K217" s="150"/>
      <c r="L217" s="38"/>
      <c r="M217" s="38"/>
      <c r="N217" s="15"/>
      <c r="O217" s="15"/>
      <c r="P217" s="15"/>
      <c r="Q217" s="15"/>
      <c r="R217" s="15"/>
      <c r="S217" s="15"/>
      <c r="T217" s="15"/>
      <c r="U217" s="15"/>
      <c r="V217" s="15"/>
      <c r="W217" s="15"/>
    </row>
    <row r="218" spans="1:23" s="28" customFormat="1" ht="19.5" customHeight="1">
      <c r="A218" s="114"/>
      <c r="B218" s="424"/>
      <c r="C218" s="115" t="s">
        <v>272</v>
      </c>
      <c r="D218" s="460"/>
      <c r="E218" s="684"/>
      <c r="F218" s="684">
        <f>28712.18+8007.72+2147.28+754.55</f>
        <v>39621.73</v>
      </c>
      <c r="G218" s="112"/>
      <c r="H218" s="143"/>
      <c r="I218" s="150"/>
      <c r="J218" s="38"/>
      <c r="K218" s="150"/>
      <c r="L218" s="38"/>
      <c r="M218" s="38"/>
      <c r="N218" s="15"/>
      <c r="O218" s="15"/>
      <c r="P218" s="15"/>
      <c r="Q218" s="15"/>
      <c r="R218" s="15"/>
      <c r="S218" s="15"/>
      <c r="T218" s="15"/>
      <c r="U218" s="15"/>
      <c r="V218" s="15"/>
      <c r="W218" s="15"/>
    </row>
    <row r="219" spans="1:23" s="28" customFormat="1" ht="19.5" customHeight="1">
      <c r="A219" s="114"/>
      <c r="B219" s="424"/>
      <c r="C219" s="115" t="s">
        <v>10</v>
      </c>
      <c r="D219" s="460"/>
      <c r="E219" s="684"/>
      <c r="F219" s="684">
        <v>1435.98</v>
      </c>
      <c r="G219" s="112"/>
      <c r="H219" s="143"/>
      <c r="I219" s="150"/>
      <c r="J219" s="38"/>
      <c r="K219" s="150"/>
      <c r="L219" s="38"/>
      <c r="M219" s="38"/>
      <c r="N219" s="15"/>
      <c r="O219" s="15"/>
      <c r="P219" s="15"/>
      <c r="Q219" s="15"/>
      <c r="R219" s="15"/>
      <c r="S219" s="15"/>
      <c r="T219" s="15"/>
      <c r="U219" s="15"/>
      <c r="V219" s="15"/>
      <c r="W219" s="15"/>
    </row>
    <row r="220" spans="1:23" s="28" customFormat="1" ht="19.5" customHeight="1">
      <c r="A220" s="114"/>
      <c r="B220" s="424"/>
      <c r="C220" s="115" t="s">
        <v>273</v>
      </c>
      <c r="D220" s="460"/>
      <c r="E220" s="684"/>
      <c r="F220" s="684">
        <v>76.02</v>
      </c>
      <c r="G220" s="112"/>
      <c r="H220" s="143"/>
      <c r="I220" s="150"/>
      <c r="J220" s="38"/>
      <c r="K220" s="150"/>
      <c r="L220" s="38"/>
      <c r="M220" s="38"/>
      <c r="N220" s="15"/>
      <c r="O220" s="15"/>
      <c r="P220" s="15"/>
      <c r="Q220" s="15"/>
      <c r="R220" s="15"/>
      <c r="S220" s="15"/>
      <c r="T220" s="15"/>
      <c r="U220" s="15"/>
      <c r="V220" s="15"/>
      <c r="W220" s="15"/>
    </row>
    <row r="221" spans="1:23" s="28" customFormat="1" ht="19.5" customHeight="1">
      <c r="A221" s="114"/>
      <c r="B221" s="424"/>
      <c r="C221" s="115" t="s">
        <v>274</v>
      </c>
      <c r="D221" s="460"/>
      <c r="E221" s="684"/>
      <c r="F221" s="684">
        <v>1899.44</v>
      </c>
      <c r="G221" s="112"/>
      <c r="H221" s="143"/>
      <c r="I221" s="150"/>
      <c r="J221" s="38"/>
      <c r="K221" s="150"/>
      <c r="L221" s="38"/>
      <c r="M221" s="38"/>
      <c r="N221" s="15"/>
      <c r="O221" s="15"/>
      <c r="P221" s="15"/>
      <c r="Q221" s="15"/>
      <c r="R221" s="15"/>
      <c r="S221" s="15"/>
      <c r="T221" s="15"/>
      <c r="U221" s="15"/>
      <c r="V221" s="15"/>
      <c r="W221" s="15"/>
    </row>
    <row r="222" spans="1:23" s="28" customFormat="1" ht="19.5" customHeight="1">
      <c r="A222" s="114"/>
      <c r="B222" s="424"/>
      <c r="C222" s="115" t="s">
        <v>275</v>
      </c>
      <c r="D222" s="460"/>
      <c r="E222" s="684"/>
      <c r="F222" s="684">
        <v>100.56</v>
      </c>
      <c r="G222" s="112"/>
      <c r="H222" s="143"/>
      <c r="I222" s="150"/>
      <c r="J222" s="38"/>
      <c r="K222" s="150"/>
      <c r="L222" s="38"/>
      <c r="M222" s="38"/>
      <c r="N222" s="15"/>
      <c r="O222" s="15"/>
      <c r="P222" s="15"/>
      <c r="Q222" s="15"/>
      <c r="R222" s="15"/>
      <c r="S222" s="15"/>
      <c r="T222" s="15"/>
      <c r="U222" s="15"/>
      <c r="V222" s="15"/>
      <c r="W222" s="15"/>
    </row>
    <row r="223" spans="1:23" s="28" customFormat="1" ht="19.5" customHeight="1">
      <c r="A223" s="114"/>
      <c r="B223" s="424"/>
      <c r="C223" s="115" t="s">
        <v>11</v>
      </c>
      <c r="D223" s="460"/>
      <c r="E223" s="684"/>
      <c r="F223" s="684">
        <f>2507.26+2526+1372.24</f>
        <v>6405.5</v>
      </c>
      <c r="G223" s="112"/>
      <c r="H223" s="143"/>
      <c r="I223" s="150"/>
      <c r="J223" s="38"/>
      <c r="K223" s="150"/>
      <c r="L223" s="38"/>
      <c r="M223" s="38"/>
      <c r="N223" s="15"/>
      <c r="O223" s="15"/>
      <c r="P223" s="15"/>
      <c r="Q223" s="15"/>
      <c r="R223" s="15"/>
      <c r="S223" s="15"/>
      <c r="T223" s="15"/>
      <c r="U223" s="15"/>
      <c r="V223" s="15"/>
      <c r="W223" s="15"/>
    </row>
    <row r="224" spans="1:23" s="28" customFormat="1" ht="19.5" customHeight="1">
      <c r="A224" s="114"/>
      <c r="B224" s="424"/>
      <c r="C224" s="115" t="s">
        <v>276</v>
      </c>
      <c r="D224" s="460"/>
      <c r="E224" s="684"/>
      <c r="F224" s="684">
        <v>132.74</v>
      </c>
      <c r="G224" s="112"/>
      <c r="H224" s="143"/>
      <c r="I224" s="150"/>
      <c r="J224" s="38"/>
      <c r="K224" s="150"/>
      <c r="L224" s="38"/>
      <c r="M224" s="38"/>
      <c r="N224" s="15"/>
      <c r="O224" s="15"/>
      <c r="P224" s="15"/>
      <c r="Q224" s="15"/>
      <c r="R224" s="15"/>
      <c r="S224" s="15"/>
      <c r="T224" s="15"/>
      <c r="U224" s="15"/>
      <c r="V224" s="15"/>
      <c r="W224" s="15"/>
    </row>
    <row r="225" spans="1:23" s="28" customFormat="1" ht="19.5" customHeight="1">
      <c r="A225" s="114"/>
      <c r="B225" s="424"/>
      <c r="C225" s="115" t="s">
        <v>281</v>
      </c>
      <c r="D225" s="460"/>
      <c r="E225" s="684"/>
      <c r="F225" s="684">
        <v>9644.42</v>
      </c>
      <c r="G225" s="112"/>
      <c r="H225" s="143"/>
      <c r="I225" s="150"/>
      <c r="J225" s="38"/>
      <c r="K225" s="150"/>
      <c r="L225" s="38"/>
      <c r="M225" s="38"/>
      <c r="N225" s="15"/>
      <c r="O225" s="15"/>
      <c r="P225" s="15"/>
      <c r="Q225" s="15"/>
      <c r="R225" s="15"/>
      <c r="S225" s="15"/>
      <c r="T225" s="15"/>
      <c r="U225" s="15"/>
      <c r="V225" s="15"/>
      <c r="W225" s="15"/>
    </row>
    <row r="226" spans="1:23" s="28" customFormat="1" ht="19.5" customHeight="1">
      <c r="A226" s="114"/>
      <c r="B226" s="424"/>
      <c r="C226" s="115" t="s">
        <v>277</v>
      </c>
      <c r="D226" s="460"/>
      <c r="E226" s="684"/>
      <c r="F226" s="684">
        <v>510.58</v>
      </c>
      <c r="G226" s="112"/>
      <c r="H226" s="143"/>
      <c r="I226" s="150"/>
      <c r="J226" s="38"/>
      <c r="K226" s="150"/>
      <c r="L226" s="38"/>
      <c r="M226" s="38"/>
      <c r="N226" s="15"/>
      <c r="O226" s="15"/>
      <c r="P226" s="15"/>
      <c r="Q226" s="15"/>
      <c r="R226" s="15"/>
      <c r="S226" s="15"/>
      <c r="T226" s="15"/>
      <c r="U226" s="15"/>
      <c r="V226" s="15"/>
      <c r="W226" s="15"/>
    </row>
    <row r="227" spans="1:23" s="28" customFormat="1" ht="19.5" customHeight="1">
      <c r="A227" s="114"/>
      <c r="B227" s="424"/>
      <c r="C227" s="115" t="s">
        <v>278</v>
      </c>
      <c r="D227" s="460"/>
      <c r="E227" s="684"/>
      <c r="F227" s="684">
        <v>3580.45</v>
      </c>
      <c r="G227" s="112"/>
      <c r="H227" s="143"/>
      <c r="I227" s="150"/>
      <c r="J227" s="38"/>
      <c r="K227" s="150"/>
      <c r="L227" s="38"/>
      <c r="M227" s="38"/>
      <c r="N227" s="15"/>
      <c r="O227" s="15"/>
      <c r="P227" s="15"/>
      <c r="Q227" s="15"/>
      <c r="R227" s="15"/>
      <c r="S227" s="15"/>
      <c r="T227" s="15"/>
      <c r="U227" s="15"/>
      <c r="V227" s="15"/>
      <c r="W227" s="15"/>
    </row>
    <row r="228" spans="1:23" s="28" customFormat="1" ht="19.5" customHeight="1">
      <c r="A228" s="114"/>
      <c r="B228" s="424"/>
      <c r="C228" s="115" t="s">
        <v>279</v>
      </c>
      <c r="D228" s="460"/>
      <c r="E228" s="684"/>
      <c r="F228" s="684">
        <v>189.55</v>
      </c>
      <c r="G228" s="112"/>
      <c r="H228" s="143"/>
      <c r="I228" s="150"/>
      <c r="J228" s="38"/>
      <c r="K228" s="150"/>
      <c r="L228" s="38"/>
      <c r="M228" s="38"/>
      <c r="N228" s="15"/>
      <c r="O228" s="15"/>
      <c r="P228" s="15"/>
      <c r="Q228" s="15"/>
      <c r="R228" s="15"/>
      <c r="S228" s="15"/>
      <c r="T228" s="15"/>
      <c r="U228" s="15"/>
      <c r="V228" s="15"/>
      <c r="W228" s="15"/>
    </row>
    <row r="229" spans="1:23" s="28" customFormat="1" ht="19.5" customHeight="1">
      <c r="A229" s="128"/>
      <c r="B229" s="424"/>
      <c r="C229" s="115" t="s">
        <v>223</v>
      </c>
      <c r="D229" s="460"/>
      <c r="E229" s="684"/>
      <c r="F229" s="684">
        <v>957</v>
      </c>
      <c r="G229" s="112"/>
      <c r="H229" s="143"/>
      <c r="I229" s="150"/>
      <c r="J229" s="38"/>
      <c r="K229" s="150"/>
      <c r="L229" s="38"/>
      <c r="M229" s="38"/>
      <c r="N229" s="15"/>
      <c r="O229" s="15"/>
      <c r="P229" s="15"/>
      <c r="Q229" s="15"/>
      <c r="R229" s="15"/>
      <c r="S229" s="15"/>
      <c r="T229" s="15"/>
      <c r="U229" s="15"/>
      <c r="V229" s="15"/>
      <c r="W229" s="15"/>
    </row>
    <row r="230" spans="1:23" s="29" customFormat="1" ht="19.5" customHeight="1">
      <c r="A230" s="109" t="s">
        <v>315</v>
      </c>
      <c r="B230" s="106" t="s">
        <v>316</v>
      </c>
      <c r="C230" s="218" t="s">
        <v>317</v>
      </c>
      <c r="D230" s="459"/>
      <c r="E230" s="129"/>
      <c r="F230" s="129">
        <v>130000</v>
      </c>
      <c r="G230" s="107"/>
      <c r="H230" s="140"/>
      <c r="I230" s="137"/>
      <c r="J230" s="39"/>
      <c r="K230" s="137"/>
      <c r="L230" s="39"/>
      <c r="M230" s="39"/>
      <c r="N230" s="163"/>
      <c r="O230" s="163"/>
      <c r="P230" s="163"/>
      <c r="Q230" s="163"/>
      <c r="R230" s="163"/>
      <c r="S230" s="163"/>
      <c r="T230" s="163"/>
      <c r="U230" s="163"/>
      <c r="V230" s="163"/>
      <c r="W230" s="163"/>
    </row>
    <row r="231" spans="1:23" s="29" customFormat="1" ht="19.5" customHeight="1">
      <c r="A231" s="106" t="s">
        <v>303</v>
      </c>
      <c r="B231" s="110"/>
      <c r="C231" s="218"/>
      <c r="D231" s="459"/>
      <c r="E231" s="129"/>
      <c r="F231" s="129">
        <f>F232+F233+F236+F237</f>
        <v>1801569</v>
      </c>
      <c r="G231" s="107"/>
      <c r="H231" s="140"/>
      <c r="I231" s="137"/>
      <c r="J231" s="39"/>
      <c r="K231" s="137"/>
      <c r="L231" s="39"/>
      <c r="M231" s="39"/>
      <c r="N231" s="163"/>
      <c r="O231" s="163"/>
      <c r="P231" s="163"/>
      <c r="Q231" s="163"/>
      <c r="R231" s="163"/>
      <c r="S231" s="163"/>
      <c r="T231" s="163"/>
      <c r="U231" s="163"/>
      <c r="V231" s="163"/>
      <c r="W231" s="163"/>
    </row>
    <row r="232" spans="1:23" s="28" customFormat="1" ht="19.5" customHeight="1">
      <c r="A232" s="423"/>
      <c r="B232" s="217" t="s">
        <v>224</v>
      </c>
      <c r="C232" s="115" t="s">
        <v>294</v>
      </c>
      <c r="D232" s="460"/>
      <c r="E232" s="684"/>
      <c r="F232" s="684">
        <v>700000</v>
      </c>
      <c r="G232" s="112"/>
      <c r="H232" s="143"/>
      <c r="I232" s="150"/>
      <c r="J232" s="38"/>
      <c r="K232" s="150"/>
      <c r="L232" s="38"/>
      <c r="M232" s="38"/>
      <c r="N232" s="15"/>
      <c r="O232" s="15"/>
      <c r="P232" s="15"/>
      <c r="Q232" s="15"/>
      <c r="R232" s="15"/>
      <c r="S232" s="15"/>
      <c r="T232" s="15"/>
      <c r="U232" s="15"/>
      <c r="V232" s="15"/>
      <c r="W232" s="15"/>
    </row>
    <row r="233" spans="1:23" s="28" customFormat="1" ht="19.5" customHeight="1">
      <c r="A233" s="114"/>
      <c r="B233" s="423" t="s">
        <v>206</v>
      </c>
      <c r="C233" s="115"/>
      <c r="D233" s="460"/>
      <c r="E233" s="684"/>
      <c r="F233" s="684">
        <f>SUM(F234:F235)</f>
        <v>300000</v>
      </c>
      <c r="G233" s="112"/>
      <c r="H233" s="143"/>
      <c r="I233" s="150"/>
      <c r="J233" s="38"/>
      <c r="K233" s="150"/>
      <c r="L233" s="38"/>
      <c r="M233" s="38"/>
      <c r="N233" s="15"/>
      <c r="O233" s="15"/>
      <c r="P233" s="15"/>
      <c r="Q233" s="15"/>
      <c r="R233" s="15"/>
      <c r="S233" s="15"/>
      <c r="T233" s="15"/>
      <c r="U233" s="15"/>
      <c r="V233" s="15"/>
      <c r="W233" s="15"/>
    </row>
    <row r="234" spans="1:23" s="28" customFormat="1" ht="19.5" customHeight="1">
      <c r="A234" s="113"/>
      <c r="B234" s="423"/>
      <c r="C234" s="115" t="s">
        <v>294</v>
      </c>
      <c r="D234" s="460"/>
      <c r="E234" s="684"/>
      <c r="F234" s="684">
        <v>250000</v>
      </c>
      <c r="G234" s="112"/>
      <c r="H234" s="143"/>
      <c r="I234" s="150"/>
      <c r="J234" s="38"/>
      <c r="K234" s="150"/>
      <c r="L234" s="38"/>
      <c r="M234" s="38"/>
      <c r="N234" s="15"/>
      <c r="O234" s="15"/>
      <c r="P234" s="15"/>
      <c r="Q234" s="15"/>
      <c r="R234" s="15"/>
      <c r="S234" s="15"/>
      <c r="T234" s="15"/>
      <c r="U234" s="15"/>
      <c r="V234" s="15"/>
      <c r="W234" s="15"/>
    </row>
    <row r="235" spans="1:23" s="28" customFormat="1" ht="19.5" customHeight="1">
      <c r="A235" s="113"/>
      <c r="B235" s="128"/>
      <c r="C235" s="115" t="s">
        <v>305</v>
      </c>
      <c r="D235" s="460"/>
      <c r="E235" s="684"/>
      <c r="F235" s="684">
        <v>50000</v>
      </c>
      <c r="G235" s="112"/>
      <c r="H235" s="143"/>
      <c r="I235" s="150"/>
      <c r="J235" s="38"/>
      <c r="K235" s="150"/>
      <c r="L235" s="38"/>
      <c r="M235" s="38"/>
      <c r="N235" s="15"/>
      <c r="O235" s="15"/>
      <c r="P235" s="15"/>
      <c r="Q235" s="15"/>
      <c r="R235" s="15"/>
      <c r="S235" s="15"/>
      <c r="T235" s="15"/>
      <c r="U235" s="15"/>
      <c r="V235" s="15"/>
      <c r="W235" s="15"/>
    </row>
    <row r="236" spans="1:23" s="28" customFormat="1" ht="19.5" customHeight="1">
      <c r="A236" s="114"/>
      <c r="B236" s="128" t="s">
        <v>304</v>
      </c>
      <c r="C236" s="115" t="s">
        <v>305</v>
      </c>
      <c r="D236" s="460"/>
      <c r="E236" s="684"/>
      <c r="F236" s="684">
        <f>50000+240000+150000</f>
        <v>440000</v>
      </c>
      <c r="G236" s="112"/>
      <c r="H236" s="143"/>
      <c r="I236" s="150"/>
      <c r="J236" s="38"/>
      <c r="K236" s="150"/>
      <c r="L236" s="38"/>
      <c r="M236" s="38"/>
      <c r="N236" s="15"/>
      <c r="O236" s="15"/>
      <c r="P236" s="15"/>
      <c r="Q236" s="15"/>
      <c r="R236" s="15"/>
      <c r="S236" s="15"/>
      <c r="T236" s="15"/>
      <c r="U236" s="15"/>
      <c r="V236" s="15"/>
      <c r="W236" s="15"/>
    </row>
    <row r="237" spans="1:23" s="28" customFormat="1" ht="19.5" customHeight="1">
      <c r="A237" s="114"/>
      <c r="B237" s="217" t="s">
        <v>225</v>
      </c>
      <c r="C237" s="115"/>
      <c r="D237" s="460"/>
      <c r="E237" s="684"/>
      <c r="F237" s="684">
        <f>SUM(F238:F241)</f>
        <v>361569</v>
      </c>
      <c r="G237" s="112"/>
      <c r="H237" s="143"/>
      <c r="I237" s="150"/>
      <c r="J237" s="38"/>
      <c r="K237" s="150"/>
      <c r="L237" s="38"/>
      <c r="M237" s="38"/>
      <c r="N237" s="15"/>
      <c r="O237" s="15"/>
      <c r="P237" s="15"/>
      <c r="Q237" s="15"/>
      <c r="R237" s="15"/>
      <c r="S237" s="15"/>
      <c r="T237" s="15"/>
      <c r="U237" s="15"/>
      <c r="V237" s="15"/>
      <c r="W237" s="15"/>
    </row>
    <row r="238" spans="1:23" s="28" customFormat="1" ht="19.5" customHeight="1">
      <c r="A238" s="114"/>
      <c r="B238" s="424"/>
      <c r="C238" s="115" t="s">
        <v>291</v>
      </c>
      <c r="D238" s="460"/>
      <c r="E238" s="684"/>
      <c r="F238" s="684">
        <v>37261</v>
      </c>
      <c r="G238" s="112"/>
      <c r="H238" s="143"/>
      <c r="I238" s="150"/>
      <c r="J238" s="38"/>
      <c r="K238" s="150"/>
      <c r="L238" s="38"/>
      <c r="M238" s="38"/>
      <c r="N238" s="15"/>
      <c r="O238" s="15"/>
      <c r="P238" s="15"/>
      <c r="Q238" s="15"/>
      <c r="R238" s="15"/>
      <c r="S238" s="15"/>
      <c r="T238" s="15"/>
      <c r="U238" s="15"/>
      <c r="V238" s="15"/>
      <c r="W238" s="15"/>
    </row>
    <row r="239" spans="1:23" s="28" customFormat="1" ht="19.5" customHeight="1">
      <c r="A239" s="114"/>
      <c r="B239" s="424"/>
      <c r="C239" s="115" t="s">
        <v>294</v>
      </c>
      <c r="D239" s="460"/>
      <c r="E239" s="684"/>
      <c r="F239" s="684">
        <f>99400+24908</f>
        <v>124308</v>
      </c>
      <c r="G239" s="112"/>
      <c r="H239" s="143"/>
      <c r="I239" s="150"/>
      <c r="J239" s="38"/>
      <c r="K239" s="150"/>
      <c r="L239" s="38"/>
      <c r="M239" s="38"/>
      <c r="N239" s="15"/>
      <c r="O239" s="15"/>
      <c r="P239" s="15"/>
      <c r="Q239" s="15"/>
      <c r="R239" s="15"/>
      <c r="S239" s="15"/>
      <c r="T239" s="15"/>
      <c r="U239" s="15"/>
      <c r="V239" s="15"/>
      <c r="W239" s="15"/>
    </row>
    <row r="240" spans="1:23" s="28" customFormat="1" ht="19.5" customHeight="1">
      <c r="A240" s="114"/>
      <c r="B240" s="424"/>
      <c r="C240" s="115" t="s">
        <v>305</v>
      </c>
      <c r="D240" s="460"/>
      <c r="E240" s="684"/>
      <c r="F240" s="684">
        <v>100000</v>
      </c>
      <c r="G240" s="112"/>
      <c r="H240" s="143"/>
      <c r="I240" s="150"/>
      <c r="J240" s="38"/>
      <c r="K240" s="150"/>
      <c r="L240" s="38"/>
      <c r="M240" s="38"/>
      <c r="N240" s="15"/>
      <c r="O240" s="15"/>
      <c r="P240" s="15"/>
      <c r="Q240" s="15"/>
      <c r="R240" s="15"/>
      <c r="S240" s="15"/>
      <c r="T240" s="15"/>
      <c r="U240" s="15"/>
      <c r="V240" s="15"/>
      <c r="W240" s="15"/>
    </row>
    <row r="241" spans="1:23" s="28" customFormat="1" ht="19.5" customHeight="1">
      <c r="A241" s="114"/>
      <c r="B241" s="424"/>
      <c r="C241" s="424" t="s">
        <v>226</v>
      </c>
      <c r="D241" s="460"/>
      <c r="E241" s="684"/>
      <c r="F241" s="684">
        <v>100000</v>
      </c>
      <c r="G241" s="112"/>
      <c r="H241" s="143"/>
      <c r="I241" s="150"/>
      <c r="J241" s="38"/>
      <c r="K241" s="150"/>
      <c r="L241" s="38"/>
      <c r="M241" s="38"/>
      <c r="N241" s="15"/>
      <c r="O241" s="15"/>
      <c r="P241" s="15"/>
      <c r="Q241" s="15"/>
      <c r="R241" s="15"/>
      <c r="S241" s="15"/>
      <c r="T241" s="15"/>
      <c r="U241" s="15"/>
      <c r="V241" s="15"/>
      <c r="W241" s="15"/>
    </row>
    <row r="242" spans="1:23" s="29" customFormat="1" ht="19.5" customHeight="1">
      <c r="A242" s="106" t="s">
        <v>227</v>
      </c>
      <c r="B242" s="110"/>
      <c r="C242" s="110"/>
      <c r="D242" s="459"/>
      <c r="E242" s="129"/>
      <c r="F242" s="129">
        <f>F243+F246+F247</f>
        <v>699000</v>
      </c>
      <c r="G242" s="107"/>
      <c r="H242" s="140"/>
      <c r="I242" s="137"/>
      <c r="J242" s="39"/>
      <c r="K242" s="137"/>
      <c r="L242" s="39"/>
      <c r="M242" s="39"/>
      <c r="N242" s="163"/>
      <c r="O242" s="163"/>
      <c r="P242" s="163"/>
      <c r="Q242" s="163"/>
      <c r="R242" s="163"/>
      <c r="S242" s="163"/>
      <c r="T242" s="163"/>
      <c r="U242" s="163"/>
      <c r="V242" s="163"/>
      <c r="W242" s="163"/>
    </row>
    <row r="243" spans="1:23" s="28" customFormat="1" ht="19.5" customHeight="1">
      <c r="A243" s="114"/>
      <c r="B243" s="217" t="s">
        <v>228</v>
      </c>
      <c r="C243" s="115"/>
      <c r="D243" s="460"/>
      <c r="E243" s="684"/>
      <c r="F243" s="684">
        <f>SUM(F244:F245)</f>
        <v>465000</v>
      </c>
      <c r="G243" s="112"/>
      <c r="H243" s="143"/>
      <c r="I243" s="150"/>
      <c r="J243" s="38"/>
      <c r="K243" s="150"/>
      <c r="L243" s="38"/>
      <c r="M243" s="38"/>
      <c r="N243" s="15"/>
      <c r="O243" s="15"/>
      <c r="P243" s="15"/>
      <c r="Q243" s="15"/>
      <c r="R243" s="15"/>
      <c r="S243" s="15"/>
      <c r="T243" s="15"/>
      <c r="U243" s="15"/>
      <c r="V243" s="15"/>
      <c r="W243" s="15"/>
    </row>
    <row r="244" spans="1:23" s="28" customFormat="1" ht="19.5" customHeight="1">
      <c r="A244" s="114"/>
      <c r="B244" s="424"/>
      <c r="C244" s="115" t="s">
        <v>229</v>
      </c>
      <c r="D244" s="460"/>
      <c r="E244" s="684"/>
      <c r="F244" s="684">
        <f>15000+50000+60000</f>
        <v>125000</v>
      </c>
      <c r="G244" s="112"/>
      <c r="H244" s="143"/>
      <c r="I244" s="150"/>
      <c r="J244" s="38"/>
      <c r="K244" s="150"/>
      <c r="L244" s="38"/>
      <c r="M244" s="38"/>
      <c r="N244" s="15"/>
      <c r="O244" s="15"/>
      <c r="P244" s="15"/>
      <c r="Q244" s="15"/>
      <c r="R244" s="15"/>
      <c r="S244" s="15"/>
      <c r="T244" s="15"/>
      <c r="U244" s="15"/>
      <c r="V244" s="15"/>
      <c r="W244" s="15"/>
    </row>
    <row r="245" spans="1:23" s="28" customFormat="1" ht="19.5" customHeight="1">
      <c r="A245" s="114"/>
      <c r="B245" s="424"/>
      <c r="C245" s="115" t="s">
        <v>305</v>
      </c>
      <c r="D245" s="460"/>
      <c r="E245" s="684"/>
      <c r="F245" s="684">
        <v>340000</v>
      </c>
      <c r="G245" s="112"/>
      <c r="H245" s="143"/>
      <c r="I245" s="150"/>
      <c r="J245" s="38"/>
      <c r="K245" s="150"/>
      <c r="L245" s="38"/>
      <c r="M245" s="38"/>
      <c r="N245" s="15"/>
      <c r="O245" s="15"/>
      <c r="P245" s="15"/>
      <c r="Q245" s="15"/>
      <c r="R245" s="15"/>
      <c r="S245" s="15"/>
      <c r="T245" s="15"/>
      <c r="U245" s="15"/>
      <c r="V245" s="15"/>
      <c r="W245" s="15"/>
    </row>
    <row r="246" spans="1:23" s="28" customFormat="1" ht="19.5" customHeight="1">
      <c r="A246" s="114"/>
      <c r="B246" s="217" t="s">
        <v>231</v>
      </c>
      <c r="C246" s="115" t="s">
        <v>232</v>
      </c>
      <c r="D246" s="460"/>
      <c r="E246" s="684"/>
      <c r="F246" s="684">
        <f>40000+45000</f>
        <v>85000</v>
      </c>
      <c r="G246" s="112"/>
      <c r="H246" s="143"/>
      <c r="I246" s="150"/>
      <c r="J246" s="38"/>
      <c r="K246" s="150"/>
      <c r="L246" s="38"/>
      <c r="M246" s="38"/>
      <c r="N246" s="15"/>
      <c r="O246" s="15"/>
      <c r="P246" s="15"/>
      <c r="Q246" s="15"/>
      <c r="R246" s="15"/>
      <c r="S246" s="15"/>
      <c r="T246" s="15"/>
      <c r="U246" s="15"/>
      <c r="V246" s="15"/>
      <c r="W246" s="15"/>
    </row>
    <row r="247" spans="1:23" s="28" customFormat="1" ht="19.5" customHeight="1">
      <c r="A247" s="114"/>
      <c r="B247" s="217" t="s">
        <v>233</v>
      </c>
      <c r="C247" s="115" t="s">
        <v>294</v>
      </c>
      <c r="D247" s="460"/>
      <c r="E247" s="684"/>
      <c r="F247" s="684">
        <v>149000</v>
      </c>
      <c r="G247" s="112"/>
      <c r="H247" s="143"/>
      <c r="I247" s="150"/>
      <c r="J247" s="38"/>
      <c r="K247" s="150"/>
      <c r="L247" s="38"/>
      <c r="M247" s="38"/>
      <c r="N247" s="15"/>
      <c r="O247" s="15"/>
      <c r="P247" s="15"/>
      <c r="Q247" s="15"/>
      <c r="R247" s="15"/>
      <c r="S247" s="15"/>
      <c r="T247" s="15"/>
      <c r="U247" s="15"/>
      <c r="V247" s="15"/>
      <c r="W247" s="15"/>
    </row>
    <row r="248" spans="1:23" s="29" customFormat="1" ht="19.5" customHeight="1">
      <c r="A248" s="109" t="s">
        <v>299</v>
      </c>
      <c r="B248" s="109" t="s">
        <v>300</v>
      </c>
      <c r="C248" s="218" t="s">
        <v>267</v>
      </c>
      <c r="D248" s="107"/>
      <c r="E248" s="107"/>
      <c r="F248" s="107">
        <f>SUM(F249:F253)</f>
        <v>344000</v>
      </c>
      <c r="G248" s="107"/>
      <c r="H248" s="140"/>
      <c r="I248" s="137"/>
      <c r="J248" s="39"/>
      <c r="K248" s="137"/>
      <c r="L248" s="39"/>
      <c r="M248" s="39"/>
      <c r="N248" s="163"/>
      <c r="O248" s="163"/>
      <c r="P248" s="163"/>
      <c r="Q248" s="163"/>
      <c r="R248" s="163"/>
      <c r="S248" s="163"/>
      <c r="T248" s="163"/>
      <c r="U248" s="163"/>
      <c r="V248" s="163"/>
      <c r="W248" s="163"/>
    </row>
    <row r="249" spans="1:23" s="28" customFormat="1" ht="19.5" customHeight="1">
      <c r="A249" s="691"/>
      <c r="B249" s="423"/>
      <c r="C249" s="115" t="s">
        <v>214</v>
      </c>
      <c r="D249" s="112"/>
      <c r="E249" s="112"/>
      <c r="F249" s="112">
        <v>76000</v>
      </c>
      <c r="G249" s="112"/>
      <c r="H249" s="143"/>
      <c r="I249" s="150"/>
      <c r="J249" s="38"/>
      <c r="K249" s="150"/>
      <c r="L249" s="38"/>
      <c r="M249" s="38"/>
      <c r="N249" s="15"/>
      <c r="O249" s="15"/>
      <c r="P249" s="15"/>
      <c r="Q249" s="15"/>
      <c r="R249" s="15"/>
      <c r="S249" s="15"/>
      <c r="T249" s="15"/>
      <c r="U249" s="15"/>
      <c r="V249" s="15"/>
      <c r="W249" s="15"/>
    </row>
    <row r="250" spans="1:23" s="28" customFormat="1" ht="19.5" customHeight="1">
      <c r="A250" s="113"/>
      <c r="B250" s="114"/>
      <c r="C250" s="115" t="s">
        <v>242</v>
      </c>
      <c r="D250" s="112"/>
      <c r="E250" s="112"/>
      <c r="F250" s="112">
        <v>13000</v>
      </c>
      <c r="G250" s="112"/>
      <c r="H250" s="143"/>
      <c r="I250" s="150"/>
      <c r="J250" s="38"/>
      <c r="K250" s="150"/>
      <c r="L250" s="38"/>
      <c r="M250" s="38"/>
      <c r="N250" s="15"/>
      <c r="O250" s="15"/>
      <c r="P250" s="15"/>
      <c r="Q250" s="15"/>
      <c r="R250" s="15"/>
      <c r="S250" s="15"/>
      <c r="T250" s="15"/>
      <c r="U250" s="15"/>
      <c r="V250" s="15"/>
      <c r="W250" s="15"/>
    </row>
    <row r="251" spans="1:23" s="28" customFormat="1" ht="19.5" customHeight="1">
      <c r="A251" s="113"/>
      <c r="B251" s="114"/>
      <c r="C251" s="115" t="s">
        <v>207</v>
      </c>
      <c r="D251" s="112"/>
      <c r="E251" s="112"/>
      <c r="F251" s="112">
        <v>203000</v>
      </c>
      <c r="G251" s="112"/>
      <c r="H251" s="143"/>
      <c r="I251" s="150"/>
      <c r="J251" s="38"/>
      <c r="K251" s="150"/>
      <c r="L251" s="38"/>
      <c r="M251" s="38"/>
      <c r="N251" s="15"/>
      <c r="O251" s="15"/>
      <c r="P251" s="15"/>
      <c r="Q251" s="15"/>
      <c r="R251" s="15"/>
      <c r="S251" s="15"/>
      <c r="T251" s="15"/>
      <c r="U251" s="15"/>
      <c r="V251" s="15"/>
      <c r="W251" s="15"/>
    </row>
    <row r="252" spans="1:23" s="28" customFormat="1" ht="19.5" customHeight="1">
      <c r="A252" s="113"/>
      <c r="B252" s="114"/>
      <c r="C252" s="115" t="s">
        <v>289</v>
      </c>
      <c r="D252" s="112"/>
      <c r="E252" s="112"/>
      <c r="F252" s="112">
        <f>3000+27000</f>
        <v>30000</v>
      </c>
      <c r="G252" s="112"/>
      <c r="H252" s="143"/>
      <c r="I252" s="150"/>
      <c r="J252" s="38"/>
      <c r="K252" s="150"/>
      <c r="L252" s="38"/>
      <c r="M252" s="38"/>
      <c r="N252" s="15"/>
      <c r="O252" s="15"/>
      <c r="P252" s="15"/>
      <c r="Q252" s="15"/>
      <c r="R252" s="15"/>
      <c r="S252" s="15"/>
      <c r="T252" s="15"/>
      <c r="U252" s="15"/>
      <c r="V252" s="15"/>
      <c r="W252" s="15"/>
    </row>
    <row r="253" spans="1:23" s="28" customFormat="1" ht="19.5" customHeight="1">
      <c r="A253" s="439"/>
      <c r="B253" s="128"/>
      <c r="C253" s="115" t="s">
        <v>294</v>
      </c>
      <c r="D253" s="112"/>
      <c r="E253" s="112"/>
      <c r="F253" s="112">
        <f>2000+20000</f>
        <v>22000</v>
      </c>
      <c r="G253" s="112"/>
      <c r="H253" s="143"/>
      <c r="I253" s="150"/>
      <c r="J253" s="38"/>
      <c r="K253" s="150"/>
      <c r="L253" s="38"/>
      <c r="M253" s="38"/>
      <c r="N253" s="15"/>
      <c r="O253" s="15"/>
      <c r="P253" s="15"/>
      <c r="Q253" s="15"/>
      <c r="R253" s="15"/>
      <c r="S253" s="15"/>
      <c r="T253" s="15"/>
      <c r="U253" s="15"/>
      <c r="V253" s="15"/>
      <c r="W253" s="15"/>
    </row>
    <row r="254" spans="1:23" s="3" customFormat="1" ht="21.75" customHeight="1">
      <c r="A254" s="689" t="s">
        <v>358</v>
      </c>
      <c r="B254" s="690"/>
      <c r="C254" s="166"/>
      <c r="D254" s="47">
        <f>D149+D154+D159+D169+D170+D173+D189+D192+D195+D230+D231+D242+D248</f>
        <v>215322.68000000002</v>
      </c>
      <c r="E254" s="47">
        <f>E149+E154+E159+E169+E170+E173+E189+E192+E195+E230+E231+E242+E248</f>
        <v>0</v>
      </c>
      <c r="F254" s="47">
        <f>F149+F154+F159+F169+F170+F173+F189+F192+F195+F230+F231+F242+F248</f>
        <v>12645390.530000001</v>
      </c>
      <c r="G254" s="47">
        <f>G149+G154+G159+G169+G170+G173+G189+G192+G195+G230+G231+G242+G248</f>
        <v>0</v>
      </c>
      <c r="H254" s="20"/>
      <c r="I254" s="167"/>
      <c r="J254" s="41"/>
      <c r="K254" s="45"/>
      <c r="L254" s="41"/>
      <c r="M254" s="41"/>
      <c r="N254" s="25"/>
      <c r="O254" s="25"/>
      <c r="P254" s="25"/>
      <c r="Q254" s="25"/>
      <c r="R254" s="25"/>
      <c r="S254" s="25"/>
      <c r="T254" s="25"/>
      <c r="U254" s="25"/>
      <c r="V254" s="25"/>
      <c r="W254" s="25"/>
    </row>
    <row r="255" spans="1:23" s="3" customFormat="1" ht="21.75" customHeight="1">
      <c r="A255" s="168"/>
      <c r="B255" s="169"/>
      <c r="C255" s="170"/>
      <c r="D255" s="27"/>
      <c r="E255" s="27"/>
      <c r="F255" s="27"/>
      <c r="G255" s="27"/>
      <c r="H255" s="20"/>
      <c r="I255" s="167"/>
      <c r="J255" s="41"/>
      <c r="K255" s="45"/>
      <c r="L255" s="41"/>
      <c r="M255" s="41"/>
      <c r="N255" s="25"/>
      <c r="O255" s="25"/>
      <c r="P255" s="25"/>
      <c r="Q255" s="25"/>
      <c r="R255" s="25"/>
      <c r="S255" s="25"/>
      <c r="T255" s="25"/>
      <c r="U255" s="25"/>
      <c r="V255" s="25"/>
      <c r="W255" s="25"/>
    </row>
    <row r="256" spans="1:23" ht="18.75">
      <c r="A256" s="153" t="s">
        <v>359</v>
      </c>
      <c r="B256" s="131"/>
      <c r="C256" s="155"/>
      <c r="D256" s="18"/>
      <c r="E256" s="18"/>
      <c r="F256" s="18"/>
      <c r="G256" s="18"/>
      <c r="H256" s="21"/>
      <c r="I256" s="141"/>
      <c r="J256" s="39"/>
      <c r="K256" s="156"/>
      <c r="L256" s="40"/>
      <c r="M256" s="37"/>
      <c r="N256" s="16"/>
      <c r="O256" s="16"/>
      <c r="P256" s="16"/>
      <c r="Q256" s="16"/>
      <c r="R256" s="16"/>
      <c r="S256" s="16"/>
      <c r="T256" s="16"/>
      <c r="U256" s="16"/>
      <c r="V256" s="16"/>
      <c r="W256" s="16"/>
    </row>
    <row r="257" spans="1:23" ht="18.75">
      <c r="A257" s="153"/>
      <c r="B257" s="131"/>
      <c r="C257" s="155"/>
      <c r="D257" s="18"/>
      <c r="E257" s="18"/>
      <c r="F257" s="18"/>
      <c r="G257" s="18"/>
      <c r="H257" s="21"/>
      <c r="I257" s="141"/>
      <c r="J257" s="39"/>
      <c r="K257" s="156"/>
      <c r="L257" s="40"/>
      <c r="M257" s="37"/>
      <c r="N257" s="16"/>
      <c r="O257" s="16"/>
      <c r="P257" s="16"/>
      <c r="Q257" s="16"/>
      <c r="R257" s="16"/>
      <c r="S257" s="16"/>
      <c r="T257" s="16"/>
      <c r="U257" s="16"/>
      <c r="V257" s="16"/>
      <c r="W257" s="16"/>
    </row>
    <row r="258" spans="1:23" ht="18.75">
      <c r="A258" s="153"/>
      <c r="B258" s="154"/>
      <c r="C258" s="155"/>
      <c r="D258" s="18"/>
      <c r="E258" s="18"/>
      <c r="F258" s="18"/>
      <c r="G258" s="18"/>
      <c r="H258" s="21"/>
      <c r="I258" s="141"/>
      <c r="J258" s="39"/>
      <c r="K258" s="156"/>
      <c r="L258" s="40"/>
      <c r="M258" s="37"/>
      <c r="N258" s="16"/>
      <c r="O258" s="16"/>
      <c r="P258" s="16"/>
      <c r="Q258" s="16"/>
      <c r="R258" s="16"/>
      <c r="S258" s="16"/>
      <c r="T258" s="16"/>
      <c r="U258" s="16"/>
      <c r="V258" s="16"/>
      <c r="W258" s="16"/>
    </row>
    <row r="259" spans="1:23" ht="18.75">
      <c r="A259" s="158" t="s">
        <v>666</v>
      </c>
      <c r="B259" s="154"/>
      <c r="C259" s="159"/>
      <c r="D259" s="19"/>
      <c r="E259" s="19"/>
      <c r="F259" s="19"/>
      <c r="G259" s="19"/>
      <c r="H259" s="17"/>
      <c r="I259" s="141"/>
      <c r="J259" s="38"/>
      <c r="K259" s="134"/>
      <c r="L259" s="37"/>
      <c r="M259" s="37"/>
      <c r="N259" s="16"/>
      <c r="O259" s="16"/>
      <c r="P259" s="16"/>
      <c r="Q259" s="16"/>
      <c r="R259" s="16"/>
      <c r="S259" s="16"/>
      <c r="T259" s="16"/>
      <c r="U259" s="16"/>
      <c r="V259" s="16"/>
      <c r="W259" s="16"/>
    </row>
    <row r="260" spans="1:23" ht="18.75">
      <c r="A260" s="158"/>
      <c r="B260" s="158"/>
      <c r="C260" s="159"/>
      <c r="D260" s="19"/>
      <c r="E260" s="19"/>
      <c r="F260" s="19"/>
      <c r="G260" s="19"/>
      <c r="H260" s="17"/>
      <c r="I260" s="141"/>
      <c r="J260" s="38"/>
      <c r="K260" s="134"/>
      <c r="L260" s="37"/>
      <c r="M260" s="37"/>
      <c r="N260" s="16"/>
      <c r="O260" s="16"/>
      <c r="P260" s="16"/>
      <c r="Q260" s="16"/>
      <c r="R260" s="16"/>
      <c r="S260" s="16"/>
      <c r="T260" s="16"/>
      <c r="U260" s="16"/>
      <c r="V260" s="16"/>
      <c r="W260" s="16"/>
    </row>
    <row r="261" spans="1:23" ht="18.75">
      <c r="A261" s="171"/>
      <c r="B261" s="101"/>
      <c r="C261" s="172"/>
      <c r="D261" s="10" t="s">
        <v>349</v>
      </c>
      <c r="E261" s="11"/>
      <c r="F261" s="10" t="s">
        <v>384</v>
      </c>
      <c r="G261" s="11"/>
      <c r="H261" s="17"/>
      <c r="I261" s="141"/>
      <c r="J261" s="38"/>
      <c r="K261" s="134"/>
      <c r="L261" s="37"/>
      <c r="M261" s="37"/>
      <c r="N261" s="16"/>
      <c r="O261" s="16"/>
      <c r="P261" s="16"/>
      <c r="Q261" s="16"/>
      <c r="R261" s="16"/>
      <c r="S261" s="16"/>
      <c r="T261" s="16"/>
      <c r="U261" s="16"/>
      <c r="V261" s="16"/>
      <c r="W261" s="16"/>
    </row>
    <row r="262" spans="1:23" ht="13.5" customHeight="1">
      <c r="A262" s="173"/>
      <c r="B262" s="103"/>
      <c r="C262" s="174"/>
      <c r="D262" s="12" t="s">
        <v>352</v>
      </c>
      <c r="E262" s="11" t="s">
        <v>351</v>
      </c>
      <c r="F262" s="12" t="s">
        <v>352</v>
      </c>
      <c r="G262" s="11" t="s">
        <v>351</v>
      </c>
      <c r="H262" s="17"/>
      <c r="I262" s="156"/>
      <c r="J262" s="38"/>
      <c r="K262" s="134"/>
      <c r="L262" s="37"/>
      <c r="M262" s="37"/>
      <c r="N262" s="16"/>
      <c r="O262" s="16"/>
      <c r="P262" s="16"/>
      <c r="Q262" s="16"/>
      <c r="R262" s="16"/>
      <c r="S262" s="16"/>
      <c r="T262" s="16"/>
      <c r="U262" s="16"/>
      <c r="V262" s="16"/>
      <c r="W262" s="16"/>
    </row>
    <row r="263" spans="1:23" ht="27.75" customHeight="1">
      <c r="A263" s="175" t="s">
        <v>354</v>
      </c>
      <c r="B263" s="176" t="s">
        <v>360</v>
      </c>
      <c r="C263" s="177" t="s">
        <v>355</v>
      </c>
      <c r="D263" s="178" t="s">
        <v>356</v>
      </c>
      <c r="E263" s="179" t="s">
        <v>357</v>
      </c>
      <c r="F263" s="178" t="s">
        <v>356</v>
      </c>
      <c r="G263" s="179" t="s">
        <v>357</v>
      </c>
      <c r="H263" s="17"/>
      <c r="I263" s="141"/>
      <c r="J263" s="38"/>
      <c r="K263" s="134"/>
      <c r="L263" s="37"/>
      <c r="M263" s="37"/>
      <c r="N263" s="16"/>
      <c r="O263" s="16"/>
      <c r="P263" s="16"/>
      <c r="Q263" s="16"/>
      <c r="R263" s="16"/>
      <c r="S263" s="16"/>
      <c r="T263" s="16"/>
      <c r="U263" s="16"/>
      <c r="V263" s="16"/>
      <c r="W263" s="16"/>
    </row>
    <row r="264" spans="1:13" s="48" customFormat="1" ht="18.75" customHeight="1">
      <c r="A264" s="109" t="s">
        <v>311</v>
      </c>
      <c r="B264" s="162" t="s">
        <v>205</v>
      </c>
      <c r="C264" s="106"/>
      <c r="D264" s="907"/>
      <c r="E264" s="908"/>
      <c r="F264" s="46">
        <f>SUM(F265:F266)</f>
        <v>771900</v>
      </c>
      <c r="G264" s="46"/>
      <c r="I264" s="49"/>
      <c r="J264" s="49"/>
      <c r="K264" s="49"/>
      <c r="L264" s="49"/>
      <c r="M264" s="49"/>
    </row>
    <row r="265" spans="1:13" s="425" customFormat="1" ht="18.75" customHeight="1">
      <c r="A265" s="423"/>
      <c r="B265" s="688"/>
      <c r="C265" s="111" t="s">
        <v>291</v>
      </c>
      <c r="D265" s="112"/>
      <c r="E265" s="434"/>
      <c r="F265" s="434">
        <f>198000+73900</f>
        <v>271900</v>
      </c>
      <c r="G265" s="434"/>
      <c r="I265" s="435"/>
      <c r="J265" s="435"/>
      <c r="K265" s="435"/>
      <c r="L265" s="435"/>
      <c r="M265" s="435"/>
    </row>
    <row r="266" spans="1:13" s="48" customFormat="1" ht="18.75" customHeight="1">
      <c r="A266" s="122"/>
      <c r="B266" s="115"/>
      <c r="C266" s="111" t="s">
        <v>305</v>
      </c>
      <c r="D266" s="112"/>
      <c r="E266" s="46"/>
      <c r="F266" s="434">
        <f>500000</f>
        <v>500000</v>
      </c>
      <c r="G266" s="46"/>
      <c r="I266" s="49"/>
      <c r="J266" s="49"/>
      <c r="K266" s="49"/>
      <c r="L266" s="49"/>
      <c r="M266" s="49"/>
    </row>
    <row r="267" spans="1:13" s="48" customFormat="1" ht="18.75" customHeight="1">
      <c r="A267" s="216" t="s">
        <v>235</v>
      </c>
      <c r="B267" s="106" t="s">
        <v>236</v>
      </c>
      <c r="C267" s="110" t="s">
        <v>237</v>
      </c>
      <c r="D267" s="107"/>
      <c r="E267" s="46"/>
      <c r="F267" s="46">
        <v>10000</v>
      </c>
      <c r="G267" s="46"/>
      <c r="I267" s="49"/>
      <c r="J267" s="49"/>
      <c r="K267" s="49"/>
      <c r="L267" s="49"/>
      <c r="M267" s="49"/>
    </row>
    <row r="268" spans="1:13" s="48" customFormat="1" ht="18.75" customHeight="1">
      <c r="A268" s="687" t="s">
        <v>284</v>
      </c>
      <c r="B268" s="109" t="s">
        <v>248</v>
      </c>
      <c r="C268" s="110"/>
      <c r="D268" s="123"/>
      <c r="E268" s="46"/>
      <c r="F268" s="129">
        <f>SUM(F269:F270)</f>
        <v>345000</v>
      </c>
      <c r="G268" s="46"/>
      <c r="I268" s="49"/>
      <c r="J268" s="49"/>
      <c r="K268" s="49"/>
      <c r="L268" s="49"/>
      <c r="M268" s="49"/>
    </row>
    <row r="269" spans="1:13" s="425" customFormat="1" ht="18.75" customHeight="1">
      <c r="A269" s="691"/>
      <c r="B269" s="423"/>
      <c r="C269" s="111" t="s">
        <v>249</v>
      </c>
      <c r="D269" s="126"/>
      <c r="E269" s="434"/>
      <c r="F269" s="684">
        <f>200000-40000</f>
        <v>160000</v>
      </c>
      <c r="G269" s="434"/>
      <c r="I269" s="435"/>
      <c r="J269" s="435"/>
      <c r="K269" s="435"/>
      <c r="L269" s="435"/>
      <c r="M269" s="435"/>
    </row>
    <row r="270" spans="1:13" s="425" customFormat="1" ht="18.75" customHeight="1">
      <c r="A270" s="439"/>
      <c r="B270" s="128"/>
      <c r="C270" s="111" t="s">
        <v>250</v>
      </c>
      <c r="D270" s="126"/>
      <c r="E270" s="434"/>
      <c r="F270" s="684">
        <v>185000</v>
      </c>
      <c r="G270" s="434"/>
      <c r="I270" s="435"/>
      <c r="J270" s="435"/>
      <c r="K270" s="435"/>
      <c r="L270" s="435"/>
      <c r="M270" s="435"/>
    </row>
    <row r="271" spans="1:13" s="48" customFormat="1" ht="18.75" customHeight="1">
      <c r="A271" s="772" t="s">
        <v>657</v>
      </c>
      <c r="B271" s="122"/>
      <c r="C271" s="110"/>
      <c r="D271" s="123">
        <f>D272+D273+D276+D280+D281</f>
        <v>2148.8</v>
      </c>
      <c r="E271" s="46"/>
      <c r="F271" s="123">
        <f>F272+F273+F276+F280+F281</f>
        <v>557534.52</v>
      </c>
      <c r="G271" s="46"/>
      <c r="I271" s="49"/>
      <c r="J271" s="49"/>
      <c r="K271" s="49"/>
      <c r="L271" s="49"/>
      <c r="M271" s="49"/>
    </row>
    <row r="272" spans="1:13" s="48" customFormat="1" ht="18.75" customHeight="1">
      <c r="A272" s="113"/>
      <c r="B272" s="217" t="s">
        <v>245</v>
      </c>
      <c r="C272" s="111" t="s">
        <v>305</v>
      </c>
      <c r="D272" s="434"/>
      <c r="E272" s="46"/>
      <c r="F272" s="434">
        <v>110000</v>
      </c>
      <c r="G272" s="46"/>
      <c r="I272" s="49"/>
      <c r="J272" s="49"/>
      <c r="K272" s="49"/>
      <c r="L272" s="49"/>
      <c r="M272" s="49"/>
    </row>
    <row r="273" spans="1:13" s="48" customFormat="1" ht="18.75" customHeight="1">
      <c r="A273" s="113"/>
      <c r="B273" s="423" t="s">
        <v>246</v>
      </c>
      <c r="C273" s="111"/>
      <c r="D273" s="684"/>
      <c r="E273" s="46"/>
      <c r="F273" s="434">
        <f>SUM(F274:F275)</f>
        <v>24000</v>
      </c>
      <c r="G273" s="46"/>
      <c r="I273" s="49"/>
      <c r="J273" s="49"/>
      <c r="K273" s="49"/>
      <c r="L273" s="49"/>
      <c r="M273" s="49"/>
    </row>
    <row r="274" spans="1:13" s="48" customFormat="1" ht="18.75" customHeight="1">
      <c r="A274" s="113"/>
      <c r="B274" s="423"/>
      <c r="C274" s="111" t="s">
        <v>289</v>
      </c>
      <c r="D274" s="684"/>
      <c r="E274" s="46"/>
      <c r="F274" s="434">
        <v>8000</v>
      </c>
      <c r="G274" s="46"/>
      <c r="I274" s="49"/>
      <c r="J274" s="49"/>
      <c r="K274" s="49"/>
      <c r="L274" s="49"/>
      <c r="M274" s="49"/>
    </row>
    <row r="275" spans="1:13" s="48" customFormat="1" ht="18.75" customHeight="1">
      <c r="A275" s="113"/>
      <c r="B275" s="128"/>
      <c r="C275" s="111" t="s">
        <v>247</v>
      </c>
      <c r="D275" s="684"/>
      <c r="E275" s="46"/>
      <c r="F275" s="434">
        <v>16000</v>
      </c>
      <c r="G275" s="46"/>
      <c r="I275" s="49"/>
      <c r="J275" s="49"/>
      <c r="K275" s="49"/>
      <c r="L275" s="49"/>
      <c r="M275" s="49"/>
    </row>
    <row r="276" spans="1:13" s="48" customFormat="1" ht="18.75" customHeight="1">
      <c r="A276" s="113"/>
      <c r="B276" s="128" t="s">
        <v>290</v>
      </c>
      <c r="C276" s="111"/>
      <c r="D276" s="126"/>
      <c r="E276" s="46"/>
      <c r="F276" s="434">
        <f>SUM(F277:F279)</f>
        <v>392228</v>
      </c>
      <c r="G276" s="46"/>
      <c r="I276" s="49"/>
      <c r="J276" s="49"/>
      <c r="K276" s="49"/>
      <c r="L276" s="49"/>
      <c r="M276" s="49"/>
    </row>
    <row r="277" spans="1:13" s="48" customFormat="1" ht="18.75" customHeight="1">
      <c r="A277" s="113"/>
      <c r="B277" s="114"/>
      <c r="C277" s="111" t="s">
        <v>289</v>
      </c>
      <c r="D277" s="126"/>
      <c r="E277" s="434"/>
      <c r="F277" s="434">
        <f>6228+136000</f>
        <v>142228</v>
      </c>
      <c r="G277" s="434"/>
      <c r="I277" s="49"/>
      <c r="J277" s="49"/>
      <c r="K277" s="49"/>
      <c r="L277" s="49"/>
      <c r="M277" s="49"/>
    </row>
    <row r="278" spans="1:13" s="48" customFormat="1" ht="18.75" customHeight="1">
      <c r="A278" s="113"/>
      <c r="B278" s="114"/>
      <c r="C278" s="111" t="s">
        <v>291</v>
      </c>
      <c r="D278" s="126"/>
      <c r="E278" s="434"/>
      <c r="F278" s="434">
        <f>10000+40000</f>
        <v>50000</v>
      </c>
      <c r="G278" s="434"/>
      <c r="I278" s="49"/>
      <c r="J278" s="49"/>
      <c r="K278" s="49"/>
      <c r="L278" s="49"/>
      <c r="M278" s="49"/>
    </row>
    <row r="279" spans="1:13" s="48" customFormat="1" ht="18.75" customHeight="1">
      <c r="A279" s="113"/>
      <c r="B279" s="114"/>
      <c r="C279" s="111" t="s">
        <v>305</v>
      </c>
      <c r="D279" s="126"/>
      <c r="E279" s="434"/>
      <c r="F279" s="434">
        <v>200000</v>
      </c>
      <c r="G279" s="434"/>
      <c r="I279" s="49"/>
      <c r="J279" s="49"/>
      <c r="K279" s="49"/>
      <c r="L279" s="49"/>
      <c r="M279" s="49"/>
    </row>
    <row r="280" spans="1:13" s="48" customFormat="1" ht="18.75" customHeight="1">
      <c r="A280" s="113"/>
      <c r="B280" s="217" t="s">
        <v>234</v>
      </c>
      <c r="C280" s="111" t="s">
        <v>294</v>
      </c>
      <c r="D280" s="126"/>
      <c r="E280" s="434"/>
      <c r="F280" s="434">
        <v>31000</v>
      </c>
      <c r="G280" s="434"/>
      <c r="I280" s="49"/>
      <c r="J280" s="49"/>
      <c r="K280" s="49"/>
      <c r="L280" s="49"/>
      <c r="M280" s="49"/>
    </row>
    <row r="281" spans="1:13" s="48" customFormat="1" ht="18.75" customHeight="1">
      <c r="A281" s="113"/>
      <c r="B281" s="423" t="s">
        <v>213</v>
      </c>
      <c r="C281" s="111"/>
      <c r="D281" s="126">
        <f>SUM(D282:D283)</f>
        <v>2148.8</v>
      </c>
      <c r="E281" s="434"/>
      <c r="F281" s="126">
        <f>SUM(F282:F283)</f>
        <v>306.52</v>
      </c>
      <c r="G281" s="434"/>
      <c r="I281" s="49"/>
      <c r="J281" s="49"/>
      <c r="K281" s="49"/>
      <c r="L281" s="49"/>
      <c r="M281" s="49"/>
    </row>
    <row r="282" spans="1:13" s="48" customFormat="1" ht="18.75" customHeight="1">
      <c r="A282" s="113"/>
      <c r="B282" s="423"/>
      <c r="C282" s="111" t="s">
        <v>220</v>
      </c>
      <c r="D282" s="126">
        <v>2148.8</v>
      </c>
      <c r="E282" s="434"/>
      <c r="F282" s="126"/>
      <c r="G282" s="434"/>
      <c r="I282" s="49"/>
      <c r="J282" s="49"/>
      <c r="K282" s="49"/>
      <c r="L282" s="49"/>
      <c r="M282" s="49"/>
    </row>
    <row r="283" spans="1:13" s="48" customFormat="1" ht="18.75" customHeight="1">
      <c r="A283" s="113"/>
      <c r="B283" s="114"/>
      <c r="C283" s="111" t="s">
        <v>221</v>
      </c>
      <c r="D283" s="126"/>
      <c r="E283" s="434"/>
      <c r="F283" s="434">
        <v>306.52</v>
      </c>
      <c r="G283" s="434"/>
      <c r="I283" s="49"/>
      <c r="J283" s="49"/>
      <c r="K283" s="49"/>
      <c r="L283" s="49"/>
      <c r="M283" s="49"/>
    </row>
    <row r="284" spans="1:13" s="48" customFormat="1" ht="18.75" customHeight="1">
      <c r="A284" s="431">
        <v>853</v>
      </c>
      <c r="B284" s="30">
        <v>85395</v>
      </c>
      <c r="C284" s="30"/>
      <c r="D284" s="46">
        <f>SUM(D285:D300)</f>
        <v>11495.970000000001</v>
      </c>
      <c r="E284" s="46"/>
      <c r="F284" s="46">
        <f>SUM(F285:F300)</f>
        <v>42065.119999999995</v>
      </c>
      <c r="G284" s="46"/>
      <c r="I284" s="49"/>
      <c r="J284" s="49"/>
      <c r="K284" s="49"/>
      <c r="L284" s="49"/>
      <c r="M284" s="49"/>
    </row>
    <row r="285" spans="1:13" s="425" customFormat="1" ht="18.75" customHeight="1">
      <c r="A285" s="432"/>
      <c r="B285" s="440"/>
      <c r="C285" s="433">
        <v>4017</v>
      </c>
      <c r="D285" s="434"/>
      <c r="E285" s="434"/>
      <c r="F285" s="434">
        <v>250.75</v>
      </c>
      <c r="G285" s="434"/>
      <c r="I285" s="435"/>
      <c r="J285" s="435"/>
      <c r="K285" s="435"/>
      <c r="L285" s="435"/>
      <c r="M285" s="435"/>
    </row>
    <row r="286" spans="1:13" s="425" customFormat="1" ht="18.75" customHeight="1">
      <c r="A286" s="436"/>
      <c r="B286" s="440"/>
      <c r="C286" s="433">
        <v>4019</v>
      </c>
      <c r="D286" s="434">
        <v>250.75</v>
      </c>
      <c r="E286" s="434"/>
      <c r="F286" s="434"/>
      <c r="G286" s="434"/>
      <c r="I286" s="435"/>
      <c r="J286" s="435"/>
      <c r="K286" s="435"/>
      <c r="L286" s="435"/>
      <c r="M286" s="435"/>
    </row>
    <row r="287" spans="1:13" s="425" customFormat="1" ht="18.75" customHeight="1">
      <c r="A287" s="436"/>
      <c r="B287" s="440"/>
      <c r="C287" s="433">
        <v>4117</v>
      </c>
      <c r="D287" s="434"/>
      <c r="E287" s="434"/>
      <c r="F287" s="434">
        <f>342.72+0.02</f>
        <v>342.74</v>
      </c>
      <c r="G287" s="434"/>
      <c r="I287" s="435"/>
      <c r="J287" s="435"/>
      <c r="K287" s="435"/>
      <c r="L287" s="435"/>
      <c r="M287" s="435"/>
    </row>
    <row r="288" spans="1:13" s="425" customFormat="1" ht="18.75" customHeight="1">
      <c r="A288" s="436"/>
      <c r="B288" s="440"/>
      <c r="C288" s="433">
        <v>4119</v>
      </c>
      <c r="D288" s="434">
        <v>342.72</v>
      </c>
      <c r="E288" s="434"/>
      <c r="F288" s="434"/>
      <c r="G288" s="434"/>
      <c r="I288" s="435"/>
      <c r="J288" s="435"/>
      <c r="K288" s="435"/>
      <c r="L288" s="435"/>
      <c r="M288" s="435"/>
    </row>
    <row r="289" spans="1:13" s="425" customFormat="1" ht="18.75" customHeight="1">
      <c r="A289" s="436"/>
      <c r="B289" s="440"/>
      <c r="C289" s="433">
        <v>4127</v>
      </c>
      <c r="D289" s="434"/>
      <c r="E289" s="434"/>
      <c r="F289" s="434">
        <v>48.84</v>
      </c>
      <c r="G289" s="434"/>
      <c r="I289" s="435"/>
      <c r="J289" s="435"/>
      <c r="K289" s="435"/>
      <c r="L289" s="435"/>
      <c r="M289" s="435"/>
    </row>
    <row r="290" spans="1:13" s="425" customFormat="1" ht="18.75" customHeight="1">
      <c r="A290" s="436"/>
      <c r="B290" s="440"/>
      <c r="C290" s="433">
        <v>4129</v>
      </c>
      <c r="D290" s="434">
        <v>48.84</v>
      </c>
      <c r="E290" s="434"/>
      <c r="F290" s="434"/>
      <c r="G290" s="434"/>
      <c r="I290" s="435"/>
      <c r="J290" s="435"/>
      <c r="K290" s="435"/>
      <c r="L290" s="435"/>
      <c r="M290" s="435"/>
    </row>
    <row r="291" spans="1:13" s="425" customFormat="1" ht="18.75" customHeight="1">
      <c r="A291" s="436"/>
      <c r="B291" s="440"/>
      <c r="C291" s="433">
        <v>4177</v>
      </c>
      <c r="D291" s="434"/>
      <c r="E291" s="434"/>
      <c r="F291" s="434">
        <f>2432.73+6079.98</f>
        <v>8512.71</v>
      </c>
      <c r="G291" s="434"/>
      <c r="I291" s="435"/>
      <c r="J291" s="435"/>
      <c r="K291" s="435"/>
      <c r="L291" s="435"/>
      <c r="M291" s="435"/>
    </row>
    <row r="292" spans="1:13" s="425" customFormat="1" ht="18.75" customHeight="1">
      <c r="A292" s="436"/>
      <c r="B292" s="440"/>
      <c r="C292" s="433">
        <v>4179</v>
      </c>
      <c r="D292" s="434">
        <v>2432.73</v>
      </c>
      <c r="E292" s="434"/>
      <c r="F292" s="434"/>
      <c r="G292" s="434"/>
      <c r="I292" s="435"/>
      <c r="J292" s="435"/>
      <c r="K292" s="435"/>
      <c r="L292" s="435"/>
      <c r="M292" s="435"/>
    </row>
    <row r="293" spans="1:13" s="425" customFormat="1" ht="18.75" customHeight="1">
      <c r="A293" s="436"/>
      <c r="B293" s="440"/>
      <c r="C293" s="433">
        <v>4217</v>
      </c>
      <c r="D293" s="434"/>
      <c r="E293" s="434"/>
      <c r="F293" s="434">
        <f>105.55+1.62</f>
        <v>107.17</v>
      </c>
      <c r="G293" s="434"/>
      <c r="I293" s="435"/>
      <c r="J293" s="435"/>
      <c r="K293" s="435"/>
      <c r="L293" s="435"/>
      <c r="M293" s="435"/>
    </row>
    <row r="294" spans="1:13" s="425" customFormat="1" ht="18.75" customHeight="1">
      <c r="A294" s="436"/>
      <c r="B294" s="440"/>
      <c r="C294" s="433">
        <v>4219</v>
      </c>
      <c r="D294" s="434">
        <v>100</v>
      </c>
      <c r="E294" s="434"/>
      <c r="F294" s="434"/>
      <c r="G294" s="434"/>
      <c r="I294" s="435"/>
      <c r="J294" s="435"/>
      <c r="K294" s="435"/>
      <c r="L294" s="435"/>
      <c r="M294" s="435"/>
    </row>
    <row r="295" spans="1:13" s="425" customFormat="1" ht="18.75" customHeight="1">
      <c r="A295" s="436"/>
      <c r="B295" s="440"/>
      <c r="C295" s="433">
        <v>4247</v>
      </c>
      <c r="D295" s="434"/>
      <c r="E295" s="434"/>
      <c r="F295" s="434">
        <f>22.17+64.8</f>
        <v>86.97</v>
      </c>
      <c r="G295" s="434"/>
      <c r="I295" s="435"/>
      <c r="J295" s="435"/>
      <c r="K295" s="435"/>
      <c r="L295" s="435"/>
      <c r="M295" s="435"/>
    </row>
    <row r="296" spans="1:13" s="425" customFormat="1" ht="18.75" customHeight="1">
      <c r="A296" s="436"/>
      <c r="B296" s="440"/>
      <c r="C296" s="433">
        <v>4249</v>
      </c>
      <c r="D296" s="434">
        <v>20.18</v>
      </c>
      <c r="E296" s="434"/>
      <c r="F296" s="434"/>
      <c r="G296" s="434"/>
      <c r="I296" s="435"/>
      <c r="J296" s="435"/>
      <c r="K296" s="435"/>
      <c r="L296" s="435"/>
      <c r="M296" s="435"/>
    </row>
    <row r="297" spans="1:13" s="425" customFormat="1" ht="18.75" customHeight="1">
      <c r="A297" s="436"/>
      <c r="B297" s="440"/>
      <c r="C297" s="433">
        <v>4307</v>
      </c>
      <c r="D297" s="434">
        <v>1389.69</v>
      </c>
      <c r="E297" s="434"/>
      <c r="F297" s="434">
        <f>600+30295.19</f>
        <v>30895.19</v>
      </c>
      <c r="G297" s="434"/>
      <c r="I297" s="435"/>
      <c r="J297" s="435"/>
      <c r="K297" s="435"/>
      <c r="L297" s="435"/>
      <c r="M297" s="435"/>
    </row>
    <row r="298" spans="1:13" s="425" customFormat="1" ht="18.75" customHeight="1">
      <c r="A298" s="436"/>
      <c r="B298" s="440"/>
      <c r="C298" s="433">
        <v>4309</v>
      </c>
      <c r="D298" s="434">
        <v>5810.31</v>
      </c>
      <c r="E298" s="434"/>
      <c r="F298" s="434"/>
      <c r="G298" s="434"/>
      <c r="I298" s="435"/>
      <c r="J298" s="435"/>
      <c r="K298" s="435"/>
      <c r="L298" s="435"/>
      <c r="M298" s="435"/>
    </row>
    <row r="299" spans="1:13" s="425" customFormat="1" ht="18.75" customHeight="1">
      <c r="A299" s="436"/>
      <c r="B299" s="440"/>
      <c r="C299" s="433">
        <v>4707</v>
      </c>
      <c r="D299" s="434"/>
      <c r="E299" s="434"/>
      <c r="F299" s="434">
        <f>1100.75+720</f>
        <v>1820.75</v>
      </c>
      <c r="G299" s="434"/>
      <c r="I299" s="435"/>
      <c r="J299" s="435"/>
      <c r="K299" s="435"/>
      <c r="L299" s="435"/>
      <c r="M299" s="435"/>
    </row>
    <row r="300" spans="1:13" s="425" customFormat="1" ht="18.75" customHeight="1">
      <c r="A300" s="436"/>
      <c r="B300" s="440"/>
      <c r="C300" s="433">
        <v>4709</v>
      </c>
      <c r="D300" s="434">
        <v>1100.75</v>
      </c>
      <c r="E300" s="434"/>
      <c r="F300" s="434"/>
      <c r="G300" s="434"/>
      <c r="I300" s="435"/>
      <c r="J300" s="435"/>
      <c r="K300" s="435"/>
      <c r="L300" s="435"/>
      <c r="M300" s="435"/>
    </row>
    <row r="301" spans="1:23" s="3" customFormat="1" ht="21.75" customHeight="1">
      <c r="A301" s="164" t="s">
        <v>358</v>
      </c>
      <c r="B301" s="165"/>
      <c r="C301" s="111"/>
      <c r="D301" s="47">
        <f>D264+D267+D268+D271+D284</f>
        <v>13644.77</v>
      </c>
      <c r="E301" s="47">
        <f>E264+E267+E268+E271+E284</f>
        <v>0</v>
      </c>
      <c r="F301" s="47">
        <f>F264+F267+F268+F271+F284</f>
        <v>1726499.6400000001</v>
      </c>
      <c r="G301" s="47">
        <f>G264+G267+G268+G271+G284</f>
        <v>0</v>
      </c>
      <c r="H301" s="20"/>
      <c r="I301" s="167"/>
      <c r="J301" s="45"/>
      <c r="K301" s="45"/>
      <c r="L301" s="41"/>
      <c r="M301" s="41"/>
      <c r="N301" s="25"/>
      <c r="O301" s="25"/>
      <c r="P301" s="25"/>
      <c r="Q301" s="25"/>
      <c r="R301" s="25"/>
      <c r="S301" s="25"/>
      <c r="T301" s="25"/>
      <c r="U301" s="25"/>
      <c r="V301" s="25"/>
      <c r="W301" s="25"/>
    </row>
    <row r="302" spans="1:23" s="3" customFormat="1" ht="21.75" customHeight="1">
      <c r="A302" s="168"/>
      <c r="B302" s="169"/>
      <c r="C302" s="169"/>
      <c r="D302" s="27"/>
      <c r="E302" s="27"/>
      <c r="F302" s="27"/>
      <c r="G302" s="27"/>
      <c r="H302" s="20"/>
      <c r="I302" s="167"/>
      <c r="J302" s="45"/>
      <c r="K302" s="45"/>
      <c r="L302" s="41"/>
      <c r="M302" s="41"/>
      <c r="N302" s="25"/>
      <c r="O302" s="25"/>
      <c r="P302" s="25"/>
      <c r="Q302" s="25"/>
      <c r="R302" s="25"/>
      <c r="S302" s="25"/>
      <c r="T302" s="25"/>
      <c r="U302" s="25"/>
      <c r="V302" s="25"/>
      <c r="W302" s="25"/>
    </row>
    <row r="303" spans="1:23" s="3" customFormat="1" ht="21.75" customHeight="1">
      <c r="A303" s="168"/>
      <c r="B303" s="169"/>
      <c r="C303" s="169"/>
      <c r="D303" s="27"/>
      <c r="E303" s="27"/>
      <c r="F303" s="27"/>
      <c r="G303" s="27"/>
      <c r="H303" s="20"/>
      <c r="I303" s="167"/>
      <c r="J303" s="45"/>
      <c r="K303" s="45"/>
      <c r="L303" s="41"/>
      <c r="M303" s="41"/>
      <c r="N303" s="25"/>
      <c r="O303" s="25"/>
      <c r="P303" s="25"/>
      <c r="Q303" s="25"/>
      <c r="R303" s="25"/>
      <c r="S303" s="25"/>
      <c r="T303" s="25"/>
      <c r="U303" s="25"/>
      <c r="V303" s="25"/>
      <c r="W303" s="25"/>
    </row>
    <row r="304" spans="1:23" s="3" customFormat="1" ht="21.75" customHeight="1">
      <c r="A304" s="15" t="s">
        <v>569</v>
      </c>
      <c r="B304" s="169"/>
      <c r="C304" s="169"/>
      <c r="D304" s="27"/>
      <c r="E304" s="27"/>
      <c r="F304" s="27"/>
      <c r="G304" s="27"/>
      <c r="H304" s="20"/>
      <c r="I304" s="167"/>
      <c r="J304" s="45"/>
      <c r="K304" s="45"/>
      <c r="L304" s="41"/>
      <c r="M304" s="41"/>
      <c r="N304" s="25"/>
      <c r="O304" s="25"/>
      <c r="P304" s="25"/>
      <c r="Q304" s="25"/>
      <c r="R304" s="25"/>
      <c r="S304" s="25"/>
      <c r="T304" s="25"/>
      <c r="U304" s="25"/>
      <c r="V304" s="25"/>
      <c r="W304" s="25"/>
    </row>
    <row r="305" spans="1:23" s="3" customFormat="1" ht="21.75" customHeight="1">
      <c r="A305" s="168"/>
      <c r="B305" s="169"/>
      <c r="C305" s="169"/>
      <c r="D305" s="27"/>
      <c r="E305" s="27"/>
      <c r="F305" s="27"/>
      <c r="G305" s="27"/>
      <c r="H305" s="20"/>
      <c r="I305" s="167"/>
      <c r="J305" s="45"/>
      <c r="K305" s="45"/>
      <c r="L305" s="41"/>
      <c r="M305" s="41"/>
      <c r="N305" s="25"/>
      <c r="O305" s="25"/>
      <c r="P305" s="25"/>
      <c r="Q305" s="25"/>
      <c r="R305" s="25"/>
      <c r="S305" s="25"/>
      <c r="T305" s="25"/>
      <c r="U305" s="25"/>
      <c r="V305" s="25"/>
      <c r="W305" s="25"/>
    </row>
    <row r="306" spans="1:23" s="3" customFormat="1" ht="21.75" customHeight="1">
      <c r="A306" s="694" t="s">
        <v>319</v>
      </c>
      <c r="B306" s="169"/>
      <c r="C306" s="169"/>
      <c r="D306" s="27"/>
      <c r="E306" s="27"/>
      <c r="F306" s="27"/>
      <c r="G306" s="27"/>
      <c r="H306" s="20"/>
      <c r="I306" s="167"/>
      <c r="J306" s="45"/>
      <c r="K306" s="45"/>
      <c r="L306" s="41"/>
      <c r="M306" s="41"/>
      <c r="N306" s="25"/>
      <c r="O306" s="25"/>
      <c r="P306" s="25"/>
      <c r="Q306" s="25"/>
      <c r="R306" s="25"/>
      <c r="S306" s="25"/>
      <c r="T306" s="25"/>
      <c r="U306" s="25"/>
      <c r="V306" s="25"/>
      <c r="W306" s="25"/>
    </row>
    <row r="307" spans="1:23" s="3" customFormat="1" ht="21.75" customHeight="1">
      <c r="A307" s="695" t="s">
        <v>320</v>
      </c>
      <c r="B307" s="169"/>
      <c r="C307" s="169"/>
      <c r="D307" s="27"/>
      <c r="E307" s="27"/>
      <c r="F307" s="27"/>
      <c r="G307" s="27"/>
      <c r="H307" s="20"/>
      <c r="I307" s="167"/>
      <c r="J307" s="45"/>
      <c r="K307" s="45"/>
      <c r="L307" s="41"/>
      <c r="M307" s="41"/>
      <c r="N307" s="25"/>
      <c r="O307" s="25"/>
      <c r="P307" s="25"/>
      <c r="Q307" s="25"/>
      <c r="R307" s="25"/>
      <c r="S307" s="25"/>
      <c r="T307" s="25"/>
      <c r="U307" s="25"/>
      <c r="V307" s="25"/>
      <c r="W307" s="25"/>
    </row>
    <row r="308" spans="1:23" s="3" customFormat="1" ht="21.75" customHeight="1">
      <c r="A308" s="695" t="s">
        <v>321</v>
      </c>
      <c r="B308" s="169"/>
      <c r="C308" s="169"/>
      <c r="D308" s="27"/>
      <c r="E308" s="51">
        <f>2483120+300000+700000+182000</f>
        <v>3665120</v>
      </c>
      <c r="F308" s="51" t="s">
        <v>322</v>
      </c>
      <c r="G308" s="51"/>
      <c r="H308" s="696"/>
      <c r="I308" s="167"/>
      <c r="J308" s="45"/>
      <c r="K308" s="45"/>
      <c r="L308" s="41"/>
      <c r="M308" s="41"/>
      <c r="N308" s="25"/>
      <c r="O308" s="25"/>
      <c r="P308" s="25"/>
      <c r="Q308" s="25"/>
      <c r="R308" s="25"/>
      <c r="S308" s="25"/>
      <c r="T308" s="25"/>
      <c r="U308" s="25"/>
      <c r="V308" s="25"/>
      <c r="W308" s="25"/>
    </row>
    <row r="309" spans="1:23" s="3" customFormat="1" ht="21.75" customHeight="1">
      <c r="A309" s="695" t="s">
        <v>323</v>
      </c>
      <c r="B309" s="169"/>
      <c r="C309" s="169"/>
      <c r="D309" s="27"/>
      <c r="E309" s="51">
        <v>5634880</v>
      </c>
      <c r="F309" s="51" t="s">
        <v>324</v>
      </c>
      <c r="G309" s="51"/>
      <c r="H309" s="696"/>
      <c r="I309" s="167"/>
      <c r="J309" s="45"/>
      <c r="K309" s="45"/>
      <c r="L309" s="41"/>
      <c r="M309" s="41"/>
      <c r="N309" s="25"/>
      <c r="O309" s="25"/>
      <c r="P309" s="25"/>
      <c r="Q309" s="25"/>
      <c r="R309" s="25"/>
      <c r="S309" s="25"/>
      <c r="T309" s="25"/>
      <c r="U309" s="25"/>
      <c r="V309" s="25"/>
      <c r="W309" s="25"/>
    </row>
    <row r="310" spans="1:23" s="3" customFormat="1" ht="21.75" customHeight="1">
      <c r="A310" s="168"/>
      <c r="B310" s="169"/>
      <c r="C310" s="169"/>
      <c r="D310" s="27"/>
      <c r="E310" s="27"/>
      <c r="F310" s="27"/>
      <c r="G310" s="27"/>
      <c r="H310" s="20"/>
      <c r="I310" s="167"/>
      <c r="J310" s="45"/>
      <c r="K310" s="45"/>
      <c r="L310" s="41"/>
      <c r="M310" s="41"/>
      <c r="N310" s="25"/>
      <c r="O310" s="25"/>
      <c r="P310" s="25"/>
      <c r="Q310" s="25"/>
      <c r="R310" s="25"/>
      <c r="S310" s="25"/>
      <c r="T310" s="25"/>
      <c r="U310" s="25"/>
      <c r="V310" s="25"/>
      <c r="W310" s="25"/>
    </row>
    <row r="311" spans="1:23" s="3" customFormat="1" ht="21.75" customHeight="1">
      <c r="A311" s="168"/>
      <c r="B311" s="169"/>
      <c r="C311" s="169"/>
      <c r="D311" s="27"/>
      <c r="E311" s="27"/>
      <c r="F311" s="27"/>
      <c r="G311" s="27"/>
      <c r="H311" s="20"/>
      <c r="I311" s="167"/>
      <c r="J311" s="45"/>
      <c r="K311" s="45"/>
      <c r="L311" s="41"/>
      <c r="M311" s="41"/>
      <c r="N311" s="25"/>
      <c r="O311" s="25"/>
      <c r="P311" s="25"/>
      <c r="Q311" s="25"/>
      <c r="R311" s="25"/>
      <c r="S311" s="25"/>
      <c r="T311" s="25"/>
      <c r="U311" s="25"/>
      <c r="V311" s="25"/>
      <c r="W311" s="25"/>
    </row>
    <row r="312" spans="1:23" s="3" customFormat="1" ht="21.75" customHeight="1">
      <c r="A312" s="71" t="s">
        <v>668</v>
      </c>
      <c r="B312" s="169"/>
      <c r="C312" s="132"/>
      <c r="D312" s="16"/>
      <c r="E312" s="16"/>
      <c r="F312" s="27"/>
      <c r="G312" s="27"/>
      <c r="H312" s="20"/>
      <c r="I312" s="167"/>
      <c r="J312" s="41"/>
      <c r="K312" s="45"/>
      <c r="L312" s="41"/>
      <c r="M312" s="41"/>
      <c r="N312" s="25"/>
      <c r="O312" s="25"/>
      <c r="P312" s="25"/>
      <c r="Q312" s="25"/>
      <c r="R312" s="25"/>
      <c r="S312" s="25"/>
      <c r="T312" s="25"/>
      <c r="U312" s="25"/>
      <c r="V312" s="25"/>
      <c r="W312" s="25"/>
    </row>
    <row r="313" spans="1:23" s="3" customFormat="1" ht="21.75" customHeight="1">
      <c r="A313" s="71"/>
      <c r="B313" s="169"/>
      <c r="C313" s="132"/>
      <c r="D313" s="16"/>
      <c r="E313" s="16"/>
      <c r="F313" s="27"/>
      <c r="G313" s="27"/>
      <c r="H313" s="20"/>
      <c r="I313" s="167"/>
      <c r="J313" s="41"/>
      <c r="K313" s="45"/>
      <c r="L313" s="41"/>
      <c r="M313" s="41"/>
      <c r="N313" s="25"/>
      <c r="O313" s="25"/>
      <c r="P313" s="25"/>
      <c r="Q313" s="25"/>
      <c r="R313" s="25"/>
      <c r="S313" s="25"/>
      <c r="T313" s="25"/>
      <c r="U313" s="25"/>
      <c r="V313" s="25"/>
      <c r="W313" s="25"/>
    </row>
    <row r="314" spans="1:23" s="3" customFormat="1" ht="18.75" customHeight="1">
      <c r="A314" s="181" t="s">
        <v>385</v>
      </c>
      <c r="B314" s="131"/>
      <c r="C314" s="132"/>
      <c r="D314" s="16"/>
      <c r="E314" s="16"/>
      <c r="F314" s="27"/>
      <c r="G314" s="27"/>
      <c r="H314" s="20"/>
      <c r="I314" s="167"/>
      <c r="J314" s="41"/>
      <c r="K314" s="45"/>
      <c r="L314" s="41"/>
      <c r="M314" s="41"/>
      <c r="N314" s="25"/>
      <c r="O314" s="25"/>
      <c r="P314" s="25"/>
      <c r="Q314" s="25"/>
      <c r="R314" s="25"/>
      <c r="S314" s="25"/>
      <c r="T314" s="25"/>
      <c r="U314" s="25"/>
      <c r="V314" s="25"/>
      <c r="W314" s="25"/>
    </row>
    <row r="315" spans="1:23" s="3" customFormat="1" ht="21" customHeight="1">
      <c r="A315" s="182" t="s">
        <v>669</v>
      </c>
      <c r="B315" s="131"/>
      <c r="C315" s="183"/>
      <c r="D315" s="22"/>
      <c r="E315" s="16"/>
      <c r="F315" s="27"/>
      <c r="G315" s="27"/>
      <c r="H315" s="20"/>
      <c r="I315" s="167"/>
      <c r="J315" s="41"/>
      <c r="K315" s="45"/>
      <c r="L315" s="41"/>
      <c r="M315" s="41"/>
      <c r="N315" s="25"/>
      <c r="O315" s="25"/>
      <c r="P315" s="25"/>
      <c r="Q315" s="25"/>
      <c r="R315" s="25"/>
      <c r="S315" s="25"/>
      <c r="T315" s="25"/>
      <c r="U315" s="25"/>
      <c r="V315" s="25"/>
      <c r="W315" s="25"/>
    </row>
    <row r="316" spans="1:23" s="3" customFormat="1" ht="21" customHeight="1">
      <c r="A316" s="181"/>
      <c r="B316" s="131"/>
      <c r="C316" s="183"/>
      <c r="D316" s="22"/>
      <c r="E316" s="16"/>
      <c r="F316" s="27"/>
      <c r="G316" s="27"/>
      <c r="H316" s="20"/>
      <c r="I316" s="167"/>
      <c r="J316" s="41"/>
      <c r="K316" s="45"/>
      <c r="L316" s="41"/>
      <c r="M316" s="41"/>
      <c r="N316" s="25"/>
      <c r="O316" s="25"/>
      <c r="P316" s="25"/>
      <c r="Q316" s="25"/>
      <c r="R316" s="25"/>
      <c r="S316" s="25"/>
      <c r="T316" s="25"/>
      <c r="U316" s="25"/>
      <c r="V316" s="25"/>
      <c r="W316" s="25"/>
    </row>
    <row r="317" spans="1:23" s="3" customFormat="1" ht="21.75" customHeight="1">
      <c r="A317" s="184" t="s">
        <v>386</v>
      </c>
      <c r="B317" s="185"/>
      <c r="C317" s="169"/>
      <c r="D317" s="51"/>
      <c r="E317" s="51"/>
      <c r="F317" s="51"/>
      <c r="G317" s="51"/>
      <c r="H317" s="52"/>
      <c r="I317" s="167"/>
      <c r="J317" s="53"/>
      <c r="K317" s="45"/>
      <c r="L317" s="53"/>
      <c r="M317" s="53"/>
      <c r="N317" s="52"/>
      <c r="O317" s="52"/>
      <c r="P317" s="52"/>
      <c r="Q317" s="52"/>
      <c r="R317" s="52"/>
      <c r="S317" s="52"/>
      <c r="T317" s="52"/>
      <c r="U317" s="52"/>
      <c r="V317" s="52"/>
      <c r="W317" s="52"/>
    </row>
    <row r="318" spans="1:23" s="3" customFormat="1" ht="15" customHeight="1">
      <c r="A318" s="186"/>
      <c r="B318" s="185"/>
      <c r="C318" s="187"/>
      <c r="D318" s="51"/>
      <c r="E318" s="51"/>
      <c r="F318" s="51"/>
      <c r="G318" s="51"/>
      <c r="H318" s="25"/>
      <c r="I318" s="167"/>
      <c r="J318" s="53"/>
      <c r="K318" s="45"/>
      <c r="L318" s="53"/>
      <c r="M318" s="53"/>
      <c r="N318" s="52"/>
      <c r="O318" s="52"/>
      <c r="P318" s="52"/>
      <c r="Q318" s="52"/>
      <c r="R318" s="52"/>
      <c r="S318" s="52"/>
      <c r="T318" s="52"/>
      <c r="U318" s="52"/>
      <c r="V318" s="52"/>
      <c r="W318" s="52"/>
    </row>
    <row r="319" spans="1:23" s="3" customFormat="1" ht="15" customHeight="1">
      <c r="A319" s="71"/>
      <c r="B319" s="169"/>
      <c r="C319" s="169"/>
      <c r="D319" s="51"/>
      <c r="E319" s="51"/>
      <c r="F319" s="51"/>
      <c r="G319" s="51"/>
      <c r="H319" s="52"/>
      <c r="I319" s="167"/>
      <c r="J319" s="53"/>
      <c r="K319" s="45"/>
      <c r="L319" s="53"/>
      <c r="M319" s="53"/>
      <c r="N319" s="52"/>
      <c r="O319" s="52"/>
      <c r="P319" s="52"/>
      <c r="Q319" s="52"/>
      <c r="R319" s="52"/>
      <c r="S319" s="52"/>
      <c r="T319" s="52"/>
      <c r="U319" s="52"/>
      <c r="V319" s="52"/>
      <c r="W319" s="52"/>
    </row>
    <row r="320" spans="1:23" s="3" customFormat="1" ht="17.25" customHeight="1">
      <c r="A320" s="186" t="s">
        <v>362</v>
      </c>
      <c r="B320" s="185"/>
      <c r="C320" s="187"/>
      <c r="D320" s="51"/>
      <c r="E320" s="51"/>
      <c r="F320" s="51"/>
      <c r="G320" s="51"/>
      <c r="H320" s="54">
        <f>H322+H347+H358+H362+H384+H389+H412</f>
        <v>8183358.03</v>
      </c>
      <c r="I320" s="167"/>
      <c r="J320" s="53"/>
      <c r="K320" s="45"/>
      <c r="L320" s="53"/>
      <c r="M320" s="53"/>
      <c r="N320" s="52"/>
      <c r="O320" s="52"/>
      <c r="P320" s="52"/>
      <c r="Q320" s="52"/>
      <c r="R320" s="52"/>
      <c r="S320" s="52"/>
      <c r="T320" s="52"/>
      <c r="U320" s="52"/>
      <c r="V320" s="52"/>
      <c r="W320" s="52"/>
    </row>
    <row r="321" spans="1:23" s="3" customFormat="1" ht="16.5" customHeight="1">
      <c r="A321" s="71" t="s">
        <v>351</v>
      </c>
      <c r="B321" s="188"/>
      <c r="C321" s="189"/>
      <c r="D321" s="22"/>
      <c r="E321" s="16"/>
      <c r="F321" s="27"/>
      <c r="G321" s="27"/>
      <c r="H321" s="52"/>
      <c r="I321" s="167"/>
      <c r="J321" s="41"/>
      <c r="K321" s="45"/>
      <c r="L321" s="41"/>
      <c r="M321" s="41"/>
      <c r="N321" s="25"/>
      <c r="O321" s="25"/>
      <c r="P321" s="25"/>
      <c r="Q321" s="25"/>
      <c r="R321" s="25"/>
      <c r="S321" s="25"/>
      <c r="T321" s="25"/>
      <c r="U321" s="25"/>
      <c r="V321" s="25"/>
      <c r="W321" s="25"/>
    </row>
    <row r="322" spans="1:23" s="3" customFormat="1" ht="16.5" customHeight="1">
      <c r="A322" s="138" t="s">
        <v>667</v>
      </c>
      <c r="B322" s="169"/>
      <c r="C322" s="169"/>
      <c r="D322" s="51"/>
      <c r="E322" s="51"/>
      <c r="F322" s="27"/>
      <c r="G322" s="27"/>
      <c r="H322" s="25">
        <f>H324+H326+H329+H331+H333+H335+H337+H339+H342+H345</f>
        <v>5218032.03</v>
      </c>
      <c r="I322" s="167"/>
      <c r="J322" s="41"/>
      <c r="K322" s="45"/>
      <c r="L322" s="41"/>
      <c r="M322" s="41"/>
      <c r="N322" s="25"/>
      <c r="O322" s="25"/>
      <c r="P322" s="25"/>
      <c r="Q322" s="25"/>
      <c r="R322" s="25"/>
      <c r="S322" s="25"/>
      <c r="T322" s="25"/>
      <c r="U322" s="25"/>
      <c r="V322" s="25"/>
      <c r="W322" s="25"/>
    </row>
    <row r="323" spans="1:23" s="3" customFormat="1" ht="16.5" customHeight="1">
      <c r="A323" s="71" t="s">
        <v>351</v>
      </c>
      <c r="B323" s="188"/>
      <c r="C323" s="189"/>
      <c r="D323" s="22"/>
      <c r="E323" s="16"/>
      <c r="F323" s="27"/>
      <c r="G323" s="27"/>
      <c r="H323" s="52"/>
      <c r="I323" s="167"/>
      <c r="J323" s="41"/>
      <c r="K323" s="45"/>
      <c r="L323" s="41"/>
      <c r="M323" s="41"/>
      <c r="N323" s="25"/>
      <c r="O323" s="25"/>
      <c r="P323" s="25"/>
      <c r="Q323" s="25"/>
      <c r="R323" s="25"/>
      <c r="S323" s="25"/>
      <c r="T323" s="25"/>
      <c r="U323" s="25"/>
      <c r="V323" s="25"/>
      <c r="W323" s="25"/>
    </row>
    <row r="324" spans="1:23" s="3" customFormat="1" ht="16.5" customHeight="1">
      <c r="A324" s="71"/>
      <c r="B324" s="188" t="s">
        <v>440</v>
      </c>
      <c r="C324" s="189"/>
      <c r="D324" s="22"/>
      <c r="E324" s="16"/>
      <c r="F324" s="27"/>
      <c r="G324" s="27"/>
      <c r="H324" s="52">
        <v>163032.03</v>
      </c>
      <c r="I324" s="167"/>
      <c r="J324" s="41"/>
      <c r="K324" s="45"/>
      <c r="L324" s="41"/>
      <c r="M324" s="41"/>
      <c r="N324" s="25"/>
      <c r="O324" s="25"/>
      <c r="P324" s="25"/>
      <c r="Q324" s="25"/>
      <c r="R324" s="25"/>
      <c r="S324" s="25"/>
      <c r="T324" s="25"/>
      <c r="U324" s="25"/>
      <c r="V324" s="25"/>
      <c r="W324" s="25"/>
    </row>
    <row r="325" spans="1:23" s="3" customFormat="1" ht="16.5" customHeight="1">
      <c r="A325" s="71"/>
      <c r="B325" s="188"/>
      <c r="C325" s="189"/>
      <c r="D325" s="22"/>
      <c r="E325" s="16"/>
      <c r="F325" s="27"/>
      <c r="G325" s="27"/>
      <c r="H325" s="52"/>
      <c r="I325" s="167"/>
      <c r="J325" s="41"/>
      <c r="K325" s="45"/>
      <c r="L325" s="41"/>
      <c r="M325" s="41"/>
      <c r="N325" s="25"/>
      <c r="O325" s="25"/>
      <c r="P325" s="25"/>
      <c r="Q325" s="25"/>
      <c r="R325" s="25"/>
      <c r="S325" s="25"/>
      <c r="T325" s="25"/>
      <c r="U325" s="25"/>
      <c r="V325" s="25"/>
      <c r="W325" s="25"/>
    </row>
    <row r="326" spans="1:23" s="3" customFormat="1" ht="16.5" customHeight="1">
      <c r="A326" s="71"/>
      <c r="B326" s="180" t="s">
        <v>444</v>
      </c>
      <c r="C326" s="169"/>
      <c r="D326" s="51"/>
      <c r="E326" s="51"/>
      <c r="F326" s="51"/>
      <c r="G326" s="51"/>
      <c r="H326" s="52">
        <v>1400000</v>
      </c>
      <c r="I326" s="167"/>
      <c r="J326" s="41"/>
      <c r="K326" s="45"/>
      <c r="L326" s="41"/>
      <c r="M326" s="41"/>
      <c r="N326" s="25"/>
      <c r="O326" s="25"/>
      <c r="P326" s="25"/>
      <c r="Q326" s="25"/>
      <c r="R326" s="25"/>
      <c r="S326" s="25"/>
      <c r="T326" s="25"/>
      <c r="U326" s="25"/>
      <c r="V326" s="25"/>
      <c r="W326" s="25"/>
    </row>
    <row r="327" spans="1:23" s="3" customFormat="1" ht="16.5" customHeight="1">
      <c r="A327" s="71"/>
      <c r="B327" s="180"/>
      <c r="C327" s="169"/>
      <c r="D327" s="51"/>
      <c r="E327" s="51"/>
      <c r="F327" s="51"/>
      <c r="G327" s="51"/>
      <c r="H327" s="52"/>
      <c r="I327" s="167"/>
      <c r="J327" s="41"/>
      <c r="K327" s="45"/>
      <c r="L327" s="41"/>
      <c r="M327" s="41"/>
      <c r="N327" s="25"/>
      <c r="O327" s="25"/>
      <c r="P327" s="25"/>
      <c r="Q327" s="25"/>
      <c r="R327" s="25"/>
      <c r="S327" s="25"/>
      <c r="T327" s="25"/>
      <c r="U327" s="25"/>
      <c r="V327" s="25"/>
      <c r="W327" s="25"/>
    </row>
    <row r="328" spans="1:23" s="3" customFormat="1" ht="16.5" customHeight="1">
      <c r="A328" s="71"/>
      <c r="B328" s="180" t="s">
        <v>197</v>
      </c>
      <c r="C328" s="169"/>
      <c r="D328" s="51"/>
      <c r="E328" s="51"/>
      <c r="F328" s="51"/>
      <c r="G328" s="51"/>
      <c r="H328" s="52"/>
      <c r="I328" s="167"/>
      <c r="J328" s="41"/>
      <c r="K328" s="45"/>
      <c r="L328" s="41"/>
      <c r="M328" s="41"/>
      <c r="N328" s="25"/>
      <c r="O328" s="25"/>
      <c r="P328" s="25"/>
      <c r="Q328" s="25"/>
      <c r="R328" s="25"/>
      <c r="S328" s="25"/>
      <c r="T328" s="25"/>
      <c r="U328" s="25"/>
      <c r="V328" s="25"/>
      <c r="W328" s="25"/>
    </row>
    <row r="329" spans="1:23" s="3" customFormat="1" ht="16.5" customHeight="1">
      <c r="A329" s="71"/>
      <c r="B329" s="180" t="s">
        <v>198</v>
      </c>
      <c r="C329" s="169"/>
      <c r="D329" s="51"/>
      <c r="E329" s="51"/>
      <c r="F329" s="51"/>
      <c r="G329" s="51"/>
      <c r="H329" s="52">
        <v>600000</v>
      </c>
      <c r="I329" s="167"/>
      <c r="J329" s="41"/>
      <c r="K329" s="45"/>
      <c r="L329" s="41"/>
      <c r="M329" s="41"/>
      <c r="N329" s="25"/>
      <c r="O329" s="25"/>
      <c r="P329" s="25"/>
      <c r="Q329" s="25"/>
      <c r="R329" s="25"/>
      <c r="S329" s="25"/>
      <c r="T329" s="25"/>
      <c r="U329" s="25"/>
      <c r="V329" s="25"/>
      <c r="W329" s="25"/>
    </row>
    <row r="330" spans="1:23" s="3" customFormat="1" ht="16.5" customHeight="1">
      <c r="A330" s="71"/>
      <c r="B330" s="180"/>
      <c r="C330" s="169"/>
      <c r="D330" s="51"/>
      <c r="E330" s="51"/>
      <c r="F330" s="51"/>
      <c r="G330" s="51"/>
      <c r="H330" s="52"/>
      <c r="I330" s="167"/>
      <c r="J330" s="41"/>
      <c r="K330" s="45"/>
      <c r="L330" s="41"/>
      <c r="M330" s="41"/>
      <c r="N330" s="25"/>
      <c r="O330" s="25"/>
      <c r="P330" s="25"/>
      <c r="Q330" s="25"/>
      <c r="R330" s="25"/>
      <c r="S330" s="25"/>
      <c r="T330" s="25"/>
      <c r="U330" s="25"/>
      <c r="V330" s="25"/>
      <c r="W330" s="25"/>
    </row>
    <row r="331" spans="1:23" s="3" customFormat="1" ht="16.5" customHeight="1">
      <c r="A331" s="71"/>
      <c r="B331" s="180" t="s">
        <v>101</v>
      </c>
      <c r="C331" s="169"/>
      <c r="D331" s="51"/>
      <c r="E331" s="51"/>
      <c r="F331" s="51"/>
      <c r="G331" s="51"/>
      <c r="H331" s="52">
        <v>1000000</v>
      </c>
      <c r="I331" s="167"/>
      <c r="J331" s="41"/>
      <c r="K331" s="45"/>
      <c r="L331" s="41"/>
      <c r="M331" s="41"/>
      <c r="N331" s="25"/>
      <c r="O331" s="25"/>
      <c r="P331" s="25"/>
      <c r="Q331" s="25"/>
      <c r="R331" s="25"/>
      <c r="S331" s="25"/>
      <c r="T331" s="25"/>
      <c r="U331" s="25"/>
      <c r="V331" s="25"/>
      <c r="W331" s="25"/>
    </row>
    <row r="332" spans="1:23" s="3" customFormat="1" ht="16.5" customHeight="1">
      <c r="A332" s="71"/>
      <c r="B332" s="180"/>
      <c r="C332" s="169"/>
      <c r="D332" s="51"/>
      <c r="E332" s="51"/>
      <c r="F332" s="51"/>
      <c r="G332" s="51"/>
      <c r="H332" s="52"/>
      <c r="I332" s="167"/>
      <c r="J332" s="41"/>
      <c r="K332" s="45"/>
      <c r="L332" s="41"/>
      <c r="M332" s="41"/>
      <c r="N332" s="25"/>
      <c r="O332" s="25"/>
      <c r="P332" s="25"/>
      <c r="Q332" s="25"/>
      <c r="R332" s="25"/>
      <c r="S332" s="25"/>
      <c r="T332" s="25"/>
      <c r="U332" s="25"/>
      <c r="V332" s="25"/>
      <c r="W332" s="25"/>
    </row>
    <row r="333" spans="1:23" s="3" customFormat="1" ht="16.5" customHeight="1">
      <c r="A333" s="71"/>
      <c r="B333" s="180" t="s">
        <v>102</v>
      </c>
      <c r="C333" s="169"/>
      <c r="D333" s="51"/>
      <c r="E333" s="51"/>
      <c r="F333" s="51"/>
      <c r="G333" s="51"/>
      <c r="H333" s="52">
        <v>100000</v>
      </c>
      <c r="I333" s="167"/>
      <c r="J333" s="41"/>
      <c r="K333" s="45"/>
      <c r="L333" s="41"/>
      <c r="M333" s="41"/>
      <c r="N333" s="25"/>
      <c r="O333" s="25"/>
      <c r="P333" s="25"/>
      <c r="Q333" s="25"/>
      <c r="R333" s="25"/>
      <c r="S333" s="25"/>
      <c r="T333" s="25"/>
      <c r="U333" s="25"/>
      <c r="V333" s="25"/>
      <c r="W333" s="25"/>
    </row>
    <row r="334" spans="1:23" s="3" customFormat="1" ht="16.5" customHeight="1">
      <c r="A334" s="71"/>
      <c r="B334" s="180"/>
      <c r="C334" s="169"/>
      <c r="D334" s="51"/>
      <c r="E334" s="51"/>
      <c r="F334" s="51"/>
      <c r="G334" s="51"/>
      <c r="H334" s="52"/>
      <c r="I334" s="167"/>
      <c r="J334" s="41"/>
      <c r="K334" s="45"/>
      <c r="L334" s="41"/>
      <c r="M334" s="41"/>
      <c r="N334" s="25"/>
      <c r="O334" s="25"/>
      <c r="P334" s="25"/>
      <c r="Q334" s="25"/>
      <c r="R334" s="25"/>
      <c r="S334" s="25"/>
      <c r="T334" s="25"/>
      <c r="U334" s="25"/>
      <c r="V334" s="25"/>
      <c r="W334" s="25"/>
    </row>
    <row r="335" spans="1:23" s="3" customFormat="1" ht="16.5" customHeight="1">
      <c r="A335" s="71"/>
      <c r="B335" s="180" t="s">
        <v>103</v>
      </c>
      <c r="C335" s="169"/>
      <c r="D335" s="51"/>
      <c r="E335" s="51"/>
      <c r="F335" s="51"/>
      <c r="G335" s="51"/>
      <c r="H335" s="52">
        <v>50000</v>
      </c>
      <c r="I335" s="167"/>
      <c r="J335" s="41"/>
      <c r="K335" s="45"/>
      <c r="L335" s="41"/>
      <c r="M335" s="41"/>
      <c r="N335" s="25"/>
      <c r="O335" s="25"/>
      <c r="P335" s="25"/>
      <c r="Q335" s="25"/>
      <c r="R335" s="25"/>
      <c r="S335" s="25"/>
      <c r="T335" s="25"/>
      <c r="U335" s="25"/>
      <c r="V335" s="25"/>
      <c r="W335" s="25"/>
    </row>
    <row r="336" spans="1:23" s="3" customFormat="1" ht="16.5" customHeight="1">
      <c r="A336" s="71"/>
      <c r="B336" s="180"/>
      <c r="C336" s="169"/>
      <c r="D336" s="51"/>
      <c r="E336" s="51"/>
      <c r="F336" s="51"/>
      <c r="G336" s="51"/>
      <c r="H336" s="52"/>
      <c r="I336" s="167"/>
      <c r="J336" s="41"/>
      <c r="K336" s="45"/>
      <c r="L336" s="41"/>
      <c r="M336" s="41"/>
      <c r="N336" s="25"/>
      <c r="O336" s="25"/>
      <c r="P336" s="25"/>
      <c r="Q336" s="25"/>
      <c r="R336" s="25"/>
      <c r="S336" s="25"/>
      <c r="T336" s="25"/>
      <c r="U336" s="25"/>
      <c r="V336" s="25"/>
      <c r="W336" s="25"/>
    </row>
    <row r="337" spans="1:23" s="3" customFormat="1" ht="16.5" customHeight="1">
      <c r="A337" s="71"/>
      <c r="B337" s="180" t="s">
        <v>104</v>
      </c>
      <c r="C337" s="169"/>
      <c r="D337" s="51"/>
      <c r="E337" s="51"/>
      <c r="F337" s="51"/>
      <c r="G337" s="51"/>
      <c r="H337" s="52">
        <v>900000</v>
      </c>
      <c r="I337" s="167"/>
      <c r="J337" s="41"/>
      <c r="K337" s="45"/>
      <c r="L337" s="41"/>
      <c r="M337" s="41"/>
      <c r="N337" s="25"/>
      <c r="O337" s="25"/>
      <c r="P337" s="25"/>
      <c r="Q337" s="25"/>
      <c r="R337" s="25"/>
      <c r="S337" s="25"/>
      <c r="T337" s="25"/>
      <c r="U337" s="25"/>
      <c r="V337" s="25"/>
      <c r="W337" s="25"/>
    </row>
    <row r="338" spans="1:23" s="3" customFormat="1" ht="16.5" customHeight="1">
      <c r="A338" s="71"/>
      <c r="B338" s="180"/>
      <c r="C338" s="169"/>
      <c r="D338" s="51"/>
      <c r="E338" s="51"/>
      <c r="F338" s="51"/>
      <c r="G338" s="51"/>
      <c r="H338" s="52"/>
      <c r="I338" s="167"/>
      <c r="J338" s="41"/>
      <c r="K338" s="45"/>
      <c r="L338" s="41"/>
      <c r="M338" s="41"/>
      <c r="N338" s="25"/>
      <c r="O338" s="25"/>
      <c r="P338" s="25"/>
      <c r="Q338" s="25"/>
      <c r="R338" s="25"/>
      <c r="S338" s="25"/>
      <c r="T338" s="25"/>
      <c r="U338" s="25"/>
      <c r="V338" s="25"/>
      <c r="W338" s="25"/>
    </row>
    <row r="339" spans="1:23" s="3" customFormat="1" ht="16.5" customHeight="1">
      <c r="A339" s="71"/>
      <c r="B339" s="180" t="s">
        <v>43</v>
      </c>
      <c r="C339" s="169"/>
      <c r="D339" s="51"/>
      <c r="E339" s="51"/>
      <c r="F339" s="51"/>
      <c r="G339" s="51"/>
      <c r="H339" s="52">
        <v>900000</v>
      </c>
      <c r="I339" s="167"/>
      <c r="J339" s="41"/>
      <c r="K339" s="45"/>
      <c r="L339" s="41"/>
      <c r="M339" s="41"/>
      <c r="N339" s="25"/>
      <c r="O339" s="25"/>
      <c r="P339" s="25"/>
      <c r="Q339" s="25"/>
      <c r="R339" s="25"/>
      <c r="S339" s="25"/>
      <c r="T339" s="25"/>
      <c r="U339" s="25"/>
      <c r="V339" s="25"/>
      <c r="W339" s="25"/>
    </row>
    <row r="340" spans="1:23" s="3" customFormat="1" ht="16.5" customHeight="1">
      <c r="A340" s="71"/>
      <c r="B340" s="180"/>
      <c r="C340" s="169"/>
      <c r="D340" s="51"/>
      <c r="E340" s="51"/>
      <c r="F340" s="51"/>
      <c r="G340" s="51"/>
      <c r="H340" s="52"/>
      <c r="I340" s="167"/>
      <c r="J340" s="41"/>
      <c r="K340" s="45"/>
      <c r="L340" s="41"/>
      <c r="M340" s="41"/>
      <c r="N340" s="25"/>
      <c r="O340" s="25"/>
      <c r="P340" s="25"/>
      <c r="Q340" s="25"/>
      <c r="R340" s="25"/>
      <c r="S340" s="25"/>
      <c r="T340" s="25"/>
      <c r="U340" s="25"/>
      <c r="V340" s="25"/>
      <c r="W340" s="25"/>
    </row>
    <row r="341" spans="1:23" s="3" customFormat="1" ht="16.5" customHeight="1">
      <c r="A341" s="71"/>
      <c r="B341" s="180" t="s">
        <v>105</v>
      </c>
      <c r="C341" s="169"/>
      <c r="D341" s="51"/>
      <c r="E341" s="51"/>
      <c r="F341" s="51"/>
      <c r="G341" s="51"/>
      <c r="H341" s="52"/>
      <c r="I341" s="167"/>
      <c r="J341" s="41"/>
      <c r="K341" s="45"/>
      <c r="L341" s="41"/>
      <c r="M341" s="41"/>
      <c r="N341" s="25"/>
      <c r="O341" s="25"/>
      <c r="P341" s="25"/>
      <c r="Q341" s="25"/>
      <c r="R341" s="25"/>
      <c r="S341" s="25"/>
      <c r="T341" s="25"/>
      <c r="U341" s="25"/>
      <c r="V341" s="25"/>
      <c r="W341" s="25"/>
    </row>
    <row r="342" spans="1:23" s="3" customFormat="1" ht="16.5" customHeight="1">
      <c r="A342" s="71"/>
      <c r="B342" s="180" t="s">
        <v>106</v>
      </c>
      <c r="C342" s="169"/>
      <c r="D342" s="51"/>
      <c r="E342" s="51"/>
      <c r="F342" s="51"/>
      <c r="G342" s="51"/>
      <c r="H342" s="52">
        <v>20000</v>
      </c>
      <c r="I342" s="167"/>
      <c r="J342" s="41"/>
      <c r="K342" s="45"/>
      <c r="L342" s="41"/>
      <c r="M342" s="41"/>
      <c r="N342" s="25"/>
      <c r="O342" s="25"/>
      <c r="P342" s="25"/>
      <c r="Q342" s="25"/>
      <c r="R342" s="25"/>
      <c r="S342" s="25"/>
      <c r="T342" s="25"/>
      <c r="U342" s="25"/>
      <c r="V342" s="25"/>
      <c r="W342" s="25"/>
    </row>
    <row r="343" spans="1:23" s="3" customFormat="1" ht="16.5" customHeight="1">
      <c r="A343" s="71"/>
      <c r="B343" s="180"/>
      <c r="C343" s="169"/>
      <c r="D343" s="51"/>
      <c r="E343" s="51"/>
      <c r="F343" s="51"/>
      <c r="G343" s="51"/>
      <c r="H343" s="52"/>
      <c r="I343" s="167"/>
      <c r="J343" s="41"/>
      <c r="K343" s="45"/>
      <c r="L343" s="41"/>
      <c r="M343" s="41"/>
      <c r="N343" s="25"/>
      <c r="O343" s="25"/>
      <c r="P343" s="25"/>
      <c r="Q343" s="25"/>
      <c r="R343" s="25"/>
      <c r="S343" s="25"/>
      <c r="T343" s="25"/>
      <c r="U343" s="25"/>
      <c r="V343" s="25"/>
      <c r="W343" s="25"/>
    </row>
    <row r="344" spans="1:23" s="3" customFormat="1" ht="16.5" customHeight="1">
      <c r="A344" s="71"/>
      <c r="B344" s="180" t="s">
        <v>136</v>
      </c>
      <c r="C344" s="169"/>
      <c r="D344" s="51"/>
      <c r="E344" s="51"/>
      <c r="F344" s="51"/>
      <c r="G344" s="51"/>
      <c r="H344" s="52"/>
      <c r="I344" s="167"/>
      <c r="J344" s="41"/>
      <c r="K344" s="45"/>
      <c r="L344" s="41"/>
      <c r="M344" s="41"/>
      <c r="N344" s="25"/>
      <c r="O344" s="25"/>
      <c r="P344" s="25"/>
      <c r="Q344" s="25"/>
      <c r="R344" s="25"/>
      <c r="S344" s="25"/>
      <c r="T344" s="25"/>
      <c r="U344" s="25"/>
      <c r="V344" s="25"/>
      <c r="W344" s="25"/>
    </row>
    <row r="345" spans="1:23" s="3" customFormat="1" ht="16.5" customHeight="1">
      <c r="A345" s="71"/>
      <c r="B345" s="180" t="s">
        <v>137</v>
      </c>
      <c r="C345" s="169"/>
      <c r="D345" s="51"/>
      <c r="E345" s="51"/>
      <c r="F345" s="51"/>
      <c r="G345" s="51"/>
      <c r="H345" s="52">
        <v>85000</v>
      </c>
      <c r="I345" s="167"/>
      <c r="J345" s="41"/>
      <c r="K345" s="45"/>
      <c r="L345" s="41"/>
      <c r="M345" s="41"/>
      <c r="N345" s="25"/>
      <c r="O345" s="25"/>
      <c r="P345" s="25"/>
      <c r="Q345" s="25"/>
      <c r="R345" s="25"/>
      <c r="S345" s="25"/>
      <c r="T345" s="25"/>
      <c r="U345" s="25"/>
      <c r="V345" s="25"/>
      <c r="W345" s="25"/>
    </row>
    <row r="346" spans="1:23" s="3" customFormat="1" ht="16.5" customHeight="1">
      <c r="A346" s="71"/>
      <c r="B346" s="180"/>
      <c r="C346" s="169"/>
      <c r="D346" s="51"/>
      <c r="E346" s="51"/>
      <c r="F346" s="51"/>
      <c r="G346" s="51"/>
      <c r="H346" s="52"/>
      <c r="I346" s="167"/>
      <c r="J346" s="41"/>
      <c r="K346" s="45"/>
      <c r="L346" s="41"/>
      <c r="M346" s="41"/>
      <c r="N346" s="25"/>
      <c r="O346" s="25"/>
      <c r="P346" s="25"/>
      <c r="Q346" s="25"/>
      <c r="R346" s="25"/>
      <c r="S346" s="25"/>
      <c r="T346" s="25"/>
      <c r="U346" s="25"/>
      <c r="V346" s="25"/>
      <c r="W346" s="25"/>
    </row>
    <row r="347" spans="1:23" s="3" customFormat="1" ht="16.5" customHeight="1">
      <c r="A347" s="138" t="s">
        <v>112</v>
      </c>
      <c r="B347" s="180"/>
      <c r="C347" s="169"/>
      <c r="D347" s="51"/>
      <c r="E347" s="51"/>
      <c r="F347" s="51"/>
      <c r="G347" s="51"/>
      <c r="H347" s="25">
        <f>H349+H355</f>
        <v>1215000</v>
      </c>
      <c r="I347" s="167"/>
      <c r="J347" s="41"/>
      <c r="K347" s="45"/>
      <c r="L347" s="41"/>
      <c r="M347" s="41"/>
      <c r="N347" s="25"/>
      <c r="O347" s="25"/>
      <c r="P347" s="25"/>
      <c r="Q347" s="25"/>
      <c r="R347" s="25"/>
      <c r="S347" s="25"/>
      <c r="T347" s="25"/>
      <c r="U347" s="25"/>
      <c r="V347" s="25"/>
      <c r="W347" s="25"/>
    </row>
    <row r="348" spans="1:23" s="3" customFormat="1" ht="16.5" customHeight="1">
      <c r="A348" s="71" t="s">
        <v>351</v>
      </c>
      <c r="B348" s="180"/>
      <c r="C348" s="169"/>
      <c r="D348" s="51"/>
      <c r="E348" s="51"/>
      <c r="F348" s="51"/>
      <c r="G348" s="51"/>
      <c r="H348" s="52"/>
      <c r="I348" s="167"/>
      <c r="J348" s="41"/>
      <c r="K348" s="45"/>
      <c r="L348" s="41"/>
      <c r="M348" s="41"/>
      <c r="N348" s="25"/>
      <c r="O348" s="25"/>
      <c r="P348" s="25"/>
      <c r="Q348" s="25"/>
      <c r="R348" s="25"/>
      <c r="S348" s="25"/>
      <c r="T348" s="25"/>
      <c r="U348" s="25"/>
      <c r="V348" s="25"/>
      <c r="W348" s="25"/>
    </row>
    <row r="349" spans="1:23" s="840" customFormat="1" ht="16.5" customHeight="1">
      <c r="A349" s="834" t="s">
        <v>113</v>
      </c>
      <c r="B349" s="835"/>
      <c r="C349" s="835"/>
      <c r="D349" s="836"/>
      <c r="E349" s="836"/>
      <c r="F349" s="836"/>
      <c r="G349" s="836"/>
      <c r="H349" s="54">
        <f>H351+H353</f>
        <v>215000</v>
      </c>
      <c r="I349" s="837"/>
      <c r="J349" s="838"/>
      <c r="K349" s="839"/>
      <c r="L349" s="838"/>
      <c r="M349" s="838"/>
      <c r="N349" s="54"/>
      <c r="O349" s="54"/>
      <c r="P349" s="54"/>
      <c r="Q349" s="54"/>
      <c r="R349" s="54"/>
      <c r="S349" s="54"/>
      <c r="T349" s="54"/>
      <c r="U349" s="54"/>
      <c r="V349" s="54"/>
      <c r="W349" s="54"/>
    </row>
    <row r="350" spans="1:23" s="3" customFormat="1" ht="16.5" customHeight="1">
      <c r="A350" s="71" t="s">
        <v>114</v>
      </c>
      <c r="B350" s="188"/>
      <c r="C350" s="169"/>
      <c r="D350" s="51"/>
      <c r="E350" s="51"/>
      <c r="F350" s="51"/>
      <c r="G350" s="51"/>
      <c r="H350" s="52"/>
      <c r="I350" s="167"/>
      <c r="J350" s="41"/>
      <c r="K350" s="45"/>
      <c r="L350" s="41"/>
      <c r="M350" s="41"/>
      <c r="N350" s="25"/>
      <c r="O350" s="25"/>
      <c r="P350" s="25"/>
      <c r="Q350" s="25"/>
      <c r="R350" s="25"/>
      <c r="S350" s="25"/>
      <c r="T350" s="25"/>
      <c r="U350" s="25"/>
      <c r="V350" s="25"/>
      <c r="W350" s="25"/>
    </row>
    <row r="351" spans="1:23" s="3" customFormat="1" ht="16.5" customHeight="1">
      <c r="A351" s="71"/>
      <c r="B351" s="833" t="s">
        <v>108</v>
      </c>
      <c r="C351" s="169"/>
      <c r="D351" s="51"/>
      <c r="E351" s="51"/>
      <c r="F351" s="51"/>
      <c r="G351" s="51"/>
      <c r="H351" s="52">
        <v>50000</v>
      </c>
      <c r="I351" s="167"/>
      <c r="J351" s="41"/>
      <c r="K351" s="45"/>
      <c r="L351" s="41"/>
      <c r="M351" s="41"/>
      <c r="N351" s="25"/>
      <c r="O351" s="25"/>
      <c r="P351" s="25"/>
      <c r="Q351" s="25"/>
      <c r="R351" s="25"/>
      <c r="S351" s="25"/>
      <c r="T351" s="25"/>
      <c r="U351" s="25"/>
      <c r="V351" s="25"/>
      <c r="W351" s="25"/>
    </row>
    <row r="352" spans="1:23" s="3" customFormat="1" ht="16.5" customHeight="1">
      <c r="A352" s="71"/>
      <c r="B352" s="833"/>
      <c r="C352" s="169"/>
      <c r="D352" s="51"/>
      <c r="E352" s="51"/>
      <c r="F352" s="51"/>
      <c r="G352" s="51"/>
      <c r="H352" s="52"/>
      <c r="I352" s="167"/>
      <c r="J352" s="41"/>
      <c r="K352" s="45"/>
      <c r="L352" s="41"/>
      <c r="M352" s="41"/>
      <c r="N352" s="25"/>
      <c r="O352" s="25"/>
      <c r="P352" s="25"/>
      <c r="Q352" s="25"/>
      <c r="R352" s="25"/>
      <c r="S352" s="25"/>
      <c r="T352" s="25"/>
      <c r="U352" s="25"/>
      <c r="V352" s="25"/>
      <c r="W352" s="25"/>
    </row>
    <row r="353" spans="1:23" s="3" customFormat="1" ht="16.5" customHeight="1">
      <c r="A353" s="71"/>
      <c r="B353" s="180" t="s">
        <v>109</v>
      </c>
      <c r="C353" s="169"/>
      <c r="D353" s="51"/>
      <c r="E353" s="51"/>
      <c r="F353" s="51"/>
      <c r="G353" s="51"/>
      <c r="H353" s="52">
        <v>165000</v>
      </c>
      <c r="I353" s="167"/>
      <c r="J353" s="41"/>
      <c r="K353" s="45"/>
      <c r="L353" s="41"/>
      <c r="M353" s="41"/>
      <c r="N353" s="25"/>
      <c r="O353" s="25"/>
      <c r="P353" s="25"/>
      <c r="Q353" s="25"/>
      <c r="R353" s="25"/>
      <c r="S353" s="25"/>
      <c r="T353" s="25"/>
      <c r="U353" s="25"/>
      <c r="V353" s="25"/>
      <c r="W353" s="25"/>
    </row>
    <row r="354" spans="1:23" s="3" customFormat="1" ht="16.5" customHeight="1">
      <c r="A354" s="71"/>
      <c r="B354" s="180"/>
      <c r="C354" s="169"/>
      <c r="D354" s="51"/>
      <c r="E354" s="51"/>
      <c r="F354" s="51"/>
      <c r="G354" s="51"/>
      <c r="H354" s="52"/>
      <c r="I354" s="167"/>
      <c r="J354" s="41"/>
      <c r="K354" s="45"/>
      <c r="L354" s="41"/>
      <c r="M354" s="41"/>
      <c r="N354" s="25"/>
      <c r="O354" s="25"/>
      <c r="P354" s="25"/>
      <c r="Q354" s="25"/>
      <c r="R354" s="25"/>
      <c r="S354" s="25"/>
      <c r="T354" s="25"/>
      <c r="U354" s="25"/>
      <c r="V354" s="25"/>
      <c r="W354" s="25"/>
    </row>
    <row r="355" spans="1:23" s="840" customFormat="1" ht="16.5" customHeight="1">
      <c r="A355" s="834" t="s">
        <v>115</v>
      </c>
      <c r="B355" s="835"/>
      <c r="C355" s="835"/>
      <c r="D355" s="836"/>
      <c r="E355" s="836"/>
      <c r="F355" s="836"/>
      <c r="G355" s="836"/>
      <c r="H355" s="54">
        <f>H356</f>
        <v>1000000</v>
      </c>
      <c r="I355" s="837"/>
      <c r="J355" s="838"/>
      <c r="K355" s="839"/>
      <c r="L355" s="838"/>
      <c r="M355" s="838"/>
      <c r="N355" s="54"/>
      <c r="O355" s="54"/>
      <c r="P355" s="54"/>
      <c r="Q355" s="54"/>
      <c r="R355" s="54"/>
      <c r="S355" s="54"/>
      <c r="T355" s="54"/>
      <c r="U355" s="54"/>
      <c r="V355" s="54"/>
      <c r="W355" s="54"/>
    </row>
    <row r="356" spans="1:23" s="3" customFormat="1" ht="16.5" customHeight="1">
      <c r="A356" s="138"/>
      <c r="B356" s="180" t="s">
        <v>482</v>
      </c>
      <c r="C356" s="169"/>
      <c r="D356" s="51"/>
      <c r="E356" s="51"/>
      <c r="F356" s="51"/>
      <c r="G356" s="51"/>
      <c r="H356" s="52">
        <v>1000000</v>
      </c>
      <c r="I356" s="167"/>
      <c r="J356" s="41"/>
      <c r="K356" s="45"/>
      <c r="L356" s="41"/>
      <c r="M356" s="41"/>
      <c r="N356" s="25"/>
      <c r="O356" s="25"/>
      <c r="P356" s="25"/>
      <c r="Q356" s="25"/>
      <c r="R356" s="25"/>
      <c r="S356" s="25"/>
      <c r="T356" s="25"/>
      <c r="U356" s="25"/>
      <c r="V356" s="25"/>
      <c r="W356" s="25"/>
    </row>
    <row r="357" spans="1:23" s="3" customFormat="1" ht="16.5" customHeight="1">
      <c r="A357" s="138"/>
      <c r="B357" s="169"/>
      <c r="C357" s="169"/>
      <c r="D357" s="51"/>
      <c r="E357" s="51"/>
      <c r="F357" s="51"/>
      <c r="G357" s="51"/>
      <c r="H357" s="52"/>
      <c r="I357" s="167"/>
      <c r="J357" s="41"/>
      <c r="K357" s="45"/>
      <c r="L357" s="41"/>
      <c r="M357" s="41"/>
      <c r="N357" s="25"/>
      <c r="O357" s="25"/>
      <c r="P357" s="25"/>
      <c r="Q357" s="25"/>
      <c r="R357" s="25"/>
      <c r="S357" s="25"/>
      <c r="T357" s="25"/>
      <c r="U357" s="25"/>
      <c r="V357" s="25"/>
      <c r="W357" s="25"/>
    </row>
    <row r="358" spans="1:23" s="3" customFormat="1" ht="16.5" customHeight="1">
      <c r="A358" s="138" t="s">
        <v>110</v>
      </c>
      <c r="B358" s="120"/>
      <c r="C358" s="438"/>
      <c r="D358" s="27"/>
      <c r="E358" s="27"/>
      <c r="F358" s="27"/>
      <c r="G358" s="51"/>
      <c r="H358" s="25">
        <f>H360</f>
        <v>200000</v>
      </c>
      <c r="I358" s="167"/>
      <c r="J358" s="41"/>
      <c r="K358" s="45"/>
      <c r="L358" s="41"/>
      <c r="M358" s="41"/>
      <c r="N358" s="25"/>
      <c r="O358" s="25"/>
      <c r="P358" s="25"/>
      <c r="Q358" s="25"/>
      <c r="R358" s="25"/>
      <c r="S358" s="25"/>
      <c r="T358" s="25"/>
      <c r="U358" s="25"/>
      <c r="V358" s="25"/>
      <c r="W358" s="25"/>
    </row>
    <row r="359" spans="1:23" s="3" customFormat="1" ht="16.5" customHeight="1">
      <c r="A359" s="71" t="s">
        <v>351</v>
      </c>
      <c r="B359" s="169"/>
      <c r="C359" s="170"/>
      <c r="D359" s="51"/>
      <c r="E359" s="51"/>
      <c r="F359" s="27"/>
      <c r="G359" s="51"/>
      <c r="H359" s="52"/>
      <c r="I359" s="167"/>
      <c r="J359" s="41"/>
      <c r="K359" s="45"/>
      <c r="L359" s="41"/>
      <c r="M359" s="41"/>
      <c r="N359" s="25"/>
      <c r="O359" s="25"/>
      <c r="P359" s="25"/>
      <c r="Q359" s="25"/>
      <c r="R359" s="25"/>
      <c r="S359" s="25"/>
      <c r="T359" s="25"/>
      <c r="U359" s="25"/>
      <c r="V359" s="25"/>
      <c r="W359" s="25"/>
    </row>
    <row r="360" spans="1:23" s="3" customFormat="1" ht="16.5" customHeight="1">
      <c r="A360" s="184"/>
      <c r="B360" s="180" t="s">
        <v>491</v>
      </c>
      <c r="C360" s="170"/>
      <c r="D360" s="51"/>
      <c r="E360" s="51"/>
      <c r="F360" s="27"/>
      <c r="G360" s="51"/>
      <c r="H360" s="52">
        <v>200000</v>
      </c>
      <c r="I360" s="167"/>
      <c r="J360" s="41"/>
      <c r="K360" s="45"/>
      <c r="L360" s="41"/>
      <c r="M360" s="41"/>
      <c r="N360" s="25"/>
      <c r="O360" s="25"/>
      <c r="P360" s="25"/>
      <c r="Q360" s="25"/>
      <c r="R360" s="25"/>
      <c r="S360" s="25"/>
      <c r="T360" s="25"/>
      <c r="U360" s="25"/>
      <c r="V360" s="25"/>
      <c r="W360" s="25"/>
    </row>
    <row r="361" spans="1:23" s="3" customFormat="1" ht="16.5" customHeight="1">
      <c r="A361" s="71"/>
      <c r="B361" s="180"/>
      <c r="C361" s="169"/>
      <c r="D361" s="51"/>
      <c r="E361" s="51"/>
      <c r="F361" s="51"/>
      <c r="G361" s="51"/>
      <c r="H361" s="52"/>
      <c r="I361" s="167"/>
      <c r="J361" s="41"/>
      <c r="K361" s="45"/>
      <c r="L361" s="41"/>
      <c r="M361" s="41"/>
      <c r="N361" s="25"/>
      <c r="O361" s="25"/>
      <c r="P361" s="25"/>
      <c r="Q361" s="25"/>
      <c r="R361" s="25"/>
      <c r="S361" s="25"/>
      <c r="T361" s="25"/>
      <c r="U361" s="25"/>
      <c r="V361" s="25"/>
      <c r="W361" s="25"/>
    </row>
    <row r="362" spans="1:23" s="3" customFormat="1" ht="16.5" customHeight="1">
      <c r="A362" s="138" t="s">
        <v>124</v>
      </c>
      <c r="B362" s="180"/>
      <c r="C362" s="169"/>
      <c r="D362" s="51"/>
      <c r="E362" s="51"/>
      <c r="F362" s="51"/>
      <c r="G362" s="51"/>
      <c r="H362" s="25">
        <f>H364+H373+H381</f>
        <v>420326</v>
      </c>
      <c r="I362" s="167"/>
      <c r="J362" s="41"/>
      <c r="K362" s="45"/>
      <c r="L362" s="41"/>
      <c r="M362" s="41"/>
      <c r="N362" s="25"/>
      <c r="O362" s="25"/>
      <c r="P362" s="25"/>
      <c r="Q362" s="25"/>
      <c r="R362" s="25"/>
      <c r="S362" s="25"/>
      <c r="T362" s="25"/>
      <c r="U362" s="25"/>
      <c r="V362" s="25"/>
      <c r="W362" s="25"/>
    </row>
    <row r="363" spans="1:23" s="3" customFormat="1" ht="16.5" customHeight="1">
      <c r="A363" s="71" t="s">
        <v>351</v>
      </c>
      <c r="B363" s="180"/>
      <c r="C363" s="169"/>
      <c r="D363" s="51"/>
      <c r="E363" s="51"/>
      <c r="F363" s="51"/>
      <c r="G363" s="51"/>
      <c r="H363" s="52"/>
      <c r="I363" s="167"/>
      <c r="J363" s="41"/>
      <c r="K363" s="45"/>
      <c r="L363" s="41"/>
      <c r="M363" s="41"/>
      <c r="N363" s="25"/>
      <c r="O363" s="25"/>
      <c r="P363" s="25"/>
      <c r="Q363" s="25"/>
      <c r="R363" s="25"/>
      <c r="S363" s="25"/>
      <c r="T363" s="25"/>
      <c r="U363" s="25"/>
      <c r="V363" s="25"/>
      <c r="W363" s="25"/>
    </row>
    <row r="364" spans="1:23" s="3" customFormat="1" ht="16.5" customHeight="1">
      <c r="A364" s="834" t="s">
        <v>116</v>
      </c>
      <c r="B364" s="835"/>
      <c r="C364" s="835"/>
      <c r="D364" s="51"/>
      <c r="E364" s="51"/>
      <c r="F364" s="51"/>
      <c r="G364" s="51"/>
      <c r="H364" s="25">
        <f>H366+H369</f>
        <v>111000</v>
      </c>
      <c r="I364" s="167"/>
      <c r="J364" s="41"/>
      <c r="K364" s="45"/>
      <c r="L364" s="41"/>
      <c r="M364" s="41"/>
      <c r="N364" s="25"/>
      <c r="O364" s="25"/>
      <c r="P364" s="25"/>
      <c r="Q364" s="25"/>
      <c r="R364" s="25"/>
      <c r="S364" s="25"/>
      <c r="T364" s="25"/>
      <c r="U364" s="25"/>
      <c r="V364" s="25"/>
      <c r="W364" s="25"/>
    </row>
    <row r="365" spans="1:23" s="3" customFormat="1" ht="16.5" customHeight="1">
      <c r="A365" s="71"/>
      <c r="B365" s="180" t="s">
        <v>351</v>
      </c>
      <c r="C365" s="169"/>
      <c r="D365" s="51"/>
      <c r="E365" s="51"/>
      <c r="F365" s="51"/>
      <c r="G365" s="51"/>
      <c r="H365" s="52"/>
      <c r="I365" s="167"/>
      <c r="J365" s="41"/>
      <c r="K365" s="45"/>
      <c r="L365" s="41"/>
      <c r="M365" s="41"/>
      <c r="N365" s="25"/>
      <c r="O365" s="25"/>
      <c r="P365" s="25"/>
      <c r="Q365" s="25"/>
      <c r="R365" s="25"/>
      <c r="S365" s="25"/>
      <c r="T365" s="25"/>
      <c r="U365" s="25"/>
      <c r="V365" s="25"/>
      <c r="W365" s="25"/>
    </row>
    <row r="366" spans="1:23" s="3" customFormat="1" ht="16.5" customHeight="1">
      <c r="A366" s="71"/>
      <c r="B366" s="834" t="s">
        <v>117</v>
      </c>
      <c r="C366" s="169"/>
      <c r="D366" s="51"/>
      <c r="E366" s="51"/>
      <c r="F366" s="51"/>
      <c r="G366" s="51"/>
      <c r="H366" s="54">
        <f>H367</f>
        <v>60000</v>
      </c>
      <c r="I366" s="167"/>
      <c r="J366" s="41"/>
      <c r="K366" s="45"/>
      <c r="L366" s="41"/>
      <c r="M366" s="41"/>
      <c r="N366" s="25"/>
      <c r="O366" s="25"/>
      <c r="P366" s="25"/>
      <c r="Q366" s="25"/>
      <c r="R366" s="25"/>
      <c r="S366" s="25"/>
      <c r="T366" s="25"/>
      <c r="U366" s="25"/>
      <c r="V366" s="25"/>
      <c r="W366" s="25"/>
    </row>
    <row r="367" spans="1:23" s="3" customFormat="1" ht="16.5" customHeight="1">
      <c r="A367" s="71"/>
      <c r="B367" s="180" t="s">
        <v>119</v>
      </c>
      <c r="C367" s="169"/>
      <c r="D367" s="51"/>
      <c r="E367" s="51"/>
      <c r="F367" s="51"/>
      <c r="G367" s="51"/>
      <c r="H367" s="52">
        <v>60000</v>
      </c>
      <c r="I367" s="167"/>
      <c r="J367" s="41"/>
      <c r="K367" s="45"/>
      <c r="L367" s="41"/>
      <c r="M367" s="41"/>
      <c r="N367" s="25"/>
      <c r="O367" s="25"/>
      <c r="P367" s="25"/>
      <c r="Q367" s="25"/>
      <c r="R367" s="25"/>
      <c r="S367" s="25"/>
      <c r="T367" s="25"/>
      <c r="U367" s="25"/>
      <c r="V367" s="25"/>
      <c r="W367" s="25"/>
    </row>
    <row r="368" spans="1:23" s="3" customFormat="1" ht="16.5" customHeight="1">
      <c r="A368" s="71"/>
      <c r="B368" s="180"/>
      <c r="C368" s="169"/>
      <c r="D368" s="51"/>
      <c r="E368" s="51"/>
      <c r="F368" s="51"/>
      <c r="G368" s="51"/>
      <c r="H368" s="52"/>
      <c r="I368" s="167"/>
      <c r="J368" s="41"/>
      <c r="K368" s="45"/>
      <c r="L368" s="41"/>
      <c r="M368" s="41"/>
      <c r="N368" s="25"/>
      <c r="O368" s="25"/>
      <c r="P368" s="25"/>
      <c r="Q368" s="25"/>
      <c r="R368" s="25"/>
      <c r="S368" s="25"/>
      <c r="T368" s="25"/>
      <c r="U368" s="25"/>
      <c r="V368" s="25"/>
      <c r="W368" s="25"/>
    </row>
    <row r="369" spans="1:23" s="3" customFormat="1" ht="16.5" customHeight="1">
      <c r="A369" s="71"/>
      <c r="B369" s="834" t="s">
        <v>118</v>
      </c>
      <c r="C369" s="169"/>
      <c r="D369" s="51"/>
      <c r="E369" s="51"/>
      <c r="F369" s="51"/>
      <c r="G369" s="51"/>
      <c r="H369" s="54">
        <f>H371</f>
        <v>51000</v>
      </c>
      <c r="I369" s="167"/>
      <c r="J369" s="41"/>
      <c r="K369" s="45"/>
      <c r="L369" s="41"/>
      <c r="M369" s="41"/>
      <c r="N369" s="25"/>
      <c r="O369" s="25"/>
      <c r="P369" s="25"/>
      <c r="Q369" s="25"/>
      <c r="R369" s="25"/>
      <c r="S369" s="25"/>
      <c r="T369" s="25"/>
      <c r="U369" s="25"/>
      <c r="V369" s="25"/>
      <c r="W369" s="25"/>
    </row>
    <row r="370" spans="1:23" s="3" customFormat="1" ht="16.5" customHeight="1">
      <c r="A370" s="71"/>
      <c r="B370" s="71" t="s">
        <v>38</v>
      </c>
      <c r="C370" s="169"/>
      <c r="D370" s="51"/>
      <c r="E370" s="51"/>
      <c r="F370" s="51"/>
      <c r="G370" s="51"/>
      <c r="H370" s="54"/>
      <c r="I370" s="167"/>
      <c r="J370" s="41"/>
      <c r="K370" s="45"/>
      <c r="L370" s="41"/>
      <c r="M370" s="41"/>
      <c r="N370" s="25"/>
      <c r="O370" s="25"/>
      <c r="P370" s="25"/>
      <c r="Q370" s="25"/>
      <c r="R370" s="25"/>
      <c r="S370" s="25"/>
      <c r="T370" s="25"/>
      <c r="U370" s="25"/>
      <c r="V370" s="25"/>
      <c r="W370" s="25"/>
    </row>
    <row r="371" spans="1:23" s="3" customFormat="1" ht="16.5" customHeight="1">
      <c r="A371" s="71"/>
      <c r="B371" s="180" t="s">
        <v>37</v>
      </c>
      <c r="C371" s="169"/>
      <c r="D371" s="51"/>
      <c r="E371" s="51"/>
      <c r="F371" s="51"/>
      <c r="G371" s="51"/>
      <c r="H371" s="52">
        <v>51000</v>
      </c>
      <c r="I371" s="167"/>
      <c r="J371" s="41"/>
      <c r="K371" s="45"/>
      <c r="L371" s="41"/>
      <c r="M371" s="41"/>
      <c r="N371" s="25"/>
      <c r="O371" s="25"/>
      <c r="P371" s="25"/>
      <c r="Q371" s="25"/>
      <c r="R371" s="25"/>
      <c r="S371" s="25"/>
      <c r="T371" s="25"/>
      <c r="U371" s="25"/>
      <c r="V371" s="25"/>
      <c r="W371" s="25"/>
    </row>
    <row r="372" spans="1:23" s="3" customFormat="1" ht="16.5" customHeight="1">
      <c r="A372" s="71"/>
      <c r="B372" s="180"/>
      <c r="C372" s="169"/>
      <c r="D372" s="51"/>
      <c r="E372" s="51"/>
      <c r="F372" s="51"/>
      <c r="G372" s="51"/>
      <c r="H372" s="52"/>
      <c r="I372" s="167"/>
      <c r="J372" s="41"/>
      <c r="K372" s="45"/>
      <c r="L372" s="41"/>
      <c r="M372" s="41"/>
      <c r="N372" s="25"/>
      <c r="O372" s="25"/>
      <c r="P372" s="25"/>
      <c r="Q372" s="25"/>
      <c r="R372" s="25"/>
      <c r="S372" s="25"/>
      <c r="T372" s="25"/>
      <c r="U372" s="25"/>
      <c r="V372" s="25"/>
      <c r="W372" s="25"/>
    </row>
    <row r="373" spans="1:23" s="3" customFormat="1" ht="16.5" customHeight="1">
      <c r="A373" s="834" t="s">
        <v>120</v>
      </c>
      <c r="B373" s="835"/>
      <c r="C373" s="835"/>
      <c r="D373" s="51"/>
      <c r="E373" s="51"/>
      <c r="F373" s="51"/>
      <c r="G373" s="51"/>
      <c r="H373" s="54">
        <f>H375+H377+H379</f>
        <v>239326</v>
      </c>
      <c r="I373" s="167"/>
      <c r="J373" s="41"/>
      <c r="K373" s="45"/>
      <c r="L373" s="41"/>
      <c r="M373" s="41"/>
      <c r="N373" s="25"/>
      <c r="O373" s="25"/>
      <c r="P373" s="25"/>
      <c r="Q373" s="25"/>
      <c r="R373" s="25"/>
      <c r="S373" s="25"/>
      <c r="T373" s="25"/>
      <c r="U373" s="25"/>
      <c r="V373" s="25"/>
      <c r="W373" s="25"/>
    </row>
    <row r="374" spans="1:23" s="3" customFormat="1" ht="16.5" customHeight="1">
      <c r="A374" s="71"/>
      <c r="B374" s="180" t="s">
        <v>351</v>
      </c>
      <c r="C374" s="169"/>
      <c r="D374" s="51"/>
      <c r="E374" s="51"/>
      <c r="F374" s="51"/>
      <c r="G374" s="51"/>
      <c r="H374" s="52"/>
      <c r="I374" s="167"/>
      <c r="J374" s="41"/>
      <c r="K374" s="45"/>
      <c r="L374" s="41"/>
      <c r="M374" s="41"/>
      <c r="N374" s="25"/>
      <c r="O374" s="25"/>
      <c r="P374" s="25"/>
      <c r="Q374" s="25"/>
      <c r="R374" s="25"/>
      <c r="S374" s="25"/>
      <c r="T374" s="25"/>
      <c r="U374" s="25"/>
      <c r="V374" s="25"/>
      <c r="W374" s="25"/>
    </row>
    <row r="375" spans="1:23" s="3" customFormat="1" ht="16.5" customHeight="1">
      <c r="A375" s="71"/>
      <c r="B375" s="180" t="s">
        <v>121</v>
      </c>
      <c r="C375" s="169"/>
      <c r="D375" s="51"/>
      <c r="E375" s="51"/>
      <c r="F375" s="51"/>
      <c r="G375" s="51"/>
      <c r="H375" s="52">
        <v>42000</v>
      </c>
      <c r="I375" s="167"/>
      <c r="J375" s="41"/>
      <c r="K375" s="45"/>
      <c r="L375" s="41"/>
      <c r="M375" s="41"/>
      <c r="N375" s="25"/>
      <c r="O375" s="25"/>
      <c r="P375" s="25"/>
      <c r="Q375" s="25"/>
      <c r="R375" s="25"/>
      <c r="S375" s="25"/>
      <c r="T375" s="25"/>
      <c r="U375" s="25"/>
      <c r="V375" s="25"/>
      <c r="W375" s="25"/>
    </row>
    <row r="376" spans="1:23" s="3" customFormat="1" ht="16.5" customHeight="1">
      <c r="A376" s="71"/>
      <c r="B376" s="180"/>
      <c r="C376" s="169"/>
      <c r="D376" s="51"/>
      <c r="E376" s="51"/>
      <c r="F376" s="51"/>
      <c r="G376" s="51"/>
      <c r="H376" s="52"/>
      <c r="I376" s="167"/>
      <c r="J376" s="41"/>
      <c r="K376" s="45"/>
      <c r="L376" s="41"/>
      <c r="M376" s="41"/>
      <c r="N376" s="25"/>
      <c r="O376" s="25"/>
      <c r="P376" s="25"/>
      <c r="Q376" s="25"/>
      <c r="R376" s="25"/>
      <c r="S376" s="25"/>
      <c r="T376" s="25"/>
      <c r="U376" s="25"/>
      <c r="V376" s="25"/>
      <c r="W376" s="25"/>
    </row>
    <row r="377" spans="1:23" s="3" customFormat="1" ht="16.5" customHeight="1">
      <c r="A377" s="71"/>
      <c r="B377" s="180" t="s">
        <v>122</v>
      </c>
      <c r="C377" s="169"/>
      <c r="D377" s="51"/>
      <c r="E377" s="51"/>
      <c r="F377" s="51"/>
      <c r="G377" s="51"/>
      <c r="H377" s="52">
        <v>12000</v>
      </c>
      <c r="I377" s="167"/>
      <c r="J377" s="41"/>
      <c r="K377" s="45"/>
      <c r="L377" s="41"/>
      <c r="M377" s="41"/>
      <c r="N377" s="25"/>
      <c r="O377" s="25"/>
      <c r="P377" s="25"/>
      <c r="Q377" s="25"/>
      <c r="R377" s="25"/>
      <c r="S377" s="25"/>
      <c r="T377" s="25"/>
      <c r="U377" s="25"/>
      <c r="V377" s="25"/>
      <c r="W377" s="25"/>
    </row>
    <row r="378" spans="1:23" s="3" customFormat="1" ht="16.5" customHeight="1">
      <c r="A378" s="71"/>
      <c r="B378" s="180"/>
      <c r="C378" s="169"/>
      <c r="D378" s="51"/>
      <c r="E378" s="51"/>
      <c r="F378" s="51"/>
      <c r="G378" s="51"/>
      <c r="H378" s="52"/>
      <c r="I378" s="167"/>
      <c r="J378" s="41"/>
      <c r="K378" s="45"/>
      <c r="L378" s="41"/>
      <c r="M378" s="41"/>
      <c r="N378" s="25"/>
      <c r="O378" s="25"/>
      <c r="P378" s="25"/>
      <c r="Q378" s="25"/>
      <c r="R378" s="25"/>
      <c r="S378" s="25"/>
      <c r="T378" s="25"/>
      <c r="U378" s="25"/>
      <c r="V378" s="25"/>
      <c r="W378" s="25"/>
    </row>
    <row r="379" spans="1:23" s="3" customFormat="1" ht="16.5" customHeight="1">
      <c r="A379" s="71"/>
      <c r="B379" s="180" t="s">
        <v>515</v>
      </c>
      <c r="C379" s="169"/>
      <c r="D379" s="51"/>
      <c r="E379" s="51"/>
      <c r="F379" s="51"/>
      <c r="G379" s="51"/>
      <c r="H379" s="52">
        <v>185326</v>
      </c>
      <c r="I379" s="167"/>
      <c r="J379" s="41"/>
      <c r="K379" s="45"/>
      <c r="L379" s="41"/>
      <c r="M379" s="41"/>
      <c r="N379" s="25"/>
      <c r="O379" s="25"/>
      <c r="P379" s="25"/>
      <c r="Q379" s="25"/>
      <c r="R379" s="25"/>
      <c r="S379" s="25"/>
      <c r="T379" s="25"/>
      <c r="U379" s="25"/>
      <c r="V379" s="25"/>
      <c r="W379" s="25"/>
    </row>
    <row r="380" spans="1:23" s="3" customFormat="1" ht="16.5" customHeight="1">
      <c r="A380" s="71"/>
      <c r="B380" s="180"/>
      <c r="C380" s="169"/>
      <c r="D380" s="51"/>
      <c r="E380" s="51"/>
      <c r="F380" s="51"/>
      <c r="G380" s="51"/>
      <c r="H380" s="52"/>
      <c r="I380" s="167"/>
      <c r="J380" s="41"/>
      <c r="K380" s="45"/>
      <c r="L380" s="41"/>
      <c r="M380" s="41"/>
      <c r="N380" s="25"/>
      <c r="O380" s="25"/>
      <c r="P380" s="25"/>
      <c r="Q380" s="25"/>
      <c r="R380" s="25"/>
      <c r="S380" s="25"/>
      <c r="T380" s="25"/>
      <c r="U380" s="25"/>
      <c r="V380" s="25"/>
      <c r="W380" s="25"/>
    </row>
    <row r="381" spans="1:23" s="3" customFormat="1" ht="16.5" customHeight="1">
      <c r="A381" s="834" t="s">
        <v>123</v>
      </c>
      <c r="B381" s="835"/>
      <c r="C381" s="835"/>
      <c r="D381" s="51"/>
      <c r="E381" s="51"/>
      <c r="F381" s="51"/>
      <c r="G381" s="51"/>
      <c r="H381" s="54">
        <f>H382</f>
        <v>70000</v>
      </c>
      <c r="I381" s="167"/>
      <c r="J381" s="41"/>
      <c r="K381" s="45"/>
      <c r="L381" s="41"/>
      <c r="M381" s="41"/>
      <c r="N381" s="25"/>
      <c r="O381" s="25"/>
      <c r="P381" s="25"/>
      <c r="Q381" s="25"/>
      <c r="R381" s="25"/>
      <c r="S381" s="25"/>
      <c r="T381" s="25"/>
      <c r="U381" s="25"/>
      <c r="V381" s="25"/>
      <c r="W381" s="25"/>
    </row>
    <row r="382" spans="1:23" s="3" customFormat="1" ht="16.5" customHeight="1">
      <c r="A382" s="71"/>
      <c r="B382" s="180" t="s">
        <v>138</v>
      </c>
      <c r="C382" s="169"/>
      <c r="D382" s="51"/>
      <c r="E382" s="51"/>
      <c r="F382" s="51"/>
      <c r="G382" s="51"/>
      <c r="H382" s="52">
        <v>70000</v>
      </c>
      <c r="I382" s="167"/>
      <c r="J382" s="41"/>
      <c r="K382" s="45"/>
      <c r="L382" s="41"/>
      <c r="M382" s="41"/>
      <c r="N382" s="25"/>
      <c r="O382" s="25"/>
      <c r="P382" s="25"/>
      <c r="Q382" s="25"/>
      <c r="R382" s="25"/>
      <c r="S382" s="25"/>
      <c r="T382" s="25"/>
      <c r="U382" s="25"/>
      <c r="V382" s="25"/>
      <c r="W382" s="25"/>
    </row>
    <row r="383" spans="1:23" s="3" customFormat="1" ht="16.5" customHeight="1">
      <c r="A383" s="71"/>
      <c r="B383" s="180"/>
      <c r="C383" s="169"/>
      <c r="D383" s="51"/>
      <c r="E383" s="51"/>
      <c r="F383" s="51"/>
      <c r="G383" s="51"/>
      <c r="H383" s="52"/>
      <c r="I383" s="167"/>
      <c r="J383" s="41"/>
      <c r="K383" s="45"/>
      <c r="L383" s="41"/>
      <c r="M383" s="41"/>
      <c r="N383" s="25"/>
      <c r="O383" s="25"/>
      <c r="P383" s="25"/>
      <c r="Q383" s="25"/>
      <c r="R383" s="25"/>
      <c r="S383" s="25"/>
      <c r="T383" s="25"/>
      <c r="U383" s="25"/>
      <c r="V383" s="25"/>
      <c r="W383" s="25"/>
    </row>
    <row r="384" spans="1:23" s="3" customFormat="1" ht="16.5" customHeight="1">
      <c r="A384" s="138" t="s">
        <v>125</v>
      </c>
      <c r="B384" s="120"/>
      <c r="C384" s="169"/>
      <c r="D384" s="51"/>
      <c r="E384" s="51"/>
      <c r="F384" s="51"/>
      <c r="G384" s="51"/>
      <c r="H384" s="25">
        <f>H387</f>
        <v>100000</v>
      </c>
      <c r="I384" s="167"/>
      <c r="J384" s="41"/>
      <c r="K384" s="45"/>
      <c r="L384" s="41"/>
      <c r="M384" s="41"/>
      <c r="N384" s="25"/>
      <c r="O384" s="25"/>
      <c r="P384" s="25"/>
      <c r="Q384" s="25"/>
      <c r="R384" s="25"/>
      <c r="S384" s="25"/>
      <c r="T384" s="25"/>
      <c r="U384" s="25"/>
      <c r="V384" s="25"/>
      <c r="W384" s="25"/>
    </row>
    <row r="385" spans="1:23" s="3" customFormat="1" ht="16.5" customHeight="1">
      <c r="A385" s="71" t="s">
        <v>351</v>
      </c>
      <c r="B385" s="169"/>
      <c r="C385" s="169"/>
      <c r="D385" s="51"/>
      <c r="E385" s="51"/>
      <c r="F385" s="51"/>
      <c r="G385" s="51"/>
      <c r="H385" s="52"/>
      <c r="I385" s="167"/>
      <c r="J385" s="41"/>
      <c r="K385" s="45"/>
      <c r="L385" s="41"/>
      <c r="M385" s="41"/>
      <c r="N385" s="25"/>
      <c r="O385" s="25"/>
      <c r="P385" s="25"/>
      <c r="Q385" s="25"/>
      <c r="R385" s="25"/>
      <c r="S385" s="25"/>
      <c r="T385" s="25"/>
      <c r="U385" s="25"/>
      <c r="V385" s="25"/>
      <c r="W385" s="25"/>
    </row>
    <row r="386" spans="1:23" s="3" customFormat="1" ht="16.5" customHeight="1">
      <c r="A386" s="71"/>
      <c r="B386" s="180" t="s">
        <v>126</v>
      </c>
      <c r="C386" s="169"/>
      <c r="D386" s="51"/>
      <c r="E386" s="51"/>
      <c r="F386" s="51"/>
      <c r="G386" s="51"/>
      <c r="H386" s="52"/>
      <c r="I386" s="167"/>
      <c r="J386" s="41"/>
      <c r="K386" s="45"/>
      <c r="L386" s="41"/>
      <c r="M386" s="41"/>
      <c r="N386" s="25"/>
      <c r="O386" s="25"/>
      <c r="P386" s="25"/>
      <c r="Q386" s="25"/>
      <c r="R386" s="25"/>
      <c r="S386" s="25"/>
      <c r="T386" s="25"/>
      <c r="U386" s="25"/>
      <c r="V386" s="25"/>
      <c r="W386" s="25"/>
    </row>
    <row r="387" spans="1:23" s="3" customFormat="1" ht="16.5" customHeight="1">
      <c r="A387" s="71"/>
      <c r="B387" s="180" t="s">
        <v>127</v>
      </c>
      <c r="C387" s="169"/>
      <c r="D387" s="51"/>
      <c r="E387" s="51"/>
      <c r="F387" s="51"/>
      <c r="G387" s="51"/>
      <c r="H387" s="52">
        <v>100000</v>
      </c>
      <c r="I387" s="167"/>
      <c r="J387" s="41"/>
      <c r="K387" s="45"/>
      <c r="L387" s="41"/>
      <c r="M387" s="41"/>
      <c r="N387" s="25"/>
      <c r="O387" s="25"/>
      <c r="P387" s="25"/>
      <c r="Q387" s="25"/>
      <c r="R387" s="25"/>
      <c r="S387" s="25"/>
      <c r="T387" s="25"/>
      <c r="U387" s="25"/>
      <c r="V387" s="25"/>
      <c r="W387" s="25"/>
    </row>
    <row r="388" spans="1:23" s="3" customFormat="1" ht="16.5" customHeight="1">
      <c r="A388" s="71"/>
      <c r="B388" s="180"/>
      <c r="C388" s="169"/>
      <c r="D388" s="51"/>
      <c r="E388" s="51"/>
      <c r="F388" s="51"/>
      <c r="G388" s="51"/>
      <c r="H388" s="52"/>
      <c r="I388" s="167"/>
      <c r="J388" s="41"/>
      <c r="K388" s="45"/>
      <c r="L388" s="41"/>
      <c r="M388" s="41"/>
      <c r="N388" s="25"/>
      <c r="O388" s="25"/>
      <c r="P388" s="25"/>
      <c r="Q388" s="25"/>
      <c r="R388" s="25"/>
      <c r="S388" s="25"/>
      <c r="T388" s="25"/>
      <c r="U388" s="25"/>
      <c r="V388" s="25"/>
      <c r="W388" s="25"/>
    </row>
    <row r="389" spans="1:23" s="3" customFormat="1" ht="16.5" customHeight="1">
      <c r="A389" s="138" t="s">
        <v>201</v>
      </c>
      <c r="B389" s="180"/>
      <c r="C389" s="169"/>
      <c r="D389" s="51"/>
      <c r="E389" s="51"/>
      <c r="F389" s="51"/>
      <c r="G389" s="51"/>
      <c r="H389" s="25">
        <f>+H391+H395+H403</f>
        <v>690000</v>
      </c>
      <c r="I389" s="167"/>
      <c r="J389" s="41"/>
      <c r="K389" s="45"/>
      <c r="L389" s="41"/>
      <c r="M389" s="41"/>
      <c r="N389" s="25"/>
      <c r="O389" s="25"/>
      <c r="P389" s="25"/>
      <c r="Q389" s="25"/>
      <c r="R389" s="25"/>
      <c r="S389" s="25"/>
      <c r="T389" s="25"/>
      <c r="U389" s="25"/>
      <c r="V389" s="25"/>
      <c r="W389" s="25"/>
    </row>
    <row r="390" spans="1:23" s="3" customFormat="1" ht="16.5" customHeight="1">
      <c r="A390" s="71" t="s">
        <v>351</v>
      </c>
      <c r="B390" s="188"/>
      <c r="C390" s="189"/>
      <c r="D390" s="22"/>
      <c r="E390" s="16"/>
      <c r="F390" s="27"/>
      <c r="G390" s="27"/>
      <c r="H390" s="52"/>
      <c r="I390" s="167"/>
      <c r="J390" s="41"/>
      <c r="K390" s="45"/>
      <c r="L390" s="41"/>
      <c r="M390" s="41"/>
      <c r="N390" s="25"/>
      <c r="O390" s="25"/>
      <c r="P390" s="25"/>
      <c r="Q390" s="25"/>
      <c r="R390" s="25"/>
      <c r="S390" s="25"/>
      <c r="T390" s="25"/>
      <c r="U390" s="25"/>
      <c r="V390" s="25"/>
      <c r="W390" s="25"/>
    </row>
    <row r="391" spans="1:23" s="3" customFormat="1" ht="16.5" customHeight="1">
      <c r="A391" s="138" t="s">
        <v>146</v>
      </c>
      <c r="B391" s="188"/>
      <c r="C391" s="189"/>
      <c r="D391" s="22"/>
      <c r="E391" s="16"/>
      <c r="F391" s="27"/>
      <c r="G391" s="27"/>
      <c r="H391" s="25">
        <f>H393</f>
        <v>50000</v>
      </c>
      <c r="I391" s="167"/>
      <c r="J391" s="41"/>
      <c r="K391" s="45"/>
      <c r="L391" s="41"/>
      <c r="M391" s="41"/>
      <c r="N391" s="25"/>
      <c r="O391" s="25"/>
      <c r="P391" s="25"/>
      <c r="Q391" s="25"/>
      <c r="R391" s="25"/>
      <c r="S391" s="25"/>
      <c r="T391" s="25"/>
      <c r="U391" s="25"/>
      <c r="V391" s="25"/>
      <c r="W391" s="25"/>
    </row>
    <row r="392" spans="1:23" s="3" customFormat="1" ht="16.5" customHeight="1">
      <c r="A392" s="71"/>
      <c r="B392" s="188" t="s">
        <v>35</v>
      </c>
      <c r="C392" s="189"/>
      <c r="D392" s="22"/>
      <c r="E392" s="16"/>
      <c r="F392" s="27"/>
      <c r="G392" s="27"/>
      <c r="H392" s="52"/>
      <c r="I392" s="167"/>
      <c r="J392" s="41"/>
      <c r="K392" s="45"/>
      <c r="L392" s="41"/>
      <c r="M392" s="41"/>
      <c r="N392" s="25"/>
      <c r="O392" s="25"/>
      <c r="P392" s="25"/>
      <c r="Q392" s="25"/>
      <c r="R392" s="25"/>
      <c r="S392" s="25"/>
      <c r="T392" s="25"/>
      <c r="U392" s="25"/>
      <c r="V392" s="25"/>
      <c r="W392" s="25"/>
    </row>
    <row r="393" spans="1:23" s="3" customFormat="1" ht="16.5" customHeight="1">
      <c r="A393" s="71"/>
      <c r="B393" s="188" t="s">
        <v>36</v>
      </c>
      <c r="C393" s="189"/>
      <c r="D393" s="22"/>
      <c r="E393" s="16"/>
      <c r="F393" s="27"/>
      <c r="G393" s="27"/>
      <c r="H393" s="52">
        <v>50000</v>
      </c>
      <c r="I393" s="167"/>
      <c r="J393" s="41"/>
      <c r="K393" s="45"/>
      <c r="L393" s="41"/>
      <c r="M393" s="41"/>
      <c r="N393" s="25"/>
      <c r="O393" s="25"/>
      <c r="P393" s="25"/>
      <c r="Q393" s="25"/>
      <c r="R393" s="25"/>
      <c r="S393" s="25"/>
      <c r="T393" s="25"/>
      <c r="U393" s="25"/>
      <c r="V393" s="25"/>
      <c r="W393" s="25"/>
    </row>
    <row r="394" spans="1:23" s="3" customFormat="1" ht="16.5" customHeight="1">
      <c r="A394" s="71"/>
      <c r="B394" s="188"/>
      <c r="C394" s="189"/>
      <c r="D394" s="22"/>
      <c r="E394" s="16"/>
      <c r="F394" s="27"/>
      <c r="G394" s="27"/>
      <c r="H394" s="52"/>
      <c r="I394" s="167"/>
      <c r="J394" s="41"/>
      <c r="K394" s="45"/>
      <c r="L394" s="41"/>
      <c r="M394" s="41"/>
      <c r="N394" s="25"/>
      <c r="O394" s="25"/>
      <c r="P394" s="25"/>
      <c r="Q394" s="25"/>
      <c r="R394" s="25"/>
      <c r="S394" s="25"/>
      <c r="T394" s="25"/>
      <c r="U394" s="25"/>
      <c r="V394" s="25"/>
      <c r="W394" s="25"/>
    </row>
    <row r="395" spans="1:23" s="3" customFormat="1" ht="16.5" customHeight="1">
      <c r="A395" s="138" t="s">
        <v>306</v>
      </c>
      <c r="B395" s="188"/>
      <c r="C395" s="189"/>
      <c r="D395" s="22"/>
      <c r="E395" s="16"/>
      <c r="F395" s="27"/>
      <c r="G395" s="27"/>
      <c r="H395" s="25">
        <f>H396+H399+H401</f>
        <v>440000</v>
      </c>
      <c r="I395" s="167"/>
      <c r="J395" s="41"/>
      <c r="K395" s="45"/>
      <c r="L395" s="41"/>
      <c r="M395" s="41"/>
      <c r="N395" s="25"/>
      <c r="O395" s="25"/>
      <c r="P395" s="25"/>
      <c r="Q395" s="25"/>
      <c r="R395" s="25"/>
      <c r="S395" s="25"/>
      <c r="T395" s="25"/>
      <c r="U395" s="25"/>
      <c r="V395" s="25"/>
      <c r="W395" s="25"/>
    </row>
    <row r="396" spans="1:23" s="3" customFormat="1" ht="16.5" customHeight="1">
      <c r="A396" s="138"/>
      <c r="B396" s="188" t="s">
        <v>307</v>
      </c>
      <c r="C396" s="189"/>
      <c r="D396" s="22"/>
      <c r="E396" s="16"/>
      <c r="F396" s="27"/>
      <c r="G396" s="27"/>
      <c r="H396" s="52">
        <v>50000</v>
      </c>
      <c r="I396" s="167"/>
      <c r="J396" s="41"/>
      <c r="K396" s="45"/>
      <c r="L396" s="41"/>
      <c r="M396" s="41"/>
      <c r="N396" s="25"/>
      <c r="O396" s="25"/>
      <c r="P396" s="25"/>
      <c r="Q396" s="25"/>
      <c r="R396" s="25"/>
      <c r="S396" s="25"/>
      <c r="T396" s="25"/>
      <c r="U396" s="25"/>
      <c r="V396" s="25"/>
      <c r="W396" s="25"/>
    </row>
    <row r="397" spans="1:23" s="3" customFormat="1" ht="16.5" customHeight="1">
      <c r="A397" s="138"/>
      <c r="B397" s="188"/>
      <c r="C397" s="189"/>
      <c r="D397" s="22"/>
      <c r="E397" s="16"/>
      <c r="F397" s="27"/>
      <c r="G397" s="27"/>
      <c r="H397" s="52"/>
      <c r="I397" s="167"/>
      <c r="J397" s="41"/>
      <c r="K397" s="45"/>
      <c r="L397" s="41"/>
      <c r="M397" s="41"/>
      <c r="N397" s="25"/>
      <c r="O397" s="25"/>
      <c r="P397" s="25"/>
      <c r="Q397" s="25"/>
      <c r="R397" s="25"/>
      <c r="S397" s="25"/>
      <c r="T397" s="25"/>
      <c r="U397" s="25"/>
      <c r="V397" s="25"/>
      <c r="W397" s="25"/>
    </row>
    <row r="398" spans="1:23" s="3" customFormat="1" ht="16.5" customHeight="1">
      <c r="A398" s="71"/>
      <c r="B398" s="180" t="s">
        <v>199</v>
      </c>
      <c r="C398" s="169"/>
      <c r="D398" s="51"/>
      <c r="E398" s="51"/>
      <c r="F398" s="51"/>
      <c r="G398" s="51"/>
      <c r="H398" s="52"/>
      <c r="I398" s="167"/>
      <c r="J398" s="41"/>
      <c r="K398" s="45"/>
      <c r="L398" s="41"/>
      <c r="M398" s="41"/>
      <c r="N398" s="25"/>
      <c r="O398" s="25"/>
      <c r="P398" s="25"/>
      <c r="Q398" s="25"/>
      <c r="R398" s="25"/>
      <c r="S398" s="25"/>
      <c r="T398" s="25"/>
      <c r="U398" s="25"/>
      <c r="V398" s="25"/>
      <c r="W398" s="25"/>
    </row>
    <row r="399" spans="1:23" s="3" customFormat="1" ht="16.5" customHeight="1">
      <c r="A399" s="71"/>
      <c r="B399" s="180" t="s">
        <v>200</v>
      </c>
      <c r="C399" s="169"/>
      <c r="D399" s="51"/>
      <c r="E399" s="51"/>
      <c r="F399" s="51"/>
      <c r="G399" s="51"/>
      <c r="H399" s="52">
        <v>150000</v>
      </c>
      <c r="I399" s="167"/>
      <c r="J399" s="41"/>
      <c r="K399" s="45"/>
      <c r="L399" s="41"/>
      <c r="M399" s="41"/>
      <c r="N399" s="25"/>
      <c r="O399" s="25"/>
      <c r="P399" s="25"/>
      <c r="Q399" s="25"/>
      <c r="R399" s="25"/>
      <c r="S399" s="25"/>
      <c r="T399" s="25"/>
      <c r="U399" s="25"/>
      <c r="V399" s="25"/>
      <c r="W399" s="25"/>
    </row>
    <row r="400" spans="1:23" s="3" customFormat="1" ht="16.5" customHeight="1">
      <c r="A400" s="71"/>
      <c r="B400" s="180"/>
      <c r="C400" s="169"/>
      <c r="D400" s="51"/>
      <c r="E400" s="51"/>
      <c r="F400" s="51"/>
      <c r="G400" s="51"/>
      <c r="H400" s="52"/>
      <c r="I400" s="167"/>
      <c r="J400" s="41"/>
      <c r="K400" s="45"/>
      <c r="L400" s="41"/>
      <c r="M400" s="41"/>
      <c r="N400" s="25"/>
      <c r="O400" s="25"/>
      <c r="P400" s="25"/>
      <c r="Q400" s="25"/>
      <c r="R400" s="25"/>
      <c r="S400" s="25"/>
      <c r="T400" s="25"/>
      <c r="U400" s="25"/>
      <c r="V400" s="25"/>
      <c r="W400" s="25"/>
    </row>
    <row r="401" spans="1:23" s="3" customFormat="1" ht="16.5" customHeight="1">
      <c r="A401" s="71"/>
      <c r="B401" s="180" t="s">
        <v>555</v>
      </c>
      <c r="C401" s="169"/>
      <c r="D401" s="51"/>
      <c r="E401" s="51"/>
      <c r="F401" s="51"/>
      <c r="G401" s="51"/>
      <c r="H401" s="52">
        <v>240000</v>
      </c>
      <c r="I401" s="167"/>
      <c r="J401" s="41"/>
      <c r="K401" s="45"/>
      <c r="L401" s="41"/>
      <c r="M401" s="41"/>
      <c r="N401" s="25"/>
      <c r="O401" s="25"/>
      <c r="P401" s="25"/>
      <c r="Q401" s="25"/>
      <c r="R401" s="25"/>
      <c r="S401" s="25"/>
      <c r="T401" s="25"/>
      <c r="U401" s="25"/>
      <c r="V401" s="25"/>
      <c r="W401" s="25"/>
    </row>
    <row r="402" spans="1:23" s="3" customFormat="1" ht="16.5" customHeight="1">
      <c r="A402" s="138"/>
      <c r="B402" s="188"/>
      <c r="C402" s="189"/>
      <c r="D402" s="22"/>
      <c r="E402" s="16"/>
      <c r="F402" s="27"/>
      <c r="G402" s="27"/>
      <c r="H402" s="52"/>
      <c r="I402" s="167"/>
      <c r="J402" s="41"/>
      <c r="K402" s="45"/>
      <c r="L402" s="41"/>
      <c r="M402" s="41"/>
      <c r="N402" s="25"/>
      <c r="O402" s="25"/>
      <c r="P402" s="25"/>
      <c r="Q402" s="25"/>
      <c r="R402" s="25"/>
      <c r="S402" s="25"/>
      <c r="T402" s="25"/>
      <c r="U402" s="25"/>
      <c r="V402" s="25"/>
      <c r="W402" s="25"/>
    </row>
    <row r="403" spans="1:23" s="3" customFormat="1" ht="16.5" customHeight="1">
      <c r="A403" s="138" t="s">
        <v>128</v>
      </c>
      <c r="B403" s="188"/>
      <c r="C403" s="189"/>
      <c r="D403" s="22"/>
      <c r="E403" s="16"/>
      <c r="F403" s="27"/>
      <c r="G403" s="27"/>
      <c r="H403" s="25">
        <f>H405+H408</f>
        <v>200000</v>
      </c>
      <c r="I403" s="167"/>
      <c r="J403" s="41"/>
      <c r="K403" s="45"/>
      <c r="L403" s="41"/>
      <c r="M403" s="41"/>
      <c r="N403" s="25"/>
      <c r="O403" s="25"/>
      <c r="P403" s="25"/>
      <c r="Q403" s="25"/>
      <c r="R403" s="25"/>
      <c r="S403" s="25"/>
      <c r="T403" s="25"/>
      <c r="U403" s="25"/>
      <c r="V403" s="25"/>
      <c r="W403" s="25"/>
    </row>
    <row r="404" spans="1:23" s="3" customFormat="1" ht="16.5" customHeight="1">
      <c r="A404" s="138"/>
      <c r="B404" s="188" t="s">
        <v>351</v>
      </c>
      <c r="C404" s="189"/>
      <c r="D404" s="22"/>
      <c r="E404" s="16"/>
      <c r="F404" s="27"/>
      <c r="G404" s="27"/>
      <c r="H404" s="52"/>
      <c r="I404" s="167"/>
      <c r="J404" s="41"/>
      <c r="K404" s="45"/>
      <c r="L404" s="41"/>
      <c r="M404" s="41"/>
      <c r="N404" s="25"/>
      <c r="O404" s="25"/>
      <c r="P404" s="25"/>
      <c r="Q404" s="25"/>
      <c r="R404" s="25"/>
      <c r="S404" s="25"/>
      <c r="T404" s="25"/>
      <c r="U404" s="25"/>
      <c r="V404" s="25"/>
      <c r="W404" s="25"/>
    </row>
    <row r="405" spans="1:23" s="3" customFormat="1" ht="16.5" customHeight="1">
      <c r="A405" s="71"/>
      <c r="B405" s="834" t="s">
        <v>117</v>
      </c>
      <c r="C405" s="169"/>
      <c r="D405" s="22"/>
      <c r="E405" s="16"/>
      <c r="F405" s="27"/>
      <c r="G405" s="27"/>
      <c r="H405" s="54">
        <f>H406</f>
        <v>100000</v>
      </c>
      <c r="I405" s="167"/>
      <c r="J405" s="41"/>
      <c r="K405" s="45"/>
      <c r="L405" s="41"/>
      <c r="M405" s="41"/>
      <c r="N405" s="25"/>
      <c r="O405" s="25"/>
      <c r="P405" s="25"/>
      <c r="Q405" s="25"/>
      <c r="R405" s="25"/>
      <c r="S405" s="25"/>
      <c r="T405" s="25"/>
      <c r="U405" s="25"/>
      <c r="V405" s="25"/>
      <c r="W405" s="25"/>
    </row>
    <row r="406" spans="1:23" s="3" customFormat="1" ht="16.5" customHeight="1">
      <c r="A406" s="138"/>
      <c r="B406" s="188" t="s">
        <v>129</v>
      </c>
      <c r="C406" s="189"/>
      <c r="D406" s="22"/>
      <c r="E406" s="16"/>
      <c r="F406" s="27"/>
      <c r="G406" s="27"/>
      <c r="H406" s="52">
        <v>100000</v>
      </c>
      <c r="I406" s="167"/>
      <c r="J406" s="41"/>
      <c r="K406" s="45"/>
      <c r="L406" s="41"/>
      <c r="M406" s="41"/>
      <c r="N406" s="25"/>
      <c r="O406" s="25"/>
      <c r="P406" s="25"/>
      <c r="Q406" s="25"/>
      <c r="R406" s="25"/>
      <c r="S406" s="25"/>
      <c r="T406" s="25"/>
      <c r="U406" s="25"/>
      <c r="V406" s="25"/>
      <c r="W406" s="25"/>
    </row>
    <row r="407" spans="1:23" s="3" customFormat="1" ht="16.5" customHeight="1">
      <c r="A407" s="138"/>
      <c r="B407" s="188"/>
      <c r="C407" s="189"/>
      <c r="D407" s="22"/>
      <c r="E407" s="16"/>
      <c r="F407" s="27"/>
      <c r="G407" s="27"/>
      <c r="H407" s="52"/>
      <c r="I407" s="167"/>
      <c r="J407" s="41"/>
      <c r="K407" s="45"/>
      <c r="L407" s="41"/>
      <c r="M407" s="41"/>
      <c r="N407" s="25"/>
      <c r="O407" s="25"/>
      <c r="P407" s="25"/>
      <c r="Q407" s="25"/>
      <c r="R407" s="25"/>
      <c r="S407" s="25"/>
      <c r="T407" s="25"/>
      <c r="U407" s="25"/>
      <c r="V407" s="25"/>
      <c r="W407" s="25"/>
    </row>
    <row r="408" spans="1:23" s="3" customFormat="1" ht="16.5" customHeight="1">
      <c r="A408" s="71"/>
      <c r="B408" s="834" t="s">
        <v>130</v>
      </c>
      <c r="C408" s="189"/>
      <c r="D408" s="22"/>
      <c r="E408" s="16"/>
      <c r="F408" s="27"/>
      <c r="G408" s="27"/>
      <c r="H408" s="54">
        <f>H410</f>
        <v>100000</v>
      </c>
      <c r="I408" s="167"/>
      <c r="J408" s="41"/>
      <c r="K408" s="45"/>
      <c r="L408" s="41"/>
      <c r="M408" s="41"/>
      <c r="N408" s="25"/>
      <c r="O408" s="25"/>
      <c r="P408" s="25"/>
      <c r="Q408" s="25"/>
      <c r="R408" s="25"/>
      <c r="S408" s="25"/>
      <c r="T408" s="25"/>
      <c r="U408" s="25"/>
      <c r="V408" s="25"/>
      <c r="W408" s="25"/>
    </row>
    <row r="409" spans="1:23" s="3" customFormat="1" ht="16.5" customHeight="1">
      <c r="A409" s="138"/>
      <c r="B409" s="188" t="s">
        <v>131</v>
      </c>
      <c r="C409" s="189"/>
      <c r="D409" s="22"/>
      <c r="E409" s="16"/>
      <c r="F409" s="27"/>
      <c r="G409" s="27"/>
      <c r="H409" s="52"/>
      <c r="I409" s="167"/>
      <c r="J409" s="41"/>
      <c r="K409" s="45"/>
      <c r="L409" s="41"/>
      <c r="M409" s="41"/>
      <c r="N409" s="25"/>
      <c r="O409" s="25"/>
      <c r="P409" s="25"/>
      <c r="Q409" s="25"/>
      <c r="R409" s="25"/>
      <c r="S409" s="25"/>
      <c r="T409" s="25"/>
      <c r="U409" s="25"/>
      <c r="V409" s="25"/>
      <c r="W409" s="25"/>
    </row>
    <row r="410" spans="1:23" s="3" customFormat="1" ht="16.5" customHeight="1">
      <c r="A410" s="71"/>
      <c r="B410" s="188" t="s">
        <v>132</v>
      </c>
      <c r="C410" s="169"/>
      <c r="D410" s="51"/>
      <c r="E410" s="51"/>
      <c r="F410" s="51"/>
      <c r="G410" s="51"/>
      <c r="H410" s="52">
        <v>100000</v>
      </c>
      <c r="I410" s="167"/>
      <c r="J410" s="41"/>
      <c r="K410" s="45"/>
      <c r="L410" s="41"/>
      <c r="M410" s="41"/>
      <c r="N410" s="25"/>
      <c r="O410" s="25"/>
      <c r="P410" s="25"/>
      <c r="Q410" s="25"/>
      <c r="R410" s="25"/>
      <c r="S410" s="25"/>
      <c r="T410" s="25"/>
      <c r="U410" s="25"/>
      <c r="V410" s="25"/>
      <c r="W410" s="25"/>
    </row>
    <row r="411" spans="1:23" s="3" customFormat="1" ht="16.5" customHeight="1">
      <c r="A411" s="71"/>
      <c r="B411" s="188"/>
      <c r="C411" s="169"/>
      <c r="D411" s="51"/>
      <c r="E411" s="51"/>
      <c r="F411" s="51"/>
      <c r="G411" s="51"/>
      <c r="H411" s="52"/>
      <c r="I411" s="167"/>
      <c r="J411" s="41"/>
      <c r="K411" s="45"/>
      <c r="L411" s="41"/>
      <c r="M411" s="41"/>
      <c r="N411" s="25"/>
      <c r="O411" s="25"/>
      <c r="P411" s="25"/>
      <c r="Q411" s="25"/>
      <c r="R411" s="25"/>
      <c r="S411" s="25"/>
      <c r="T411" s="25"/>
      <c r="U411" s="25"/>
      <c r="V411" s="25"/>
      <c r="W411" s="25"/>
    </row>
    <row r="412" spans="1:23" s="3" customFormat="1" ht="16.5" customHeight="1">
      <c r="A412" s="138" t="s">
        <v>42</v>
      </c>
      <c r="B412" s="188"/>
      <c r="C412" s="169"/>
      <c r="D412" s="51"/>
      <c r="E412" s="51"/>
      <c r="F412" s="51"/>
      <c r="G412" s="51"/>
      <c r="H412" s="25">
        <f>H415</f>
        <v>340000</v>
      </c>
      <c r="I412" s="167"/>
      <c r="J412" s="41"/>
      <c r="K412" s="45"/>
      <c r="L412" s="41"/>
      <c r="M412" s="41"/>
      <c r="N412" s="25"/>
      <c r="O412" s="25"/>
      <c r="P412" s="25"/>
      <c r="Q412" s="25"/>
      <c r="R412" s="25"/>
      <c r="S412" s="25"/>
      <c r="T412" s="25"/>
      <c r="U412" s="25"/>
      <c r="V412" s="25"/>
      <c r="W412" s="25"/>
    </row>
    <row r="413" spans="1:23" s="3" customFormat="1" ht="16.5" customHeight="1">
      <c r="A413" s="71" t="s">
        <v>351</v>
      </c>
      <c r="B413" s="188"/>
      <c r="C413" s="169"/>
      <c r="D413" s="51"/>
      <c r="E413" s="51"/>
      <c r="F413" s="51"/>
      <c r="G413" s="51"/>
      <c r="H413" s="52"/>
      <c r="I413" s="167"/>
      <c r="J413" s="41"/>
      <c r="K413" s="45"/>
      <c r="L413" s="41"/>
      <c r="M413" s="41"/>
      <c r="N413" s="25"/>
      <c r="O413" s="25"/>
      <c r="P413" s="25"/>
      <c r="Q413" s="25"/>
      <c r="R413" s="25"/>
      <c r="S413" s="25"/>
      <c r="T413" s="25"/>
      <c r="U413" s="25"/>
      <c r="V413" s="25"/>
      <c r="W413" s="25"/>
    </row>
    <row r="414" spans="1:23" s="3" customFormat="1" ht="16.5" customHeight="1">
      <c r="A414" s="71"/>
      <c r="B414" s="188" t="s">
        <v>133</v>
      </c>
      <c r="C414" s="169"/>
      <c r="D414" s="51"/>
      <c r="E414" s="51"/>
      <c r="F414" s="51"/>
      <c r="G414" s="51"/>
      <c r="H414" s="52"/>
      <c r="I414" s="167"/>
      <c r="J414" s="41"/>
      <c r="K414" s="45"/>
      <c r="L414" s="41"/>
      <c r="M414" s="41"/>
      <c r="N414" s="25"/>
      <c r="O414" s="25"/>
      <c r="P414" s="25"/>
      <c r="Q414" s="25"/>
      <c r="R414" s="25"/>
      <c r="S414" s="25"/>
      <c r="T414" s="25"/>
      <c r="U414" s="25"/>
      <c r="V414" s="25"/>
      <c r="W414" s="25"/>
    </row>
    <row r="415" spans="1:23" s="3" customFormat="1" ht="16.5" customHeight="1">
      <c r="A415" s="71"/>
      <c r="B415" s="188" t="s">
        <v>134</v>
      </c>
      <c r="C415" s="169"/>
      <c r="D415" s="51"/>
      <c r="E415" s="51"/>
      <c r="F415" s="51"/>
      <c r="G415" s="51"/>
      <c r="H415" s="52">
        <v>340000</v>
      </c>
      <c r="I415" s="167"/>
      <c r="J415" s="41"/>
      <c r="K415" s="45"/>
      <c r="L415" s="41"/>
      <c r="M415" s="41"/>
      <c r="N415" s="25"/>
      <c r="O415" s="25"/>
      <c r="P415" s="25"/>
      <c r="Q415" s="25"/>
      <c r="R415" s="25"/>
      <c r="S415" s="25"/>
      <c r="T415" s="25"/>
      <c r="U415" s="25"/>
      <c r="V415" s="25"/>
      <c r="W415" s="25"/>
    </row>
    <row r="416" spans="1:23" s="3" customFormat="1" ht="16.5" customHeight="1">
      <c r="A416" s="71"/>
      <c r="B416" s="188"/>
      <c r="C416" s="169"/>
      <c r="D416" s="51"/>
      <c r="E416" s="51"/>
      <c r="F416" s="51"/>
      <c r="G416" s="51"/>
      <c r="H416" s="52"/>
      <c r="I416" s="167"/>
      <c r="J416" s="41"/>
      <c r="K416" s="45"/>
      <c r="L416" s="41"/>
      <c r="M416" s="41"/>
      <c r="N416" s="25"/>
      <c r="O416" s="25"/>
      <c r="P416" s="25"/>
      <c r="Q416" s="25"/>
      <c r="R416" s="25"/>
      <c r="S416" s="25"/>
      <c r="T416" s="25"/>
      <c r="U416" s="25"/>
      <c r="V416" s="25"/>
      <c r="W416" s="25"/>
    </row>
    <row r="417" spans="1:23" s="3" customFormat="1" ht="16.5" customHeight="1">
      <c r="A417" s="71"/>
      <c r="B417" s="188"/>
      <c r="C417" s="169"/>
      <c r="D417" s="51"/>
      <c r="E417" s="51"/>
      <c r="F417" s="51"/>
      <c r="G417" s="51"/>
      <c r="H417" s="52"/>
      <c r="I417" s="167"/>
      <c r="J417" s="41"/>
      <c r="K417" s="45"/>
      <c r="L417" s="41"/>
      <c r="M417" s="41"/>
      <c r="N417" s="25"/>
      <c r="O417" s="25"/>
      <c r="P417" s="25"/>
      <c r="Q417" s="25"/>
      <c r="R417" s="25"/>
      <c r="S417" s="25"/>
      <c r="T417" s="25"/>
      <c r="U417" s="25"/>
      <c r="V417" s="25"/>
      <c r="W417" s="25"/>
    </row>
    <row r="418" spans="1:23" s="3" customFormat="1" ht="21.75" customHeight="1">
      <c r="A418" s="184" t="s">
        <v>648</v>
      </c>
      <c r="B418" s="185"/>
      <c r="C418" s="169"/>
      <c r="D418" s="51"/>
      <c r="E418" s="51"/>
      <c r="F418" s="51"/>
      <c r="G418" s="51"/>
      <c r="H418" s="52"/>
      <c r="I418" s="167"/>
      <c r="J418" s="53"/>
      <c r="K418" s="45"/>
      <c r="L418" s="53"/>
      <c r="M418" s="53"/>
      <c r="N418" s="52"/>
      <c r="O418" s="52"/>
      <c r="P418" s="52"/>
      <c r="Q418" s="52"/>
      <c r="R418" s="52"/>
      <c r="S418" s="52"/>
      <c r="T418" s="52"/>
      <c r="U418" s="52"/>
      <c r="V418" s="52"/>
      <c r="W418" s="52"/>
    </row>
    <row r="419" spans="1:23" s="3" customFormat="1" ht="15" customHeight="1">
      <c r="A419" s="71"/>
      <c r="B419" s="169"/>
      <c r="C419" s="169"/>
      <c r="D419" s="51"/>
      <c r="E419" s="51"/>
      <c r="F419" s="51"/>
      <c r="G419" s="51"/>
      <c r="H419" s="52"/>
      <c r="I419" s="167"/>
      <c r="J419" s="53"/>
      <c r="K419" s="45"/>
      <c r="L419" s="53"/>
      <c r="M419" s="53"/>
      <c r="N419" s="52"/>
      <c r="O419" s="52"/>
      <c r="P419" s="52"/>
      <c r="Q419" s="52"/>
      <c r="R419" s="52"/>
      <c r="S419" s="52"/>
      <c r="T419" s="52"/>
      <c r="U419" s="52"/>
      <c r="V419" s="52"/>
      <c r="W419" s="52"/>
    </row>
    <row r="420" spans="1:23" s="3" customFormat="1" ht="15" customHeight="1">
      <c r="A420" s="71"/>
      <c r="B420" s="169"/>
      <c r="C420" s="169"/>
      <c r="D420" s="51"/>
      <c r="E420" s="51"/>
      <c r="F420" s="51"/>
      <c r="G420" s="51"/>
      <c r="H420" s="52"/>
      <c r="I420" s="167"/>
      <c r="J420" s="53"/>
      <c r="K420" s="45"/>
      <c r="L420" s="53"/>
      <c r="M420" s="53"/>
      <c r="N420" s="52"/>
      <c r="O420" s="52"/>
      <c r="P420" s="52"/>
      <c r="Q420" s="52"/>
      <c r="R420" s="52"/>
      <c r="S420" s="52"/>
      <c r="T420" s="52"/>
      <c r="U420" s="52"/>
      <c r="V420" s="52"/>
      <c r="W420" s="52"/>
    </row>
    <row r="421" spans="1:23" s="3" customFormat="1" ht="15" customHeight="1">
      <c r="A421" s="186" t="s">
        <v>362</v>
      </c>
      <c r="B421" s="185"/>
      <c r="C421" s="187"/>
      <c r="D421" s="51"/>
      <c r="E421" s="51"/>
      <c r="F421" s="51"/>
      <c r="G421" s="51"/>
      <c r="H421" s="25">
        <f>H423+H427+H431</f>
        <v>995000</v>
      </c>
      <c r="I421" s="167"/>
      <c r="J421" s="53"/>
      <c r="K421" s="45"/>
      <c r="L421" s="53"/>
      <c r="M421" s="53"/>
      <c r="N421" s="52"/>
      <c r="O421" s="52"/>
      <c r="P421" s="52"/>
      <c r="Q421" s="52"/>
      <c r="R421" s="52"/>
      <c r="S421" s="52"/>
      <c r="T421" s="52"/>
      <c r="U421" s="52"/>
      <c r="V421" s="52"/>
      <c r="W421" s="52"/>
    </row>
    <row r="422" spans="1:23" s="3" customFormat="1" ht="15" customHeight="1">
      <c r="A422" s="71" t="s">
        <v>351</v>
      </c>
      <c r="B422" s="188"/>
      <c r="C422" s="189"/>
      <c r="D422" s="51"/>
      <c r="E422" s="51"/>
      <c r="F422" s="51"/>
      <c r="G422" s="51"/>
      <c r="H422" s="52"/>
      <c r="I422" s="167"/>
      <c r="J422" s="53"/>
      <c r="K422" s="45"/>
      <c r="L422" s="53"/>
      <c r="M422" s="53"/>
      <c r="N422" s="52"/>
      <c r="O422" s="52"/>
      <c r="P422" s="52"/>
      <c r="Q422" s="52"/>
      <c r="R422" s="52"/>
      <c r="S422" s="52"/>
      <c r="T422" s="52"/>
      <c r="U422" s="52"/>
      <c r="V422" s="52"/>
      <c r="W422" s="52"/>
    </row>
    <row r="423" spans="1:23" s="3" customFormat="1" ht="15" customHeight="1">
      <c r="A423" s="138" t="s">
        <v>135</v>
      </c>
      <c r="B423" s="169"/>
      <c r="C423" s="169"/>
      <c r="D423" s="51"/>
      <c r="E423" s="51"/>
      <c r="F423" s="51"/>
      <c r="G423" s="51"/>
      <c r="H423" s="25">
        <f>H425</f>
        <v>500000</v>
      </c>
      <c r="I423" s="167"/>
      <c r="J423" s="53"/>
      <c r="K423" s="45"/>
      <c r="L423" s="53"/>
      <c r="M423" s="53"/>
      <c r="N423" s="52"/>
      <c r="O423" s="52"/>
      <c r="P423" s="52"/>
      <c r="Q423" s="52"/>
      <c r="R423" s="52"/>
      <c r="S423" s="52"/>
      <c r="T423" s="52"/>
      <c r="U423" s="52"/>
      <c r="V423" s="52"/>
      <c r="W423" s="52"/>
    </row>
    <row r="424" spans="1:23" s="3" customFormat="1" ht="15" customHeight="1">
      <c r="A424" s="71" t="s">
        <v>351</v>
      </c>
      <c r="B424" s="169"/>
      <c r="C424" s="169"/>
      <c r="D424" s="51"/>
      <c r="E424" s="51"/>
      <c r="F424" s="51"/>
      <c r="G424" s="51"/>
      <c r="H424" s="52"/>
      <c r="I424" s="167"/>
      <c r="J424" s="53"/>
      <c r="K424" s="45"/>
      <c r="L424" s="53"/>
      <c r="M424" s="53"/>
      <c r="N424" s="52"/>
      <c r="O424" s="52"/>
      <c r="P424" s="52"/>
      <c r="Q424" s="52"/>
      <c r="R424" s="52"/>
      <c r="S424" s="52"/>
      <c r="T424" s="52"/>
      <c r="U424" s="52"/>
      <c r="V424" s="52"/>
      <c r="W424" s="52"/>
    </row>
    <row r="425" spans="1:23" s="3" customFormat="1" ht="15" customHeight="1">
      <c r="A425" s="71"/>
      <c r="B425" s="180" t="s">
        <v>139</v>
      </c>
      <c r="C425" s="169"/>
      <c r="D425" s="51"/>
      <c r="E425" s="51"/>
      <c r="F425" s="51"/>
      <c r="G425" s="51"/>
      <c r="H425" s="52">
        <v>500000</v>
      </c>
      <c r="I425" s="167"/>
      <c r="J425" s="53"/>
      <c r="K425" s="45"/>
      <c r="L425" s="53"/>
      <c r="M425" s="53"/>
      <c r="N425" s="52"/>
      <c r="O425" s="52"/>
      <c r="P425" s="52"/>
      <c r="Q425" s="52"/>
      <c r="R425" s="52"/>
      <c r="S425" s="52"/>
      <c r="T425" s="52"/>
      <c r="U425" s="52"/>
      <c r="V425" s="52"/>
      <c r="W425" s="52"/>
    </row>
    <row r="426" spans="1:23" s="3" customFormat="1" ht="15" customHeight="1">
      <c r="A426" s="71"/>
      <c r="B426" s="169"/>
      <c r="C426" s="169"/>
      <c r="D426" s="51"/>
      <c r="E426" s="51"/>
      <c r="F426" s="51"/>
      <c r="G426" s="51"/>
      <c r="H426" s="52"/>
      <c r="I426" s="167"/>
      <c r="J426" s="53"/>
      <c r="K426" s="45"/>
      <c r="L426" s="53"/>
      <c r="M426" s="53"/>
      <c r="N426" s="52"/>
      <c r="O426" s="52"/>
      <c r="P426" s="52"/>
      <c r="Q426" s="52"/>
      <c r="R426" s="52"/>
      <c r="S426" s="52"/>
      <c r="T426" s="52"/>
      <c r="U426" s="52"/>
      <c r="V426" s="52"/>
      <c r="W426" s="52"/>
    </row>
    <row r="427" spans="1:23" s="3" customFormat="1" ht="16.5" customHeight="1">
      <c r="A427" s="138" t="s">
        <v>688</v>
      </c>
      <c r="B427" s="120"/>
      <c r="C427" s="438"/>
      <c r="D427" s="27"/>
      <c r="E427" s="27"/>
      <c r="F427" s="27"/>
      <c r="G427" s="51"/>
      <c r="H427" s="25">
        <f>H429</f>
        <v>185000</v>
      </c>
      <c r="I427" s="167"/>
      <c r="J427" s="41"/>
      <c r="K427" s="45"/>
      <c r="L427" s="41"/>
      <c r="M427" s="41"/>
      <c r="N427" s="25"/>
      <c r="O427" s="25"/>
      <c r="P427" s="25"/>
      <c r="Q427" s="25"/>
      <c r="R427" s="25"/>
      <c r="S427" s="25"/>
      <c r="T427" s="25"/>
      <c r="U427" s="25"/>
      <c r="V427" s="25"/>
      <c r="W427" s="25"/>
    </row>
    <row r="428" spans="1:23" s="3" customFormat="1" ht="16.5" customHeight="1">
      <c r="A428" s="71" t="s">
        <v>351</v>
      </c>
      <c r="B428" s="169"/>
      <c r="C428" s="170"/>
      <c r="D428" s="51"/>
      <c r="E428" s="51"/>
      <c r="F428" s="27"/>
      <c r="G428" s="51"/>
      <c r="H428" s="52"/>
      <c r="I428" s="167"/>
      <c r="J428" s="41"/>
      <c r="K428" s="45"/>
      <c r="L428" s="41"/>
      <c r="M428" s="41"/>
      <c r="N428" s="25"/>
      <c r="O428" s="25"/>
      <c r="P428" s="25"/>
      <c r="Q428" s="25"/>
      <c r="R428" s="25"/>
      <c r="S428" s="25"/>
      <c r="T428" s="25"/>
      <c r="U428" s="25"/>
      <c r="V428" s="25"/>
      <c r="W428" s="25"/>
    </row>
    <row r="429" spans="1:23" s="3" customFormat="1" ht="16.5" customHeight="1">
      <c r="A429" s="184"/>
      <c r="B429" s="180" t="s">
        <v>491</v>
      </c>
      <c r="C429" s="170"/>
      <c r="D429" s="51"/>
      <c r="E429" s="51"/>
      <c r="F429" s="27"/>
      <c r="G429" s="51"/>
      <c r="H429" s="52">
        <v>185000</v>
      </c>
      <c r="I429" s="167"/>
      <c r="J429" s="41"/>
      <c r="K429" s="45"/>
      <c r="L429" s="41"/>
      <c r="M429" s="41"/>
      <c r="N429" s="25"/>
      <c r="O429" s="25"/>
      <c r="P429" s="25"/>
      <c r="Q429" s="25"/>
      <c r="R429" s="25"/>
      <c r="S429" s="25"/>
      <c r="T429" s="25"/>
      <c r="U429" s="25"/>
      <c r="V429" s="25"/>
      <c r="W429" s="25"/>
    </row>
    <row r="430" spans="1:23" s="3" customFormat="1" ht="16.5" customHeight="1">
      <c r="A430" s="184"/>
      <c r="B430" s="71"/>
      <c r="C430" s="170"/>
      <c r="D430" s="51"/>
      <c r="E430" s="51"/>
      <c r="F430" s="27"/>
      <c r="G430" s="51"/>
      <c r="H430" s="52"/>
      <c r="I430" s="167"/>
      <c r="J430" s="41"/>
      <c r="K430" s="45"/>
      <c r="L430" s="41"/>
      <c r="M430" s="41"/>
      <c r="N430" s="25"/>
      <c r="O430" s="25"/>
      <c r="P430" s="25"/>
      <c r="Q430" s="25"/>
      <c r="R430" s="25"/>
      <c r="S430" s="25"/>
      <c r="T430" s="25"/>
      <c r="U430" s="25"/>
      <c r="V430" s="25"/>
      <c r="W430" s="25"/>
    </row>
    <row r="431" spans="1:23" s="686" customFormat="1" ht="16.5" customHeight="1">
      <c r="A431" s="138" t="s">
        <v>140</v>
      </c>
      <c r="B431" s="138"/>
      <c r="C431" s="438"/>
      <c r="D431" s="27"/>
      <c r="E431" s="27"/>
      <c r="F431" s="27"/>
      <c r="G431" s="27"/>
      <c r="H431" s="25">
        <f>H433+H436</f>
        <v>310000</v>
      </c>
      <c r="I431" s="849"/>
      <c r="J431" s="41"/>
      <c r="K431" s="45"/>
      <c r="L431" s="41"/>
      <c r="M431" s="41"/>
      <c r="N431" s="25"/>
      <c r="O431" s="25"/>
      <c r="P431" s="25"/>
      <c r="Q431" s="25"/>
      <c r="R431" s="25"/>
      <c r="S431" s="25"/>
      <c r="T431" s="25"/>
      <c r="U431" s="25"/>
      <c r="V431" s="25"/>
      <c r="W431" s="25"/>
    </row>
    <row r="432" spans="1:23" s="3" customFormat="1" ht="16.5" customHeight="1">
      <c r="A432" s="158" t="s">
        <v>141</v>
      </c>
      <c r="B432" s="71"/>
      <c r="C432" s="170"/>
      <c r="D432" s="51"/>
      <c r="E432" s="51"/>
      <c r="F432" s="51"/>
      <c r="G432" s="51"/>
      <c r="H432" s="52"/>
      <c r="I432" s="841"/>
      <c r="J432" s="53"/>
      <c r="K432" s="842"/>
      <c r="L432" s="53"/>
      <c r="M432" s="53"/>
      <c r="N432" s="52"/>
      <c r="O432" s="52"/>
      <c r="P432" s="52"/>
      <c r="Q432" s="52"/>
      <c r="R432" s="52"/>
      <c r="S432" s="52"/>
      <c r="T432" s="52"/>
      <c r="U432" s="52"/>
      <c r="V432" s="52"/>
      <c r="W432" s="52"/>
    </row>
    <row r="433" spans="1:23" s="840" customFormat="1" ht="16.5" customHeight="1">
      <c r="A433" s="834" t="s">
        <v>142</v>
      </c>
      <c r="B433" s="843"/>
      <c r="C433" s="844"/>
      <c r="D433" s="836"/>
      <c r="E433" s="836"/>
      <c r="F433" s="836"/>
      <c r="G433" s="836"/>
      <c r="H433" s="54">
        <f>H434</f>
        <v>110000</v>
      </c>
      <c r="I433" s="846"/>
      <c r="J433" s="847"/>
      <c r="K433" s="848"/>
      <c r="L433" s="847"/>
      <c r="M433" s="847"/>
      <c r="N433" s="845"/>
      <c r="O433" s="845"/>
      <c r="P433" s="845"/>
      <c r="Q433" s="845"/>
      <c r="R433" s="845"/>
      <c r="S433" s="845"/>
      <c r="T433" s="845"/>
      <c r="U433" s="845"/>
      <c r="V433" s="845"/>
      <c r="W433" s="845"/>
    </row>
    <row r="434" spans="1:23" s="3" customFormat="1" ht="16.5" customHeight="1">
      <c r="A434" s="158"/>
      <c r="B434" s="71" t="s">
        <v>143</v>
      </c>
      <c r="C434" s="170"/>
      <c r="D434" s="51"/>
      <c r="E434" s="51"/>
      <c r="F434" s="51"/>
      <c r="G434" s="51"/>
      <c r="H434" s="52">
        <v>110000</v>
      </c>
      <c r="I434" s="841"/>
      <c r="J434" s="53"/>
      <c r="K434" s="842"/>
      <c r="L434" s="53"/>
      <c r="M434" s="53"/>
      <c r="N434" s="52"/>
      <c r="O434" s="52"/>
      <c r="P434" s="52"/>
      <c r="Q434" s="52"/>
      <c r="R434" s="52"/>
      <c r="S434" s="52"/>
      <c r="T434" s="52"/>
      <c r="U434" s="52"/>
      <c r="V434" s="52"/>
      <c r="W434" s="52"/>
    </row>
    <row r="435" spans="1:23" s="3" customFormat="1" ht="16.5" customHeight="1">
      <c r="A435" s="158"/>
      <c r="B435" s="71"/>
      <c r="C435" s="170"/>
      <c r="D435" s="51"/>
      <c r="E435" s="51"/>
      <c r="F435" s="51"/>
      <c r="G435" s="51"/>
      <c r="H435" s="52"/>
      <c r="I435" s="841"/>
      <c r="J435" s="53"/>
      <c r="K435" s="842"/>
      <c r="L435" s="53"/>
      <c r="M435" s="53"/>
      <c r="N435" s="52"/>
      <c r="O435" s="52"/>
      <c r="P435" s="52"/>
      <c r="Q435" s="52"/>
      <c r="R435" s="52"/>
      <c r="S435" s="52"/>
      <c r="T435" s="52"/>
      <c r="U435" s="52"/>
      <c r="V435" s="52"/>
      <c r="W435" s="52"/>
    </row>
    <row r="436" spans="1:23" s="3" customFormat="1" ht="16.5" customHeight="1">
      <c r="A436" s="834" t="s">
        <v>144</v>
      </c>
      <c r="B436" s="843"/>
      <c r="C436" s="844"/>
      <c r="D436" s="836"/>
      <c r="E436" s="51"/>
      <c r="F436" s="51"/>
      <c r="G436" s="51"/>
      <c r="H436" s="54">
        <f>H437</f>
        <v>200000</v>
      </c>
      <c r="I436" s="841"/>
      <c r="J436" s="53"/>
      <c r="K436" s="842"/>
      <c r="L436" s="53"/>
      <c r="M436" s="53"/>
      <c r="N436" s="52"/>
      <c r="O436" s="52"/>
      <c r="P436" s="52"/>
      <c r="Q436" s="52"/>
      <c r="R436" s="52"/>
      <c r="S436" s="52"/>
      <c r="T436" s="52"/>
      <c r="U436" s="52"/>
      <c r="V436" s="52"/>
      <c r="W436" s="52"/>
    </row>
    <row r="437" spans="1:23" s="3" customFormat="1" ht="16.5" customHeight="1">
      <c r="A437" s="158"/>
      <c r="B437" s="71" t="s">
        <v>145</v>
      </c>
      <c r="C437" s="170"/>
      <c r="D437" s="51"/>
      <c r="E437" s="51"/>
      <c r="F437" s="51"/>
      <c r="G437" s="51"/>
      <c r="H437" s="52">
        <v>200000</v>
      </c>
      <c r="I437" s="841"/>
      <c r="J437" s="53"/>
      <c r="K437" s="842"/>
      <c r="L437" s="53"/>
      <c r="M437" s="53"/>
      <c r="N437" s="52"/>
      <c r="O437" s="52"/>
      <c r="P437" s="52"/>
      <c r="Q437" s="52"/>
      <c r="R437" s="52"/>
      <c r="S437" s="52"/>
      <c r="T437" s="52"/>
      <c r="U437" s="52"/>
      <c r="V437" s="52"/>
      <c r="W437" s="52"/>
    </row>
    <row r="438" spans="1:23" s="3" customFormat="1" ht="16.5" customHeight="1">
      <c r="A438" s="158"/>
      <c r="B438" s="71"/>
      <c r="C438" s="170"/>
      <c r="D438" s="51"/>
      <c r="E438" s="51"/>
      <c r="F438" s="51"/>
      <c r="G438" s="51"/>
      <c r="H438" s="52"/>
      <c r="I438" s="841"/>
      <c r="J438" s="53"/>
      <c r="K438" s="842"/>
      <c r="L438" s="53"/>
      <c r="M438" s="53"/>
      <c r="N438" s="52"/>
      <c r="O438" s="52"/>
      <c r="P438" s="52"/>
      <c r="Q438" s="52"/>
      <c r="R438" s="52"/>
      <c r="S438" s="52"/>
      <c r="T438" s="52"/>
      <c r="U438" s="52"/>
      <c r="V438" s="52"/>
      <c r="W438" s="52"/>
    </row>
    <row r="439" spans="1:23" s="3" customFormat="1" ht="16.5" customHeight="1">
      <c r="A439" s="71"/>
      <c r="B439" s="180"/>
      <c r="C439" s="169"/>
      <c r="D439" s="51"/>
      <c r="E439" s="51"/>
      <c r="F439" s="51"/>
      <c r="G439" s="51"/>
      <c r="H439" s="52"/>
      <c r="I439" s="167"/>
      <c r="J439" s="41"/>
      <c r="K439" s="45"/>
      <c r="L439" s="41"/>
      <c r="M439" s="41"/>
      <c r="N439" s="25"/>
      <c r="O439" s="25"/>
      <c r="P439" s="25"/>
      <c r="Q439" s="25"/>
      <c r="R439" s="25"/>
      <c r="S439" s="25"/>
      <c r="T439" s="25"/>
      <c r="U439" s="25"/>
      <c r="V439" s="25"/>
      <c r="W439" s="25"/>
    </row>
    <row r="440" spans="1:23" s="3" customFormat="1" ht="17.25" customHeight="1">
      <c r="A440" s="190" t="s">
        <v>387</v>
      </c>
      <c r="B440" s="190"/>
      <c r="C440" s="183"/>
      <c r="D440" s="22"/>
      <c r="E440" s="16"/>
      <c r="F440" s="51"/>
      <c r="G440" s="51"/>
      <c r="H440" s="52"/>
      <c r="I440" s="167"/>
      <c r="J440" s="53"/>
      <c r="K440" s="45"/>
      <c r="L440" s="53"/>
      <c r="M440" s="53"/>
      <c r="N440" s="52"/>
      <c r="O440" s="52"/>
      <c r="P440" s="52"/>
      <c r="Q440" s="52"/>
      <c r="R440" s="52"/>
      <c r="S440" s="52"/>
      <c r="T440" s="52"/>
      <c r="U440" s="52"/>
      <c r="V440" s="52"/>
      <c r="W440" s="52"/>
    </row>
    <row r="441" spans="1:23" s="3" customFormat="1" ht="17.25" customHeight="1">
      <c r="A441" s="190" t="s">
        <v>388</v>
      </c>
      <c r="B441" s="190"/>
      <c r="C441" s="183"/>
      <c r="D441" s="22"/>
      <c r="E441" s="16"/>
      <c r="F441" s="51"/>
      <c r="G441" s="51"/>
      <c r="H441" s="52"/>
      <c r="I441" s="167"/>
      <c r="J441" s="53"/>
      <c r="K441" s="45"/>
      <c r="L441" s="53"/>
      <c r="M441" s="53"/>
      <c r="N441" s="52"/>
      <c r="O441" s="52"/>
      <c r="P441" s="52"/>
      <c r="Q441" s="52"/>
      <c r="R441" s="52"/>
      <c r="S441" s="52"/>
      <c r="T441" s="52"/>
      <c r="U441" s="52"/>
      <c r="V441" s="52"/>
      <c r="W441" s="52"/>
    </row>
    <row r="442" spans="1:23" s="3" customFormat="1" ht="17.25" customHeight="1">
      <c r="A442" s="190"/>
      <c r="B442" s="190"/>
      <c r="C442" s="183"/>
      <c r="D442" s="22"/>
      <c r="E442" s="16"/>
      <c r="F442" s="51"/>
      <c r="G442" s="51"/>
      <c r="H442" s="52"/>
      <c r="I442" s="167"/>
      <c r="J442" s="53"/>
      <c r="K442" s="45"/>
      <c r="L442" s="53"/>
      <c r="M442" s="53"/>
      <c r="N442" s="52"/>
      <c r="O442" s="52"/>
      <c r="P442" s="52"/>
      <c r="Q442" s="52"/>
      <c r="R442" s="52"/>
      <c r="S442" s="52"/>
      <c r="T442" s="52"/>
      <c r="U442" s="52"/>
      <c r="V442" s="52"/>
      <c r="W442" s="52"/>
    </row>
    <row r="443" spans="1:23" s="3" customFormat="1" ht="17.25" customHeight="1">
      <c r="A443" s="190"/>
      <c r="B443" s="190"/>
      <c r="C443" s="183"/>
      <c r="D443" s="22"/>
      <c r="E443" s="16"/>
      <c r="F443" s="51"/>
      <c r="G443" s="51"/>
      <c r="H443" s="52"/>
      <c r="I443" s="167"/>
      <c r="J443" s="53"/>
      <c r="K443" s="45"/>
      <c r="L443" s="53"/>
      <c r="M443" s="53"/>
      <c r="N443" s="52"/>
      <c r="O443" s="52"/>
      <c r="P443" s="52"/>
      <c r="Q443" s="52"/>
      <c r="R443" s="52"/>
      <c r="S443" s="52"/>
      <c r="T443" s="52"/>
      <c r="U443" s="52"/>
      <c r="V443" s="52"/>
      <c r="W443" s="52"/>
    </row>
    <row r="444" spans="1:23" s="3" customFormat="1" ht="17.25" customHeight="1">
      <c r="A444" s="697" t="s">
        <v>570</v>
      </c>
      <c r="B444" s="697"/>
      <c r="C444" s="698"/>
      <c r="D444" s="699"/>
      <c r="E444" s="19"/>
      <c r="F444" s="700"/>
      <c r="G444" s="700"/>
      <c r="H444" s="701"/>
      <c r="I444" s="167"/>
      <c r="J444" s="53"/>
      <c r="K444" s="45"/>
      <c r="L444" s="53"/>
      <c r="M444" s="53"/>
      <c r="N444" s="52"/>
      <c r="O444" s="52"/>
      <c r="P444" s="52"/>
      <c r="Q444" s="52"/>
      <c r="R444" s="52"/>
      <c r="S444" s="52"/>
      <c r="T444" s="52"/>
      <c r="U444" s="52"/>
      <c r="V444" s="52"/>
      <c r="W444" s="52"/>
    </row>
    <row r="445" spans="1:23" s="3" customFormat="1" ht="17.25" customHeight="1">
      <c r="A445" s="697"/>
      <c r="B445" s="697"/>
      <c r="C445" s="698"/>
      <c r="D445" s="699"/>
      <c r="E445" s="19"/>
      <c r="F445" s="700"/>
      <c r="G445" s="700"/>
      <c r="H445" s="701"/>
      <c r="I445" s="167"/>
      <c r="J445" s="53"/>
      <c r="K445" s="45"/>
      <c r="L445" s="53"/>
      <c r="M445" s="53"/>
      <c r="N445" s="52"/>
      <c r="O445" s="52"/>
      <c r="P445" s="52"/>
      <c r="Q445" s="52"/>
      <c r="R445" s="52"/>
      <c r="S445" s="52"/>
      <c r="T445" s="52"/>
      <c r="U445" s="52"/>
      <c r="V445" s="52"/>
      <c r="W445" s="52"/>
    </row>
    <row r="446" spans="1:23" s="3" customFormat="1" ht="17.25" customHeight="1">
      <c r="A446" s="697"/>
      <c r="B446" s="697"/>
      <c r="C446" s="698"/>
      <c r="D446" s="699"/>
      <c r="E446" s="19"/>
      <c r="F446" s="700"/>
      <c r="G446" s="700"/>
      <c r="H446" s="701"/>
      <c r="I446" s="167"/>
      <c r="J446" s="53"/>
      <c r="K446" s="45"/>
      <c r="L446" s="53"/>
      <c r="M446" s="53"/>
      <c r="N446" s="52"/>
      <c r="O446" s="52"/>
      <c r="P446" s="52"/>
      <c r="Q446" s="52"/>
      <c r="R446" s="52"/>
      <c r="S446" s="52"/>
      <c r="T446" s="52"/>
      <c r="U446" s="52"/>
      <c r="V446" s="52"/>
      <c r="W446" s="52"/>
    </row>
    <row r="447" spans="1:23" s="3" customFormat="1" ht="17.25" customHeight="1">
      <c r="A447" s="697" t="s">
        <v>566</v>
      </c>
      <c r="B447" s="697"/>
      <c r="C447" s="698"/>
      <c r="D447" s="699"/>
      <c r="E447" s="19"/>
      <c r="F447" s="700"/>
      <c r="G447" s="700"/>
      <c r="H447" s="701"/>
      <c r="I447" s="167"/>
      <c r="J447" s="53"/>
      <c r="K447" s="45"/>
      <c r="L447" s="53"/>
      <c r="M447" s="53"/>
      <c r="N447" s="52"/>
      <c r="O447" s="52"/>
      <c r="P447" s="52"/>
      <c r="Q447" s="52"/>
      <c r="R447" s="52"/>
      <c r="S447" s="52"/>
      <c r="T447" s="52"/>
      <c r="U447" s="52"/>
      <c r="V447" s="52"/>
      <c r="W447" s="52"/>
    </row>
    <row r="448" spans="1:23" s="3" customFormat="1" ht="17.25" customHeight="1">
      <c r="A448" s="697" t="s">
        <v>39</v>
      </c>
      <c r="B448" s="697"/>
      <c r="C448" s="698"/>
      <c r="D448" s="699"/>
      <c r="E448" s="19"/>
      <c r="F448" s="700"/>
      <c r="G448" s="700"/>
      <c r="H448" s="701"/>
      <c r="I448" s="167"/>
      <c r="J448" s="53"/>
      <c r="K448" s="45"/>
      <c r="L448" s="53"/>
      <c r="M448" s="53"/>
      <c r="N448" s="52"/>
      <c r="O448" s="52"/>
      <c r="P448" s="52"/>
      <c r="Q448" s="52"/>
      <c r="R448" s="52"/>
      <c r="S448" s="52"/>
      <c r="T448" s="52"/>
      <c r="U448" s="52"/>
      <c r="V448" s="52"/>
      <c r="W448" s="52"/>
    </row>
    <row r="449" spans="1:23" s="3" customFormat="1" ht="17.25" customHeight="1">
      <c r="A449" s="697"/>
      <c r="B449" s="697"/>
      <c r="C449" s="698"/>
      <c r="D449" s="699"/>
      <c r="E449" s="19"/>
      <c r="F449" s="700"/>
      <c r="G449" s="700"/>
      <c r="H449" s="701"/>
      <c r="I449" s="167"/>
      <c r="J449" s="53"/>
      <c r="K449" s="45"/>
      <c r="L449" s="53"/>
      <c r="M449" s="53"/>
      <c r="N449" s="52"/>
      <c r="O449" s="52"/>
      <c r="P449" s="52"/>
      <c r="Q449" s="52"/>
      <c r="R449" s="52"/>
      <c r="S449" s="52"/>
      <c r="T449" s="52"/>
      <c r="U449" s="52"/>
      <c r="V449" s="52"/>
      <c r="W449" s="52"/>
    </row>
    <row r="450" spans="1:23" s="3" customFormat="1" ht="17.25" customHeight="1">
      <c r="A450" s="697" t="s">
        <v>332</v>
      </c>
      <c r="B450" s="697"/>
      <c r="C450" s="698"/>
      <c r="D450" s="699"/>
      <c r="E450" s="19"/>
      <c r="F450" s="700"/>
      <c r="G450" s="700"/>
      <c r="H450" s="701"/>
      <c r="I450" s="167"/>
      <c r="J450" s="53"/>
      <c r="K450" s="45"/>
      <c r="L450" s="53"/>
      <c r="M450" s="53"/>
      <c r="N450" s="52"/>
      <c r="O450" s="52"/>
      <c r="P450" s="52"/>
      <c r="Q450" s="52"/>
      <c r="R450" s="52"/>
      <c r="S450" s="52"/>
      <c r="T450" s="52"/>
      <c r="U450" s="52"/>
      <c r="V450" s="52"/>
      <c r="W450" s="52"/>
    </row>
    <row r="451" spans="1:23" s="3" customFormat="1" ht="17.25" customHeight="1">
      <c r="A451" s="697"/>
      <c r="B451" s="697"/>
      <c r="C451" s="698"/>
      <c r="D451" s="699"/>
      <c r="E451" s="19"/>
      <c r="F451" s="700"/>
      <c r="G451" s="700"/>
      <c r="H451" s="701"/>
      <c r="I451" s="167"/>
      <c r="J451" s="53"/>
      <c r="K451" s="45"/>
      <c r="L451" s="53"/>
      <c r="M451" s="53"/>
      <c r="N451" s="52"/>
      <c r="O451" s="52"/>
      <c r="P451" s="52"/>
      <c r="Q451" s="52"/>
      <c r="R451" s="52"/>
      <c r="S451" s="52"/>
      <c r="T451" s="52"/>
      <c r="U451" s="52"/>
      <c r="V451" s="52"/>
      <c r="W451" s="52"/>
    </row>
    <row r="452" spans="1:23" s="3" customFormat="1" ht="17.25" customHeight="1">
      <c r="A452" s="697" t="s">
        <v>352</v>
      </c>
      <c r="B452" s="697" t="s">
        <v>325</v>
      </c>
      <c r="C452" s="698"/>
      <c r="D452" s="699"/>
      <c r="E452" s="19"/>
      <c r="F452" s="51">
        <f>19272000+10900000</f>
        <v>30172000</v>
      </c>
      <c r="G452" s="700" t="s">
        <v>326</v>
      </c>
      <c r="H452" s="701"/>
      <c r="I452" s="167"/>
      <c r="J452" s="53"/>
      <c r="K452" s="45"/>
      <c r="L452" s="53"/>
      <c r="M452" s="53"/>
      <c r="N452" s="52"/>
      <c r="O452" s="52"/>
      <c r="P452" s="52"/>
      <c r="Q452" s="52"/>
      <c r="R452" s="52"/>
      <c r="S452" s="52"/>
      <c r="T452" s="52"/>
      <c r="U452" s="52"/>
      <c r="V452" s="52"/>
      <c r="W452" s="52"/>
    </row>
    <row r="453" spans="1:23" s="3" customFormat="1" ht="17.25" customHeight="1">
      <c r="A453" s="697"/>
      <c r="B453" s="697" t="s">
        <v>327</v>
      </c>
      <c r="C453" s="698"/>
      <c r="D453" s="699"/>
      <c r="E453" s="19"/>
      <c r="F453" s="51">
        <v>23585724.84</v>
      </c>
      <c r="G453" s="700" t="s">
        <v>328</v>
      </c>
      <c r="H453" s="701"/>
      <c r="I453" s="167"/>
      <c r="J453" s="53"/>
      <c r="K453" s="45"/>
      <c r="L453" s="53"/>
      <c r="M453" s="53"/>
      <c r="N453" s="52"/>
      <c r="O453" s="52"/>
      <c r="P453" s="52"/>
      <c r="Q453" s="52"/>
      <c r="R453" s="52"/>
      <c r="S453" s="52"/>
      <c r="T453" s="52"/>
      <c r="U453" s="52"/>
      <c r="V453" s="52"/>
      <c r="W453" s="52"/>
    </row>
    <row r="454" spans="1:23" s="3" customFormat="1" ht="17.25" customHeight="1">
      <c r="A454" s="697"/>
      <c r="B454" s="697"/>
      <c r="C454" s="698"/>
      <c r="D454" s="699"/>
      <c r="E454" s="19"/>
      <c r="F454" s="700"/>
      <c r="G454" s="700"/>
      <c r="H454" s="701"/>
      <c r="I454" s="167"/>
      <c r="J454" s="53"/>
      <c r="K454" s="45"/>
      <c r="L454" s="53"/>
      <c r="M454" s="53"/>
      <c r="N454" s="52"/>
      <c r="O454" s="52"/>
      <c r="P454" s="52"/>
      <c r="Q454" s="52"/>
      <c r="R454" s="52"/>
      <c r="S454" s="52"/>
      <c r="T454" s="52"/>
      <c r="U454" s="52"/>
      <c r="V454" s="52"/>
      <c r="W454" s="52"/>
    </row>
    <row r="455" spans="1:23" s="3" customFormat="1" ht="17.25" customHeight="1">
      <c r="A455" s="697"/>
      <c r="B455" s="697"/>
      <c r="C455" s="698"/>
      <c r="D455" s="699"/>
      <c r="E455" s="19"/>
      <c r="F455" s="700"/>
      <c r="G455" s="700"/>
      <c r="H455" s="701"/>
      <c r="I455" s="167"/>
      <c r="J455" s="53"/>
      <c r="K455" s="45"/>
      <c r="L455" s="53"/>
      <c r="M455" s="53"/>
      <c r="N455" s="52"/>
      <c r="O455" s="52"/>
      <c r="P455" s="52"/>
      <c r="Q455" s="52"/>
      <c r="R455" s="52"/>
      <c r="S455" s="52"/>
      <c r="T455" s="52"/>
      <c r="U455" s="52"/>
      <c r="V455" s="52"/>
      <c r="W455" s="52"/>
    </row>
    <row r="456" spans="1:23" s="3" customFormat="1" ht="17.25" customHeight="1">
      <c r="A456" s="702" t="s">
        <v>329</v>
      </c>
      <c r="B456" s="703"/>
      <c r="C456" s="704"/>
      <c r="D456" s="705"/>
      <c r="E456" s="705"/>
      <c r="F456" s="705"/>
      <c r="G456" s="705"/>
      <c r="H456" s="706"/>
      <c r="I456" s="167"/>
      <c r="J456" s="53"/>
      <c r="K456" s="45"/>
      <c r="L456" s="53"/>
      <c r="M456" s="53"/>
      <c r="N456" s="52"/>
      <c r="O456" s="52"/>
      <c r="P456" s="52"/>
      <c r="Q456" s="52"/>
      <c r="R456" s="52"/>
      <c r="S456" s="52"/>
      <c r="T456" s="52"/>
      <c r="U456" s="52"/>
      <c r="V456" s="52"/>
      <c r="W456" s="52"/>
    </row>
    <row r="457" spans="1:23" s="3" customFormat="1" ht="17.25" customHeight="1">
      <c r="A457" s="707" t="s">
        <v>333</v>
      </c>
      <c r="B457" s="703"/>
      <c r="C457" s="704"/>
      <c r="D457" s="705"/>
      <c r="E457" s="705"/>
      <c r="F457" s="705"/>
      <c r="G457" s="705"/>
      <c r="H457" s="706"/>
      <c r="I457" s="167"/>
      <c r="J457" s="53"/>
      <c r="K457" s="45"/>
      <c r="L457" s="53"/>
      <c r="M457" s="53"/>
      <c r="N457" s="52"/>
      <c r="O457" s="52"/>
      <c r="P457" s="52"/>
      <c r="Q457" s="52"/>
      <c r="R457" s="52"/>
      <c r="S457" s="52"/>
      <c r="T457" s="52"/>
      <c r="U457" s="52"/>
      <c r="V457" s="52"/>
      <c r="W457" s="52"/>
    </row>
    <row r="458" spans="1:23" s="3" customFormat="1" ht="17.25" customHeight="1">
      <c r="A458" s="702"/>
      <c r="B458" s="708"/>
      <c r="C458" s="709"/>
      <c r="D458" s="19"/>
      <c r="E458" s="19"/>
      <c r="F458" s="19"/>
      <c r="G458" s="19"/>
      <c r="H458" s="710"/>
      <c r="I458" s="167"/>
      <c r="J458" s="53"/>
      <c r="K458" s="45"/>
      <c r="L458" s="53"/>
      <c r="M458" s="53"/>
      <c r="N458" s="52"/>
      <c r="O458" s="52"/>
      <c r="P458" s="52"/>
      <c r="Q458" s="52"/>
      <c r="R458" s="52"/>
      <c r="S458" s="52"/>
      <c r="T458" s="52"/>
      <c r="U458" s="52"/>
      <c r="V458" s="52"/>
      <c r="W458" s="52"/>
    </row>
    <row r="459" spans="1:23" s="3" customFormat="1" ht="17.25" customHeight="1">
      <c r="A459" s="702"/>
      <c r="B459" s="708"/>
      <c r="C459" s="709"/>
      <c r="D459" s="19"/>
      <c r="E459" s="19"/>
      <c r="F459" s="19"/>
      <c r="G459" s="19"/>
      <c r="H459" s="710"/>
      <c r="I459" s="167"/>
      <c r="J459" s="53"/>
      <c r="K459" s="45"/>
      <c r="L459" s="53"/>
      <c r="M459" s="53"/>
      <c r="N459" s="52"/>
      <c r="O459" s="52"/>
      <c r="P459" s="52"/>
      <c r="Q459" s="52"/>
      <c r="R459" s="52"/>
      <c r="S459" s="52"/>
      <c r="T459" s="52"/>
      <c r="U459" s="52"/>
      <c r="V459" s="52"/>
      <c r="W459" s="52"/>
    </row>
    <row r="460" spans="1:23" s="3" customFormat="1" ht="17.25" customHeight="1">
      <c r="A460" s="702" t="s">
        <v>330</v>
      </c>
      <c r="B460" s="708"/>
      <c r="C460" s="708"/>
      <c r="D460" s="708"/>
      <c r="E460" s="708"/>
      <c r="F460" s="711"/>
      <c r="G460" s="700"/>
      <c r="H460" s="701">
        <f>H462</f>
        <v>10900000</v>
      </c>
      <c r="I460" s="167"/>
      <c r="J460" s="53"/>
      <c r="K460" s="45"/>
      <c r="L460" s="53"/>
      <c r="M460" s="53"/>
      <c r="N460" s="52"/>
      <c r="O460" s="52"/>
      <c r="P460" s="52"/>
      <c r="Q460" s="52"/>
      <c r="R460" s="52"/>
      <c r="S460" s="52"/>
      <c r="T460" s="52"/>
      <c r="U460" s="52"/>
      <c r="V460" s="52"/>
      <c r="W460" s="52"/>
    </row>
    <row r="461" spans="1:23" s="3" customFormat="1" ht="17.25" customHeight="1">
      <c r="A461" s="702" t="s">
        <v>351</v>
      </c>
      <c r="B461" s="708"/>
      <c r="C461" s="708"/>
      <c r="D461" s="708"/>
      <c r="E461" s="708"/>
      <c r="F461" s="711"/>
      <c r="G461" s="700"/>
      <c r="H461" s="712"/>
      <c r="I461" s="167"/>
      <c r="J461" s="53"/>
      <c r="K461" s="45"/>
      <c r="L461" s="53"/>
      <c r="M461" s="53"/>
      <c r="N461" s="52"/>
      <c r="O461" s="52"/>
      <c r="P461" s="52"/>
      <c r="Q461" s="52"/>
      <c r="R461" s="52"/>
      <c r="S461" s="52"/>
      <c r="T461" s="52"/>
      <c r="U461" s="52"/>
      <c r="V461" s="52"/>
      <c r="W461" s="52"/>
    </row>
    <row r="462" spans="1:23" s="3" customFormat="1" ht="17.25" customHeight="1">
      <c r="A462" s="702"/>
      <c r="B462" s="708" t="s">
        <v>331</v>
      </c>
      <c r="C462" s="708"/>
      <c r="D462" s="708"/>
      <c r="E462" s="708"/>
      <c r="F462" s="711"/>
      <c r="G462" s="51"/>
      <c r="H462" s="52">
        <v>10900000</v>
      </c>
      <c r="I462" s="167"/>
      <c r="J462" s="53"/>
      <c r="K462" s="45"/>
      <c r="L462" s="53"/>
      <c r="M462" s="53"/>
      <c r="N462" s="52"/>
      <c r="O462" s="52"/>
      <c r="P462" s="52"/>
      <c r="Q462" s="52"/>
      <c r="R462" s="52"/>
      <c r="S462" s="52"/>
      <c r="T462" s="52"/>
      <c r="U462" s="52"/>
      <c r="V462" s="52"/>
      <c r="W462" s="52"/>
    </row>
    <row r="463" spans="1:23" s="3" customFormat="1" ht="17.25" customHeight="1">
      <c r="A463" s="702"/>
      <c r="B463" s="708"/>
      <c r="C463" s="708"/>
      <c r="D463" s="708"/>
      <c r="E463" s="708"/>
      <c r="F463" s="711"/>
      <c r="G463" s="51"/>
      <c r="H463" s="52"/>
      <c r="I463" s="167"/>
      <c r="J463" s="53"/>
      <c r="K463" s="45"/>
      <c r="L463" s="53"/>
      <c r="M463" s="53"/>
      <c r="N463" s="52"/>
      <c r="O463" s="52"/>
      <c r="P463" s="52"/>
      <c r="Q463" s="52"/>
      <c r="R463" s="52"/>
      <c r="S463" s="52"/>
      <c r="T463" s="52"/>
      <c r="U463" s="52"/>
      <c r="V463" s="52"/>
      <c r="W463" s="52"/>
    </row>
    <row r="464" spans="1:23" s="3" customFormat="1" ht="17.25" customHeight="1">
      <c r="A464" s="702"/>
      <c r="B464" s="708"/>
      <c r="C464" s="709"/>
      <c r="D464" s="19"/>
      <c r="E464" s="19"/>
      <c r="F464" s="19"/>
      <c r="G464" s="19"/>
      <c r="H464" s="710"/>
      <c r="I464" s="167"/>
      <c r="J464" s="53"/>
      <c r="K464" s="45"/>
      <c r="L464" s="53"/>
      <c r="M464" s="53"/>
      <c r="N464" s="52"/>
      <c r="O464" s="52"/>
      <c r="P464" s="52"/>
      <c r="Q464" s="52"/>
      <c r="R464" s="52"/>
      <c r="S464" s="52"/>
      <c r="T464" s="52"/>
      <c r="U464" s="52"/>
      <c r="V464" s="52"/>
      <c r="W464" s="52"/>
    </row>
    <row r="465" spans="1:23" s="3" customFormat="1" ht="17.25" customHeight="1">
      <c r="A465" s="697" t="s">
        <v>334</v>
      </c>
      <c r="B465" s="697"/>
      <c r="C465" s="698"/>
      <c r="D465" s="699"/>
      <c r="E465" s="19"/>
      <c r="F465" s="700"/>
      <c r="G465" s="700"/>
      <c r="H465" s="701"/>
      <c r="I465" s="167"/>
      <c r="J465" s="53"/>
      <c r="K465" s="45"/>
      <c r="L465" s="53"/>
      <c r="M465" s="53"/>
      <c r="N465" s="52"/>
      <c r="O465" s="52"/>
      <c r="P465" s="52"/>
      <c r="Q465" s="52"/>
      <c r="R465" s="52"/>
      <c r="S465" s="52"/>
      <c r="T465" s="52"/>
      <c r="U465" s="52"/>
      <c r="V465" s="52"/>
      <c r="W465" s="52"/>
    </row>
    <row r="466" spans="1:23" s="3" customFormat="1" ht="17.25" customHeight="1">
      <c r="A466" s="697" t="s">
        <v>388</v>
      </c>
      <c r="B466" s="697"/>
      <c r="C466" s="698"/>
      <c r="D466" s="699"/>
      <c r="E466" s="19"/>
      <c r="F466" s="700"/>
      <c r="G466" s="700"/>
      <c r="H466" s="701"/>
      <c r="I466" s="167"/>
      <c r="J466" s="53"/>
      <c r="K466" s="45"/>
      <c r="L466" s="53"/>
      <c r="M466" s="53"/>
      <c r="N466" s="52"/>
      <c r="O466" s="52"/>
      <c r="P466" s="52"/>
      <c r="Q466" s="52"/>
      <c r="R466" s="52"/>
      <c r="S466" s="52"/>
      <c r="T466" s="52"/>
      <c r="U466" s="52"/>
      <c r="V466" s="52"/>
      <c r="W466" s="52"/>
    </row>
    <row r="467" spans="1:23" s="3" customFormat="1" ht="17.25" customHeight="1">
      <c r="A467" s="702"/>
      <c r="B467" s="703"/>
      <c r="C467" s="704"/>
      <c r="D467" s="705"/>
      <c r="E467" s="705"/>
      <c r="F467" s="705"/>
      <c r="G467" s="705"/>
      <c r="H467" s="706"/>
      <c r="I467" s="167"/>
      <c r="J467" s="53"/>
      <c r="K467" s="45"/>
      <c r="L467" s="53"/>
      <c r="M467" s="53"/>
      <c r="N467" s="52"/>
      <c r="O467" s="52"/>
      <c r="P467" s="52"/>
      <c r="Q467" s="52"/>
      <c r="R467" s="52"/>
      <c r="S467" s="52"/>
      <c r="T467" s="52"/>
      <c r="U467" s="52"/>
      <c r="V467" s="52"/>
      <c r="W467" s="52"/>
    </row>
    <row r="468" spans="1:23" s="3" customFormat="1" ht="17.25" customHeight="1">
      <c r="A468" s="702"/>
      <c r="B468" s="703"/>
      <c r="C468" s="704"/>
      <c r="D468" s="705"/>
      <c r="E468" s="705"/>
      <c r="F468" s="705"/>
      <c r="G468" s="705"/>
      <c r="H468" s="706"/>
      <c r="I468" s="167"/>
      <c r="J468" s="53"/>
      <c r="K468" s="45"/>
      <c r="L468" s="53"/>
      <c r="M468" s="53"/>
      <c r="N468" s="52"/>
      <c r="O468" s="52"/>
      <c r="P468" s="52"/>
      <c r="Q468" s="52"/>
      <c r="R468" s="52"/>
      <c r="S468" s="52"/>
      <c r="T468" s="52"/>
      <c r="U468" s="52"/>
      <c r="V468" s="52"/>
      <c r="W468" s="52"/>
    </row>
    <row r="469" spans="1:23" s="3" customFormat="1" ht="17.25" customHeight="1">
      <c r="A469" s="702"/>
      <c r="B469" s="703"/>
      <c r="C469" s="704"/>
      <c r="D469" s="705"/>
      <c r="E469" s="705"/>
      <c r="F469" s="705"/>
      <c r="G469" s="705"/>
      <c r="H469" s="706"/>
      <c r="I469" s="167"/>
      <c r="J469" s="53"/>
      <c r="K469" s="45"/>
      <c r="L469" s="53"/>
      <c r="M469" s="53"/>
      <c r="N469" s="52"/>
      <c r="O469" s="52"/>
      <c r="P469" s="52"/>
      <c r="Q469" s="52"/>
      <c r="R469" s="52"/>
      <c r="S469" s="52"/>
      <c r="T469" s="52"/>
      <c r="U469" s="52"/>
      <c r="V469" s="52"/>
      <c r="W469" s="52"/>
    </row>
    <row r="470" spans="1:23" s="3" customFormat="1" ht="17.25" customHeight="1">
      <c r="A470" s="190" t="s">
        <v>581</v>
      </c>
      <c r="B470" s="190"/>
      <c r="C470" s="183"/>
      <c r="D470" s="22"/>
      <c r="E470" s="16"/>
      <c r="F470" s="51"/>
      <c r="G470" s="51"/>
      <c r="H470" s="52"/>
      <c r="I470" s="167"/>
      <c r="J470" s="53"/>
      <c r="K470" s="45"/>
      <c r="L470" s="53"/>
      <c r="M470" s="53"/>
      <c r="N470" s="52"/>
      <c r="O470" s="52"/>
      <c r="P470" s="52"/>
      <c r="Q470" s="52"/>
      <c r="R470" s="52"/>
      <c r="S470" s="52"/>
      <c r="T470" s="52"/>
      <c r="U470" s="52"/>
      <c r="V470" s="52"/>
      <c r="W470" s="52"/>
    </row>
    <row r="471" spans="1:23" s="3" customFormat="1" ht="17.25" customHeight="1">
      <c r="A471" s="190"/>
      <c r="B471" s="190"/>
      <c r="C471" s="183"/>
      <c r="D471" s="22"/>
      <c r="E471" s="16"/>
      <c r="F471" s="51"/>
      <c r="G471" s="51"/>
      <c r="H471" s="52"/>
      <c r="I471" s="167"/>
      <c r="J471" s="53"/>
      <c r="K471" s="45"/>
      <c r="L471" s="53"/>
      <c r="M471" s="53"/>
      <c r="N471" s="52"/>
      <c r="O471" s="52"/>
      <c r="P471" s="52"/>
      <c r="Q471" s="52"/>
      <c r="R471" s="52"/>
      <c r="S471" s="52"/>
      <c r="T471" s="52"/>
      <c r="U471" s="52"/>
      <c r="V471" s="52"/>
      <c r="W471" s="52"/>
    </row>
    <row r="472" spans="1:23" s="3" customFormat="1" ht="17.25" customHeight="1">
      <c r="A472" s="190"/>
      <c r="B472" s="190"/>
      <c r="C472" s="183"/>
      <c r="D472" s="22"/>
      <c r="E472" s="16"/>
      <c r="F472" s="51"/>
      <c r="G472" s="51"/>
      <c r="H472" s="52"/>
      <c r="I472" s="167"/>
      <c r="J472" s="53"/>
      <c r="K472" s="45"/>
      <c r="L472" s="53"/>
      <c r="M472" s="53"/>
      <c r="N472" s="52"/>
      <c r="O472" s="52"/>
      <c r="P472" s="52"/>
      <c r="Q472" s="52"/>
      <c r="R472" s="52"/>
      <c r="S472" s="52"/>
      <c r="T472" s="52"/>
      <c r="U472" s="52"/>
      <c r="V472" s="52"/>
      <c r="W472" s="52"/>
    </row>
    <row r="473" spans="1:23" s="3" customFormat="1" ht="17.25" customHeight="1">
      <c r="A473" s="190" t="s">
        <v>571</v>
      </c>
      <c r="B473" s="190"/>
      <c r="C473" s="183"/>
      <c r="D473" s="22"/>
      <c r="E473" s="16"/>
      <c r="F473" s="51"/>
      <c r="G473" s="51"/>
      <c r="H473" s="52"/>
      <c r="I473" s="167"/>
      <c r="J473" s="53"/>
      <c r="K473" s="45"/>
      <c r="L473" s="53"/>
      <c r="M473" s="53"/>
      <c r="N473" s="52"/>
      <c r="O473" s="52"/>
      <c r="P473" s="52"/>
      <c r="Q473" s="52"/>
      <c r="R473" s="52"/>
      <c r="S473" s="52"/>
      <c r="T473" s="52"/>
      <c r="U473" s="52"/>
      <c r="V473" s="52"/>
      <c r="W473" s="52"/>
    </row>
    <row r="474" spans="1:23" s="840" customFormat="1" ht="17.25" customHeight="1">
      <c r="A474" s="909" t="s">
        <v>572</v>
      </c>
      <c r="B474" s="909"/>
      <c r="C474" s="910"/>
      <c r="D474" s="911"/>
      <c r="E474" s="705"/>
      <c r="F474" s="836"/>
      <c r="G474" s="836"/>
      <c r="H474" s="845"/>
      <c r="I474" s="837"/>
      <c r="J474" s="847"/>
      <c r="K474" s="839"/>
      <c r="L474" s="847"/>
      <c r="M474" s="847"/>
      <c r="N474" s="845"/>
      <c r="O474" s="845"/>
      <c r="P474" s="845"/>
      <c r="Q474" s="845"/>
      <c r="R474" s="845"/>
      <c r="S474" s="845"/>
      <c r="T474" s="845"/>
      <c r="U474" s="845"/>
      <c r="V474" s="845"/>
      <c r="W474" s="845"/>
    </row>
    <row r="475" spans="1:23" s="3" customFormat="1" ht="17.25" customHeight="1">
      <c r="A475" s="909" t="s">
        <v>573</v>
      </c>
      <c r="B475" s="909"/>
      <c r="C475" s="910"/>
      <c r="D475" s="911"/>
      <c r="E475" s="705"/>
      <c r="F475" s="836"/>
      <c r="G475" s="51"/>
      <c r="H475" s="52"/>
      <c r="I475" s="167"/>
      <c r="J475" s="53"/>
      <c r="K475" s="45"/>
      <c r="L475" s="53"/>
      <c r="M475" s="53"/>
      <c r="N475" s="52"/>
      <c r="O475" s="52"/>
      <c r="P475" s="52"/>
      <c r="Q475" s="52"/>
      <c r="R475" s="52"/>
      <c r="S475" s="52"/>
      <c r="T475" s="52"/>
      <c r="U475" s="52"/>
      <c r="V475" s="52"/>
      <c r="W475" s="52"/>
    </row>
    <row r="476" spans="1:23" s="3" customFormat="1" ht="17.25" customHeight="1">
      <c r="A476" s="190" t="s">
        <v>577</v>
      </c>
      <c r="B476" s="190"/>
      <c r="C476" s="183"/>
      <c r="D476" s="22"/>
      <c r="E476" s="16"/>
      <c r="F476" s="51"/>
      <c r="G476" s="51"/>
      <c r="H476" s="52"/>
      <c r="I476" s="167"/>
      <c r="J476" s="53"/>
      <c r="K476" s="45"/>
      <c r="L476" s="53"/>
      <c r="M476" s="53"/>
      <c r="N476" s="52"/>
      <c r="O476" s="52"/>
      <c r="P476" s="52"/>
      <c r="Q476" s="52"/>
      <c r="R476" s="52"/>
      <c r="S476" s="52"/>
      <c r="T476" s="52"/>
      <c r="U476" s="52"/>
      <c r="V476" s="52"/>
      <c r="W476" s="52"/>
    </row>
    <row r="477" spans="1:23" s="3" customFormat="1" ht="17.25" customHeight="1">
      <c r="A477" s="190"/>
      <c r="B477" s="190"/>
      <c r="C477" s="183"/>
      <c r="D477" s="22"/>
      <c r="E477" s="16"/>
      <c r="F477" s="51"/>
      <c r="G477" s="51"/>
      <c r="H477" s="52"/>
      <c r="I477" s="167"/>
      <c r="J477" s="53"/>
      <c r="K477" s="45"/>
      <c r="L477" s="53"/>
      <c r="M477" s="53"/>
      <c r="N477" s="52"/>
      <c r="O477" s="52"/>
      <c r="P477" s="52"/>
      <c r="Q477" s="52"/>
      <c r="R477" s="52"/>
      <c r="S477" s="52"/>
      <c r="T477" s="52"/>
      <c r="U477" s="52"/>
      <c r="V477" s="52"/>
      <c r="W477" s="52"/>
    </row>
    <row r="478" spans="1:23" s="3" customFormat="1" ht="17.25" customHeight="1">
      <c r="A478" s="190"/>
      <c r="B478" s="190"/>
      <c r="C478" s="183"/>
      <c r="D478" s="22"/>
      <c r="E478" s="16"/>
      <c r="F478" s="51"/>
      <c r="G478" s="51"/>
      <c r="H478" s="52"/>
      <c r="I478" s="167"/>
      <c r="J478" s="53"/>
      <c r="K478" s="45"/>
      <c r="L478" s="53"/>
      <c r="M478" s="53"/>
      <c r="N478" s="52"/>
      <c r="O478" s="52"/>
      <c r="P478" s="52"/>
      <c r="Q478" s="52"/>
      <c r="R478" s="52"/>
      <c r="S478" s="52"/>
      <c r="T478" s="52"/>
      <c r="U478" s="52"/>
      <c r="V478" s="52"/>
      <c r="W478" s="52"/>
    </row>
    <row r="479" spans="1:23" s="3" customFormat="1" ht="17.25" customHeight="1">
      <c r="A479" s="190"/>
      <c r="B479" s="190"/>
      <c r="C479" s="183"/>
      <c r="D479" s="22"/>
      <c r="E479" s="16"/>
      <c r="F479" s="51"/>
      <c r="G479" s="51"/>
      <c r="H479" s="52"/>
      <c r="I479" s="167"/>
      <c r="J479" s="53"/>
      <c r="K479" s="45"/>
      <c r="L479" s="53"/>
      <c r="M479" s="53"/>
      <c r="N479" s="52"/>
      <c r="O479" s="52"/>
      <c r="P479" s="52"/>
      <c r="Q479" s="52"/>
      <c r="R479" s="52"/>
      <c r="S479" s="52"/>
      <c r="T479" s="52"/>
      <c r="U479" s="52"/>
      <c r="V479" s="52"/>
      <c r="W479" s="52"/>
    </row>
    <row r="480" spans="1:23" s="3" customFormat="1" ht="17.25" customHeight="1">
      <c r="A480" s="190"/>
      <c r="B480" s="190"/>
      <c r="C480" s="183"/>
      <c r="D480" s="22"/>
      <c r="E480" s="16"/>
      <c r="F480" s="51"/>
      <c r="G480" s="51"/>
      <c r="H480" s="52"/>
      <c r="I480" s="167"/>
      <c r="J480" s="53"/>
      <c r="K480" s="45"/>
      <c r="L480" s="53"/>
      <c r="M480" s="53"/>
      <c r="N480" s="52"/>
      <c r="O480" s="52"/>
      <c r="P480" s="52"/>
      <c r="Q480" s="52"/>
      <c r="R480" s="52"/>
      <c r="S480" s="52"/>
      <c r="T480" s="52"/>
      <c r="U480" s="52"/>
      <c r="V480" s="52"/>
      <c r="W480" s="52"/>
    </row>
    <row r="481" spans="1:23" s="3" customFormat="1" ht="17.25" customHeight="1">
      <c r="A481" s="912" t="s">
        <v>582</v>
      </c>
      <c r="B481" s="68"/>
      <c r="C481" s="68"/>
      <c r="D481" s="16"/>
      <c r="E481" s="16"/>
      <c r="F481" s="51"/>
      <c r="G481" s="51"/>
      <c r="H481" s="52"/>
      <c r="I481" s="167"/>
      <c r="J481" s="53"/>
      <c r="K481" s="45"/>
      <c r="L481" s="53"/>
      <c r="M481" s="53"/>
      <c r="N481" s="52"/>
      <c r="O481" s="52"/>
      <c r="P481" s="52"/>
      <c r="Q481" s="52"/>
      <c r="R481" s="52"/>
      <c r="S481" s="52"/>
      <c r="T481" s="52"/>
      <c r="U481" s="52"/>
      <c r="V481" s="52"/>
      <c r="W481" s="52"/>
    </row>
    <row r="482" spans="1:23" s="3" customFormat="1" ht="17.25" customHeight="1">
      <c r="A482" s="912"/>
      <c r="B482" s="68"/>
      <c r="C482" s="68"/>
      <c r="D482" s="16"/>
      <c r="E482" s="16"/>
      <c r="F482" s="51"/>
      <c r="G482" s="51"/>
      <c r="H482" s="52"/>
      <c r="I482" s="167"/>
      <c r="J482" s="53"/>
      <c r="K482" s="45"/>
      <c r="L482" s="53"/>
      <c r="M482" s="53"/>
      <c r="N482" s="52"/>
      <c r="O482" s="52"/>
      <c r="P482" s="52"/>
      <c r="Q482" s="52"/>
      <c r="R482" s="52"/>
      <c r="S482" s="52"/>
      <c r="T482" s="52"/>
      <c r="U482" s="52"/>
      <c r="V482" s="52"/>
      <c r="W482" s="52"/>
    </row>
    <row r="483" spans="1:23" s="3" customFormat="1" ht="17.25" customHeight="1">
      <c r="A483" s="912" t="s">
        <v>576</v>
      </c>
      <c r="B483" s="68"/>
      <c r="C483" s="68"/>
      <c r="D483" s="16"/>
      <c r="E483" s="16"/>
      <c r="F483" s="51"/>
      <c r="G483" s="51"/>
      <c r="H483" s="52"/>
      <c r="I483" s="167"/>
      <c r="J483" s="53"/>
      <c r="K483" s="45"/>
      <c r="L483" s="53"/>
      <c r="M483" s="53"/>
      <c r="N483" s="52"/>
      <c r="O483" s="52"/>
      <c r="P483" s="52"/>
      <c r="Q483" s="52"/>
      <c r="R483" s="52"/>
      <c r="S483" s="52"/>
      <c r="T483" s="52"/>
      <c r="U483" s="52"/>
      <c r="V483" s="52"/>
      <c r="W483" s="52"/>
    </row>
    <row r="484" spans="1:23" s="3" customFormat="1" ht="17.25" customHeight="1">
      <c r="A484" s="191"/>
      <c r="B484" s="68"/>
      <c r="C484" s="68"/>
      <c r="D484" s="16"/>
      <c r="E484" s="16"/>
      <c r="F484" s="51"/>
      <c r="G484" s="51"/>
      <c r="H484" s="52"/>
      <c r="I484" s="167"/>
      <c r="J484" s="53"/>
      <c r="K484" s="45"/>
      <c r="L484" s="53"/>
      <c r="M484" s="53"/>
      <c r="N484" s="52"/>
      <c r="O484" s="52"/>
      <c r="P484" s="52"/>
      <c r="Q484" s="52"/>
      <c r="R484" s="52"/>
      <c r="S484" s="52"/>
      <c r="T484" s="52"/>
      <c r="U484" s="52"/>
      <c r="V484" s="52"/>
      <c r="W484" s="52"/>
    </row>
    <row r="485" spans="1:23" s="3" customFormat="1" ht="17.25" customHeight="1">
      <c r="A485" s="912" t="s">
        <v>574</v>
      </c>
      <c r="B485" s="704"/>
      <c r="C485" s="704"/>
      <c r="D485" s="705"/>
      <c r="E485" s="705"/>
      <c r="F485" s="51"/>
      <c r="G485" s="51"/>
      <c r="H485" s="52"/>
      <c r="I485" s="167"/>
      <c r="J485" s="53"/>
      <c r="K485" s="45"/>
      <c r="L485" s="53"/>
      <c r="M485" s="53"/>
      <c r="N485" s="52"/>
      <c r="O485" s="52"/>
      <c r="P485" s="52"/>
      <c r="Q485" s="52"/>
      <c r="R485" s="52"/>
      <c r="S485" s="52"/>
      <c r="T485" s="52"/>
      <c r="U485" s="52"/>
      <c r="V485" s="52"/>
      <c r="W485" s="52"/>
    </row>
    <row r="486" spans="1:23" s="3" customFormat="1" ht="17.25" customHeight="1">
      <c r="A486" s="913" t="s">
        <v>575</v>
      </c>
      <c r="B486" s="704"/>
      <c r="C486" s="704"/>
      <c r="D486" s="705"/>
      <c r="E486" s="705"/>
      <c r="F486" s="51"/>
      <c r="G486" s="51"/>
      <c r="H486" s="52"/>
      <c r="I486" s="167"/>
      <c r="J486" s="53"/>
      <c r="K486" s="45"/>
      <c r="L486" s="53"/>
      <c r="M486" s="53"/>
      <c r="N486" s="52"/>
      <c r="O486" s="52"/>
      <c r="P486" s="52"/>
      <c r="Q486" s="52"/>
      <c r="R486" s="52"/>
      <c r="S486" s="52"/>
      <c r="T486" s="52"/>
      <c r="U486" s="52"/>
      <c r="V486" s="52"/>
      <c r="W486" s="52"/>
    </row>
    <row r="487" spans="1:23" s="3" customFormat="1" ht="17.25" customHeight="1">
      <c r="A487" s="912" t="s">
        <v>578</v>
      </c>
      <c r="B487" s="130"/>
      <c r="C487" s="68"/>
      <c r="D487" s="16"/>
      <c r="E487" s="16"/>
      <c r="F487" s="51"/>
      <c r="G487" s="51"/>
      <c r="H487" s="52"/>
      <c r="I487" s="167"/>
      <c r="J487" s="53"/>
      <c r="K487" s="45"/>
      <c r="L487" s="53"/>
      <c r="M487" s="53"/>
      <c r="N487" s="52"/>
      <c r="O487" s="52"/>
      <c r="P487" s="52"/>
      <c r="Q487" s="52"/>
      <c r="R487" s="52"/>
      <c r="S487" s="52"/>
      <c r="T487" s="52"/>
      <c r="U487" s="52"/>
      <c r="V487" s="52"/>
      <c r="W487" s="52"/>
    </row>
    <row r="488" spans="1:23" s="3" customFormat="1" ht="17.25" customHeight="1">
      <c r="A488" s="190"/>
      <c r="B488" s="190"/>
      <c r="C488" s="183"/>
      <c r="D488" s="22"/>
      <c r="E488" s="16"/>
      <c r="F488" s="51"/>
      <c r="G488" s="51"/>
      <c r="H488" s="52"/>
      <c r="I488" s="167"/>
      <c r="J488" s="53"/>
      <c r="K488" s="45"/>
      <c r="L488" s="53"/>
      <c r="M488" s="53"/>
      <c r="N488" s="52"/>
      <c r="O488" s="52"/>
      <c r="P488" s="52"/>
      <c r="Q488" s="52"/>
      <c r="R488" s="52"/>
      <c r="S488" s="52"/>
      <c r="T488" s="52"/>
      <c r="U488" s="52"/>
      <c r="V488" s="52"/>
      <c r="W488" s="52"/>
    </row>
    <row r="489" spans="1:23" s="3" customFormat="1" ht="17.25" customHeight="1">
      <c r="A489" s="702"/>
      <c r="B489" s="703"/>
      <c r="C489" s="704"/>
      <c r="D489" s="705"/>
      <c r="E489" s="705"/>
      <c r="F489" s="705"/>
      <c r="G489" s="705"/>
      <c r="H489" s="706"/>
      <c r="I489" s="167"/>
      <c r="J489" s="53"/>
      <c r="K489" s="45"/>
      <c r="L489" s="53"/>
      <c r="M489" s="53"/>
      <c r="N489" s="52"/>
      <c r="O489" s="52"/>
      <c r="P489" s="52"/>
      <c r="Q489" s="52"/>
      <c r="R489" s="52"/>
      <c r="S489" s="52"/>
      <c r="T489" s="52"/>
      <c r="U489" s="52"/>
      <c r="V489" s="52"/>
      <c r="W489" s="52"/>
    </row>
    <row r="490" spans="1:23" s="3" customFormat="1" ht="17.25" customHeight="1">
      <c r="A490" s="912" t="s">
        <v>583</v>
      </c>
      <c r="B490" s="68"/>
      <c r="C490" s="68"/>
      <c r="D490" s="705"/>
      <c r="E490" s="705"/>
      <c r="F490" s="705"/>
      <c r="G490" s="705"/>
      <c r="H490" s="706"/>
      <c r="I490" s="167"/>
      <c r="J490" s="53"/>
      <c r="K490" s="45"/>
      <c r="L490" s="53"/>
      <c r="M490" s="53"/>
      <c r="N490" s="52"/>
      <c r="O490" s="52"/>
      <c r="P490" s="52"/>
      <c r="Q490" s="52"/>
      <c r="R490" s="52"/>
      <c r="S490" s="52"/>
      <c r="T490" s="52"/>
      <c r="U490" s="52"/>
      <c r="V490" s="52"/>
      <c r="W490" s="52"/>
    </row>
    <row r="491" spans="1:23" s="3" customFormat="1" ht="17.25" customHeight="1">
      <c r="A491" s="191"/>
      <c r="B491" s="68"/>
      <c r="C491" s="68"/>
      <c r="D491" s="705"/>
      <c r="E491" s="705"/>
      <c r="F491" s="705"/>
      <c r="G491" s="705"/>
      <c r="H491" s="706"/>
      <c r="I491" s="167"/>
      <c r="J491" s="53"/>
      <c r="K491" s="45"/>
      <c r="L491" s="53"/>
      <c r="M491" s="53"/>
      <c r="N491" s="52"/>
      <c r="O491" s="52"/>
      <c r="P491" s="52"/>
      <c r="Q491" s="52"/>
      <c r="R491" s="52"/>
      <c r="S491" s="52"/>
      <c r="T491" s="52"/>
      <c r="U491" s="52"/>
      <c r="V491" s="52"/>
      <c r="W491" s="52"/>
    </row>
    <row r="492" spans="1:23" s="3" customFormat="1" ht="17.25" customHeight="1">
      <c r="A492" s="912" t="s">
        <v>579</v>
      </c>
      <c r="B492" s="704"/>
      <c r="C492" s="704"/>
      <c r="D492" s="705"/>
      <c r="E492" s="705"/>
      <c r="F492" s="705"/>
      <c r="G492" s="705"/>
      <c r="H492" s="706"/>
      <c r="I492" s="167"/>
      <c r="J492" s="53"/>
      <c r="K492" s="45"/>
      <c r="L492" s="53"/>
      <c r="M492" s="53"/>
      <c r="N492" s="52"/>
      <c r="O492" s="52"/>
      <c r="P492" s="52"/>
      <c r="Q492" s="52"/>
      <c r="R492" s="52"/>
      <c r="S492" s="52"/>
      <c r="T492" s="52"/>
      <c r="U492" s="52"/>
      <c r="V492" s="52"/>
      <c r="W492" s="52"/>
    </row>
    <row r="493" spans="1:23" s="3" customFormat="1" ht="17.25" customHeight="1">
      <c r="A493" s="913" t="s">
        <v>575</v>
      </c>
      <c r="B493" s="704"/>
      <c r="C493" s="704"/>
      <c r="D493" s="705"/>
      <c r="E493" s="705"/>
      <c r="F493" s="705"/>
      <c r="G493" s="705"/>
      <c r="H493" s="706"/>
      <c r="I493" s="167"/>
      <c r="J493" s="53"/>
      <c r="K493" s="45"/>
      <c r="L493" s="53"/>
      <c r="M493" s="53"/>
      <c r="N493" s="52"/>
      <c r="O493" s="52"/>
      <c r="P493" s="52"/>
      <c r="Q493" s="52"/>
      <c r="R493" s="52"/>
      <c r="S493" s="52"/>
      <c r="T493" s="52"/>
      <c r="U493" s="52"/>
      <c r="V493" s="52"/>
      <c r="W493" s="52"/>
    </row>
    <row r="494" spans="1:23" s="3" customFormat="1" ht="17.25" customHeight="1">
      <c r="A494" s="912" t="s">
        <v>580</v>
      </c>
      <c r="B494" s="130"/>
      <c r="C494" s="68"/>
      <c r="D494" s="705"/>
      <c r="E494" s="705"/>
      <c r="F494" s="705"/>
      <c r="G494" s="705"/>
      <c r="H494" s="706"/>
      <c r="I494" s="167"/>
      <c r="J494" s="53"/>
      <c r="K494" s="45"/>
      <c r="L494" s="53"/>
      <c r="M494" s="53"/>
      <c r="N494" s="52"/>
      <c r="O494" s="52"/>
      <c r="P494" s="52"/>
      <c r="Q494" s="52"/>
      <c r="R494" s="52"/>
      <c r="S494" s="52"/>
      <c r="T494" s="52"/>
      <c r="U494" s="52"/>
      <c r="V494" s="52"/>
      <c r="W494" s="52"/>
    </row>
    <row r="495" spans="1:23" s="3" customFormat="1" ht="17.25" customHeight="1">
      <c r="A495" s="702"/>
      <c r="B495" s="703"/>
      <c r="C495" s="704"/>
      <c r="D495" s="705"/>
      <c r="E495" s="705"/>
      <c r="F495" s="705"/>
      <c r="G495" s="705"/>
      <c r="H495" s="706"/>
      <c r="I495" s="167"/>
      <c r="J495" s="53"/>
      <c r="K495" s="45"/>
      <c r="L495" s="53"/>
      <c r="M495" s="53"/>
      <c r="N495" s="52"/>
      <c r="O495" s="52"/>
      <c r="P495" s="52"/>
      <c r="Q495" s="52"/>
      <c r="R495" s="52"/>
      <c r="S495" s="52"/>
      <c r="T495" s="52"/>
      <c r="U495" s="52"/>
      <c r="V495" s="52"/>
      <c r="W495" s="52"/>
    </row>
    <row r="496" spans="1:23" s="3" customFormat="1" ht="17.25" customHeight="1">
      <c r="A496" s="702"/>
      <c r="B496" s="703"/>
      <c r="C496" s="704"/>
      <c r="D496" s="705"/>
      <c r="E496" s="705"/>
      <c r="F496" s="705"/>
      <c r="G496" s="705"/>
      <c r="H496" s="706"/>
      <c r="I496" s="167"/>
      <c r="J496" s="53"/>
      <c r="K496" s="45"/>
      <c r="L496" s="53"/>
      <c r="M496" s="53"/>
      <c r="N496" s="52"/>
      <c r="O496" s="52"/>
      <c r="P496" s="52"/>
      <c r="Q496" s="52"/>
      <c r="R496" s="52"/>
      <c r="S496" s="52"/>
      <c r="T496" s="52"/>
      <c r="U496" s="52"/>
      <c r="V496" s="52"/>
      <c r="W496" s="52"/>
    </row>
    <row r="497" spans="1:23" ht="18.75">
      <c r="A497" s="192" t="s">
        <v>584</v>
      </c>
      <c r="B497" s="68"/>
      <c r="C497" s="68"/>
      <c r="D497" s="16"/>
      <c r="E497" s="16"/>
      <c r="F497" s="16"/>
      <c r="G497" s="151"/>
      <c r="H497" s="17"/>
      <c r="I497" s="141"/>
      <c r="J497" s="38"/>
      <c r="K497" s="134"/>
      <c r="L497" s="37"/>
      <c r="M497" s="37"/>
      <c r="N497" s="16"/>
      <c r="O497" s="16"/>
      <c r="P497" s="16"/>
      <c r="Q497" s="135"/>
      <c r="R497" s="135"/>
      <c r="S497" s="135"/>
      <c r="T497" s="135"/>
      <c r="U497" s="135"/>
      <c r="V497" s="135"/>
      <c r="W497" s="135"/>
    </row>
    <row r="498" spans="1:23" ht="15.75">
      <c r="A498" s="191"/>
      <c r="B498" s="68"/>
      <c r="C498" s="68"/>
      <c r="D498" s="16"/>
      <c r="E498" s="16"/>
      <c r="F498" s="16"/>
      <c r="G498" s="151"/>
      <c r="H498" s="143"/>
      <c r="I498" s="141"/>
      <c r="J498" s="38"/>
      <c r="K498" s="134"/>
      <c r="L498" s="37"/>
      <c r="M498" s="37"/>
      <c r="N498" s="16"/>
      <c r="O498" s="16"/>
      <c r="P498" s="16"/>
      <c r="Q498" s="135"/>
      <c r="R498" s="135"/>
      <c r="S498" s="135"/>
      <c r="T498" s="135"/>
      <c r="U498" s="135"/>
      <c r="V498" s="135"/>
      <c r="W498" s="135"/>
    </row>
    <row r="499" spans="1:23" ht="15.75">
      <c r="A499" s="191"/>
      <c r="B499" s="68"/>
      <c r="C499" s="68"/>
      <c r="D499" s="16"/>
      <c r="E499" s="16"/>
      <c r="F499" s="16"/>
      <c r="G499" s="151"/>
      <c r="H499" s="143"/>
      <c r="I499" s="141"/>
      <c r="J499" s="38"/>
      <c r="K499" s="134"/>
      <c r="L499" s="37"/>
      <c r="M499" s="37"/>
      <c r="N499" s="16"/>
      <c r="O499" s="16"/>
      <c r="P499" s="16"/>
      <c r="Q499" s="135"/>
      <c r="R499" s="135"/>
      <c r="S499" s="135"/>
      <c r="T499" s="135"/>
      <c r="U499" s="135"/>
      <c r="V499" s="135"/>
      <c r="W499" s="135"/>
    </row>
    <row r="500" spans="1:23" ht="15.75">
      <c r="A500" s="142" t="s">
        <v>389</v>
      </c>
      <c r="B500" s="142"/>
      <c r="C500" s="193"/>
      <c r="D500" s="194"/>
      <c r="E500" s="16"/>
      <c r="F500" s="16"/>
      <c r="G500" s="143"/>
      <c r="H500" s="143">
        <f>H504+H507</f>
        <v>8916.69</v>
      </c>
      <c r="I500" s="141"/>
      <c r="J500" s="38"/>
      <c r="K500" s="134"/>
      <c r="L500" s="37"/>
      <c r="M500" s="37"/>
      <c r="N500" s="16"/>
      <c r="O500" s="16"/>
      <c r="P500" s="16"/>
      <c r="Q500" s="135"/>
      <c r="R500" s="135"/>
      <c r="S500" s="135"/>
      <c r="T500" s="135"/>
      <c r="U500" s="135"/>
      <c r="V500" s="135"/>
      <c r="W500" s="135"/>
    </row>
    <row r="501" spans="1:23" ht="15.75">
      <c r="A501" s="142" t="s">
        <v>390</v>
      </c>
      <c r="B501" s="142"/>
      <c r="C501" s="193"/>
      <c r="D501" s="194"/>
      <c r="E501" s="16"/>
      <c r="F501" s="16"/>
      <c r="G501" s="143"/>
      <c r="H501" s="143">
        <f>H505+H508</f>
        <v>381305.17999999993</v>
      </c>
      <c r="I501" s="141"/>
      <c r="J501" s="38"/>
      <c r="K501" s="134"/>
      <c r="L501" s="37"/>
      <c r="M501" s="37"/>
      <c r="N501" s="16"/>
      <c r="O501" s="16"/>
      <c r="P501" s="16"/>
      <c r="Q501" s="135"/>
      <c r="R501" s="135"/>
      <c r="S501" s="135"/>
      <c r="T501" s="135"/>
      <c r="U501" s="135"/>
      <c r="V501" s="135"/>
      <c r="W501" s="135"/>
    </row>
    <row r="502" spans="1:23" ht="15.75">
      <c r="A502" s="142" t="s">
        <v>391</v>
      </c>
      <c r="B502" s="142"/>
      <c r="C502" s="193"/>
      <c r="D502" s="194"/>
      <c r="E502" s="16"/>
      <c r="F502" s="16"/>
      <c r="G502" s="143"/>
      <c r="H502" s="143"/>
      <c r="I502" s="141"/>
      <c r="J502" s="38"/>
      <c r="K502" s="134"/>
      <c r="L502" s="37"/>
      <c r="M502" s="37"/>
      <c r="N502" s="16"/>
      <c r="O502" s="16"/>
      <c r="P502" s="16"/>
      <c r="Q502" s="135"/>
      <c r="R502" s="135"/>
      <c r="S502" s="135"/>
      <c r="T502" s="135"/>
      <c r="U502" s="135"/>
      <c r="V502" s="135"/>
      <c r="W502" s="135"/>
    </row>
    <row r="503" spans="1:23" ht="15.75">
      <c r="A503" s="142"/>
      <c r="B503" s="142"/>
      <c r="C503" s="193"/>
      <c r="D503" s="194"/>
      <c r="E503" s="16"/>
      <c r="F503" s="16"/>
      <c r="G503" s="143"/>
      <c r="H503" s="143"/>
      <c r="I503" s="141"/>
      <c r="J503" s="38"/>
      <c r="K503" s="134"/>
      <c r="L503" s="37"/>
      <c r="M503" s="37"/>
      <c r="N503" s="16"/>
      <c r="O503" s="16"/>
      <c r="P503" s="16"/>
      <c r="Q503" s="135"/>
      <c r="R503" s="135"/>
      <c r="S503" s="135"/>
      <c r="T503" s="135"/>
      <c r="U503" s="135"/>
      <c r="V503" s="135"/>
      <c r="W503" s="135"/>
    </row>
    <row r="504" spans="1:23" ht="15.75">
      <c r="A504" s="142"/>
      <c r="B504" s="142" t="s">
        <v>392</v>
      </c>
      <c r="C504" s="195"/>
      <c r="D504" s="196"/>
      <c r="E504" s="16"/>
      <c r="F504" s="16"/>
      <c r="G504" s="143"/>
      <c r="H504" s="143">
        <v>3987.11</v>
      </c>
      <c r="I504" s="141"/>
      <c r="J504" s="38"/>
      <c r="K504" s="134"/>
      <c r="L504" s="37"/>
      <c r="M504" s="37"/>
      <c r="N504" s="16"/>
      <c r="O504" s="16"/>
      <c r="P504" s="16"/>
      <c r="Q504" s="135"/>
      <c r="R504" s="135"/>
      <c r="S504" s="135"/>
      <c r="T504" s="135"/>
      <c r="U504" s="135"/>
      <c r="V504" s="135"/>
      <c r="W504" s="135"/>
    </row>
    <row r="505" spans="1:23" ht="15.75">
      <c r="A505" s="142"/>
      <c r="B505" s="142" t="s">
        <v>393</v>
      </c>
      <c r="C505" s="195"/>
      <c r="D505" s="196"/>
      <c r="E505" s="16"/>
      <c r="F505" s="16"/>
      <c r="G505" s="143"/>
      <c r="H505" s="143">
        <f>H504+212388.49</f>
        <v>216375.59999999998</v>
      </c>
      <c r="I505" s="141"/>
      <c r="J505" s="38"/>
      <c r="K505" s="134"/>
      <c r="L505" s="37"/>
      <c r="M505" s="37"/>
      <c r="N505" s="16"/>
      <c r="O505" s="16"/>
      <c r="P505" s="16"/>
      <c r="Q505" s="135"/>
      <c r="R505" s="135"/>
      <c r="S505" s="135"/>
      <c r="T505" s="135"/>
      <c r="U505" s="135"/>
      <c r="V505" s="135"/>
      <c r="W505" s="135"/>
    </row>
    <row r="506" spans="1:23" ht="15.75">
      <c r="A506" s="142"/>
      <c r="B506" s="142"/>
      <c r="C506" s="195"/>
      <c r="D506" s="196"/>
      <c r="E506" s="16"/>
      <c r="F506" s="16"/>
      <c r="G506" s="143"/>
      <c r="H506" s="143"/>
      <c r="I506" s="141"/>
      <c r="J506" s="38"/>
      <c r="K506" s="134"/>
      <c r="L506" s="37"/>
      <c r="M506" s="37"/>
      <c r="N506" s="16"/>
      <c r="O506" s="16"/>
      <c r="P506" s="16"/>
      <c r="Q506" s="135"/>
      <c r="R506" s="135"/>
      <c r="S506" s="135"/>
      <c r="T506" s="135"/>
      <c r="U506" s="135"/>
      <c r="V506" s="135"/>
      <c r="W506" s="135"/>
    </row>
    <row r="507" spans="1:23" ht="15.75">
      <c r="A507" s="142"/>
      <c r="B507" s="142" t="s">
        <v>654</v>
      </c>
      <c r="C507" s="195"/>
      <c r="D507" s="196"/>
      <c r="E507" s="16"/>
      <c r="F507" s="16"/>
      <c r="G507" s="143"/>
      <c r="H507" s="143">
        <v>4929.58</v>
      </c>
      <c r="I507" s="141"/>
      <c r="J507" s="38"/>
      <c r="K507" s="134"/>
      <c r="L507" s="37"/>
      <c r="M507" s="37"/>
      <c r="N507" s="16"/>
      <c r="O507" s="16"/>
      <c r="P507" s="16"/>
      <c r="Q507" s="135"/>
      <c r="R507" s="135"/>
      <c r="S507" s="135"/>
      <c r="T507" s="135"/>
      <c r="U507" s="135"/>
      <c r="V507" s="135"/>
      <c r="W507" s="135"/>
    </row>
    <row r="508" spans="1:23" ht="15.75">
      <c r="A508" s="142"/>
      <c r="B508" s="142" t="s">
        <v>393</v>
      </c>
      <c r="C508" s="195"/>
      <c r="D508" s="196"/>
      <c r="E508" s="16"/>
      <c r="F508" s="16"/>
      <c r="G508" s="143"/>
      <c r="H508" s="143">
        <f>H507+200000-40000</f>
        <v>164929.58</v>
      </c>
      <c r="I508" s="141"/>
      <c r="J508" s="38"/>
      <c r="K508" s="134"/>
      <c r="L508" s="37"/>
      <c r="M508" s="37"/>
      <c r="N508" s="16"/>
      <c r="O508" s="16"/>
      <c r="P508" s="16"/>
      <c r="Q508" s="135"/>
      <c r="R508" s="135"/>
      <c r="S508" s="135"/>
      <c r="T508" s="135"/>
      <c r="U508" s="135"/>
      <c r="V508" s="135"/>
      <c r="W508" s="135"/>
    </row>
    <row r="509" spans="1:23" ht="15.75">
      <c r="A509" s="142"/>
      <c r="B509" s="142"/>
      <c r="C509" s="193"/>
      <c r="D509" s="194"/>
      <c r="E509" s="16"/>
      <c r="F509" s="16"/>
      <c r="G509" s="143"/>
      <c r="H509" s="143"/>
      <c r="I509" s="141"/>
      <c r="J509" s="38"/>
      <c r="K509" s="134"/>
      <c r="L509" s="37"/>
      <c r="M509" s="37"/>
      <c r="N509" s="16"/>
      <c r="O509" s="16"/>
      <c r="P509" s="16"/>
      <c r="Q509" s="135"/>
      <c r="R509" s="135"/>
      <c r="S509" s="135"/>
      <c r="T509" s="135"/>
      <c r="U509" s="135"/>
      <c r="V509" s="135"/>
      <c r="W509" s="135"/>
    </row>
    <row r="510" spans="1:23" ht="15.75">
      <c r="A510" s="142"/>
      <c r="B510" s="142"/>
      <c r="C510" s="195"/>
      <c r="D510" s="196"/>
      <c r="E510" s="16"/>
      <c r="F510" s="16"/>
      <c r="G510" s="143"/>
      <c r="H510" s="143"/>
      <c r="I510" s="141"/>
      <c r="J510" s="38"/>
      <c r="K510" s="134"/>
      <c r="L510" s="37"/>
      <c r="M510" s="37"/>
      <c r="N510" s="16"/>
      <c r="O510" s="16"/>
      <c r="P510" s="16"/>
      <c r="Q510" s="135"/>
      <c r="R510" s="135"/>
      <c r="S510" s="135"/>
      <c r="T510" s="135"/>
      <c r="U510" s="135"/>
      <c r="V510" s="135"/>
      <c r="W510" s="135"/>
    </row>
    <row r="511" spans="1:23" ht="15.75">
      <c r="A511" s="81" t="s">
        <v>40</v>
      </c>
      <c r="B511" s="142"/>
      <c r="C511" s="195"/>
      <c r="D511" s="196"/>
      <c r="E511" s="16"/>
      <c r="F511" s="16"/>
      <c r="G511" s="143"/>
      <c r="H511" s="143">
        <f>H514+H516</f>
        <v>385000</v>
      </c>
      <c r="I511" s="141"/>
      <c r="J511" s="38"/>
      <c r="K511" s="134"/>
      <c r="L511" s="37"/>
      <c r="M511" s="37"/>
      <c r="N511" s="16"/>
      <c r="O511" s="16"/>
      <c r="P511" s="16"/>
      <c r="Q511" s="135"/>
      <c r="R511" s="135"/>
      <c r="S511" s="135"/>
      <c r="T511" s="135"/>
      <c r="U511" s="135"/>
      <c r="V511" s="135"/>
      <c r="W511" s="135"/>
    </row>
    <row r="512" spans="1:23" ht="15.75">
      <c r="A512" s="142"/>
      <c r="B512" s="142" t="s">
        <v>351</v>
      </c>
      <c r="C512" s="195"/>
      <c r="D512" s="196"/>
      <c r="E512" s="16"/>
      <c r="F512" s="16"/>
      <c r="G512" s="143"/>
      <c r="H512" s="143"/>
      <c r="I512" s="141"/>
      <c r="J512" s="38"/>
      <c r="K512" s="134"/>
      <c r="L512" s="37"/>
      <c r="M512" s="37"/>
      <c r="N512" s="16"/>
      <c r="O512" s="16"/>
      <c r="P512" s="16"/>
      <c r="Q512" s="135"/>
      <c r="R512" s="135"/>
      <c r="S512" s="135"/>
      <c r="T512" s="135"/>
      <c r="U512" s="135"/>
      <c r="V512" s="135"/>
      <c r="W512" s="135"/>
    </row>
    <row r="513" spans="1:23" ht="15.75">
      <c r="A513" s="142"/>
      <c r="B513" s="142"/>
      <c r="C513" s="195"/>
      <c r="D513" s="196"/>
      <c r="E513" s="16"/>
      <c r="F513" s="16"/>
      <c r="G513" s="143"/>
      <c r="H513" s="143"/>
      <c r="I513" s="141"/>
      <c r="J513" s="38"/>
      <c r="K513" s="134"/>
      <c r="L513" s="37"/>
      <c r="M513" s="37"/>
      <c r="N513" s="16"/>
      <c r="O513" s="16"/>
      <c r="P513" s="16"/>
      <c r="Q513" s="135"/>
      <c r="R513" s="135"/>
      <c r="S513" s="135"/>
      <c r="T513" s="135"/>
      <c r="U513" s="135"/>
      <c r="V513" s="135"/>
      <c r="W513" s="135"/>
    </row>
    <row r="514" spans="1:23" ht="16.5" customHeight="1">
      <c r="A514" s="142"/>
      <c r="B514" s="142" t="s">
        <v>392</v>
      </c>
      <c r="C514" s="195"/>
      <c r="D514" s="196"/>
      <c r="E514" s="16"/>
      <c r="F514" s="16"/>
      <c r="G514" s="143"/>
      <c r="H514" s="143">
        <v>200000</v>
      </c>
      <c r="I514" s="141"/>
      <c r="J514" s="38"/>
      <c r="K514" s="134"/>
      <c r="L514" s="37"/>
      <c r="M514" s="37"/>
      <c r="N514" s="16"/>
      <c r="O514" s="16"/>
      <c r="P514" s="16"/>
      <c r="Q514" s="135"/>
      <c r="R514" s="135"/>
      <c r="S514" s="135"/>
      <c r="T514" s="135"/>
      <c r="U514" s="135"/>
      <c r="V514" s="135"/>
      <c r="W514" s="135"/>
    </row>
    <row r="515" spans="1:23" ht="15.75">
      <c r="A515" s="142"/>
      <c r="B515" s="142"/>
      <c r="C515" s="195"/>
      <c r="D515" s="196"/>
      <c r="E515" s="16"/>
      <c r="F515" s="16"/>
      <c r="G515" s="143"/>
      <c r="H515" s="143"/>
      <c r="I515" s="141"/>
      <c r="J515" s="38"/>
      <c r="K515" s="134"/>
      <c r="L515" s="37"/>
      <c r="M515" s="37"/>
      <c r="N515" s="16"/>
      <c r="O515" s="16"/>
      <c r="P515" s="16"/>
      <c r="Q515" s="135"/>
      <c r="R515" s="135"/>
      <c r="S515" s="135"/>
      <c r="T515" s="135"/>
      <c r="U515" s="135"/>
      <c r="V515" s="135"/>
      <c r="W515" s="135"/>
    </row>
    <row r="516" spans="1:23" ht="15.75">
      <c r="A516" s="142"/>
      <c r="B516" s="142" t="s">
        <v>654</v>
      </c>
      <c r="C516" s="195"/>
      <c r="D516" s="196"/>
      <c r="E516" s="16"/>
      <c r="F516" s="16"/>
      <c r="G516" s="143"/>
      <c r="H516" s="143">
        <v>185000</v>
      </c>
      <c r="I516" s="141"/>
      <c r="J516" s="38"/>
      <c r="K516" s="134"/>
      <c r="L516" s="37"/>
      <c r="M516" s="37"/>
      <c r="N516" s="16"/>
      <c r="O516" s="16"/>
      <c r="P516" s="16"/>
      <c r="Q516" s="135"/>
      <c r="R516" s="135"/>
      <c r="S516" s="135"/>
      <c r="T516" s="135"/>
      <c r="U516" s="135"/>
      <c r="V516" s="135"/>
      <c r="W516" s="135"/>
    </row>
    <row r="517" spans="1:23" ht="15.75">
      <c r="A517" s="142"/>
      <c r="B517" s="142"/>
      <c r="C517" s="195"/>
      <c r="D517" s="196"/>
      <c r="E517" s="16"/>
      <c r="F517" s="16"/>
      <c r="G517" s="143"/>
      <c r="H517" s="143"/>
      <c r="I517" s="141"/>
      <c r="J517" s="38"/>
      <c r="K517" s="134"/>
      <c r="L517" s="37"/>
      <c r="M517" s="37"/>
      <c r="N517" s="16"/>
      <c r="O517" s="16"/>
      <c r="P517" s="16"/>
      <c r="Q517" s="135"/>
      <c r="R517" s="135"/>
      <c r="S517" s="135"/>
      <c r="T517" s="135"/>
      <c r="U517" s="135"/>
      <c r="V517" s="135"/>
      <c r="W517" s="135"/>
    </row>
    <row r="518" spans="1:23" ht="15.75">
      <c r="A518" s="142"/>
      <c r="B518" s="142"/>
      <c r="C518" s="195"/>
      <c r="D518" s="196"/>
      <c r="E518" s="16"/>
      <c r="F518" s="16"/>
      <c r="G518" s="143"/>
      <c r="H518" s="143"/>
      <c r="I518" s="141"/>
      <c r="J518" s="38"/>
      <c r="K518" s="134"/>
      <c r="L518" s="37"/>
      <c r="M518" s="37"/>
      <c r="N518" s="16"/>
      <c r="O518" s="16"/>
      <c r="P518" s="16"/>
      <c r="Q518" s="135"/>
      <c r="R518" s="135"/>
      <c r="S518" s="135"/>
      <c r="T518" s="135"/>
      <c r="U518" s="135"/>
      <c r="V518" s="135"/>
      <c r="W518" s="135"/>
    </row>
    <row r="519" spans="1:13" ht="16.5" customHeight="1">
      <c r="A519" s="98" t="s">
        <v>394</v>
      </c>
      <c r="B519" s="98"/>
      <c r="C519" s="197"/>
      <c r="D519" s="198"/>
      <c r="E519" s="198"/>
      <c r="F519" s="199"/>
      <c r="G519" s="198"/>
      <c r="H519" s="143"/>
      <c r="I519" s="72"/>
      <c r="J519" s="1"/>
      <c r="K519" s="200"/>
      <c r="L519" s="4"/>
      <c r="M519" s="4"/>
    </row>
    <row r="520" spans="1:13" ht="16.5" customHeight="1">
      <c r="A520" s="98"/>
      <c r="B520" s="98"/>
      <c r="C520" s="197"/>
      <c r="D520" s="198"/>
      <c r="E520" s="198"/>
      <c r="F520" s="199"/>
      <c r="G520" s="198"/>
      <c r="H520" s="143"/>
      <c r="I520" s="72"/>
      <c r="J520" s="1"/>
      <c r="K520" s="200"/>
      <c r="L520" s="4"/>
      <c r="M520" s="4"/>
    </row>
    <row r="521" spans="1:13" ht="16.5" customHeight="1">
      <c r="A521" s="98"/>
      <c r="B521" s="98"/>
      <c r="C521" s="197"/>
      <c r="D521" s="198"/>
      <c r="E521" s="198"/>
      <c r="F521" s="199"/>
      <c r="G521" s="198"/>
      <c r="H521" s="143"/>
      <c r="I521" s="72"/>
      <c r="J521" s="1"/>
      <c r="K521" s="200"/>
      <c r="L521" s="4"/>
      <c r="M521" s="4"/>
    </row>
    <row r="522" spans="1:13" ht="18" customHeight="1">
      <c r="A522" s="201" t="s">
        <v>395</v>
      </c>
      <c r="B522" s="201"/>
      <c r="C522" s="202"/>
      <c r="D522" s="203"/>
      <c r="E522" s="203"/>
      <c r="F522" s="204"/>
      <c r="G522" s="203"/>
      <c r="H522" s="17"/>
      <c r="I522" s="72"/>
      <c r="J522" s="1"/>
      <c r="K522" s="200"/>
      <c r="L522" s="4"/>
      <c r="M522" s="4"/>
    </row>
    <row r="523" spans="1:13" ht="18" customHeight="1">
      <c r="A523" s="201"/>
      <c r="B523" s="201"/>
      <c r="C523" s="202"/>
      <c r="D523" s="203"/>
      <c r="E523" s="203"/>
      <c r="F523" s="204"/>
      <c r="G523" s="203"/>
      <c r="H523" s="17"/>
      <c r="I523" s="72"/>
      <c r="J523" s="1"/>
      <c r="K523" s="200"/>
      <c r="L523" s="4"/>
      <c r="M523" s="4"/>
    </row>
    <row r="524" spans="1:13" ht="18" customHeight="1">
      <c r="A524" s="81"/>
      <c r="B524" s="142"/>
      <c r="C524" s="195"/>
      <c r="D524" s="196"/>
      <c r="E524" s="15"/>
      <c r="F524" s="15"/>
      <c r="G524" s="15"/>
      <c r="H524" s="17"/>
      <c r="I524" s="72"/>
      <c r="J524" s="1"/>
      <c r="K524" s="200"/>
      <c r="L524" s="4"/>
      <c r="M524" s="4"/>
    </row>
    <row r="525" spans="1:13" ht="16.5" customHeight="1">
      <c r="A525" s="98" t="s">
        <v>396</v>
      </c>
      <c r="B525" s="98"/>
      <c r="C525" s="197"/>
      <c r="D525" s="198"/>
      <c r="E525" s="198"/>
      <c r="F525" s="199"/>
      <c r="G525" s="198"/>
      <c r="H525" s="143"/>
      <c r="I525" s="72"/>
      <c r="J525" s="1"/>
      <c r="K525" s="200"/>
      <c r="L525" s="4"/>
      <c r="M525" s="4"/>
    </row>
    <row r="526" spans="1:13" ht="18.75">
      <c r="A526" s="201"/>
      <c r="B526" s="201"/>
      <c r="C526" s="202"/>
      <c r="D526" s="203"/>
      <c r="E526" s="203"/>
      <c r="F526" s="204"/>
      <c r="G526" s="203"/>
      <c r="H526" s="17"/>
      <c r="I526" s="205"/>
      <c r="J526" s="1"/>
      <c r="K526" s="200"/>
      <c r="L526" s="2"/>
      <c r="M526" s="2"/>
    </row>
    <row r="527" spans="1:13" ht="18.75">
      <c r="A527" s="201" t="s">
        <v>397</v>
      </c>
      <c r="B527" s="201"/>
      <c r="C527" s="202"/>
      <c r="D527" s="203"/>
      <c r="E527" s="203"/>
      <c r="F527" s="204"/>
      <c r="G527" s="203"/>
      <c r="I527" s="205"/>
      <c r="J527" s="1"/>
      <c r="K527" s="200"/>
      <c r="L527" s="2"/>
      <c r="M527" s="2"/>
    </row>
    <row r="528" spans="1:13" ht="18.75">
      <c r="A528" s="201"/>
      <c r="B528" s="201"/>
      <c r="C528" s="202"/>
      <c r="D528" s="203"/>
      <c r="E528" s="203"/>
      <c r="F528" s="204"/>
      <c r="G528" s="203"/>
      <c r="I528" s="205"/>
      <c r="J528" s="1"/>
      <c r="K528" s="200"/>
      <c r="L528" s="2"/>
      <c r="M528" s="2"/>
    </row>
    <row r="529" spans="1:13" ht="18.75">
      <c r="A529" s="201"/>
      <c r="B529" s="201"/>
      <c r="C529" s="202"/>
      <c r="D529" s="203"/>
      <c r="E529" s="203"/>
      <c r="F529" s="204"/>
      <c r="G529" s="203"/>
      <c r="I529" s="205"/>
      <c r="J529" s="1"/>
      <c r="K529" s="200"/>
      <c r="L529" s="2"/>
      <c r="M529" s="2"/>
    </row>
    <row r="530" spans="1:13" ht="18.75">
      <c r="A530" s="201"/>
      <c r="B530" s="201"/>
      <c r="C530" s="202"/>
      <c r="D530" s="203"/>
      <c r="E530" s="203"/>
      <c r="F530" s="204"/>
      <c r="G530" s="203"/>
      <c r="I530" s="205"/>
      <c r="J530" s="1"/>
      <c r="K530" s="200"/>
      <c r="L530" s="2"/>
      <c r="M530" s="2"/>
    </row>
    <row r="531" spans="1:11" ht="18.75">
      <c r="A531" s="95"/>
      <c r="B531" s="95"/>
      <c r="C531" s="96"/>
      <c r="D531" s="206"/>
      <c r="E531" s="206"/>
      <c r="F531" s="207" t="s">
        <v>398</v>
      </c>
      <c r="G531" s="206"/>
      <c r="I531" s="72"/>
      <c r="K531" s="74"/>
    </row>
    <row r="532" spans="1:11" ht="18.75">
      <c r="A532" s="95"/>
      <c r="B532" s="95"/>
      <c r="C532" s="96"/>
      <c r="D532" s="206"/>
      <c r="E532" s="206"/>
      <c r="F532" s="207" t="s">
        <v>399</v>
      </c>
      <c r="G532" s="206"/>
      <c r="I532" s="72"/>
      <c r="K532" s="74"/>
    </row>
    <row r="533" spans="1:11" ht="18.75">
      <c r="A533" s="95"/>
      <c r="B533" s="95"/>
      <c r="C533" s="96"/>
      <c r="D533" s="206"/>
      <c r="E533" s="206"/>
      <c r="F533" s="207"/>
      <c r="G533" s="206"/>
      <c r="I533" s="72"/>
      <c r="K533" s="74"/>
    </row>
    <row r="534" spans="1:11" ht="19.5">
      <c r="A534" s="95"/>
      <c r="B534" s="95"/>
      <c r="C534" s="96"/>
      <c r="D534" s="206"/>
      <c r="E534" s="206"/>
      <c r="F534" s="208" t="s">
        <v>649</v>
      </c>
      <c r="G534" s="206"/>
      <c r="I534" s="72"/>
      <c r="K534" s="74"/>
    </row>
    <row r="535" spans="1:11" ht="18.75">
      <c r="A535" s="68"/>
      <c r="B535" s="68"/>
      <c r="C535" s="68"/>
      <c r="I535" s="72"/>
      <c r="K535" s="74"/>
    </row>
    <row r="536" spans="1:11" ht="18.75">
      <c r="A536" s="68"/>
      <c r="B536" s="68"/>
      <c r="C536" s="68"/>
      <c r="I536" s="72"/>
      <c r="K536" s="74"/>
    </row>
    <row r="537" spans="1:11" ht="18.75">
      <c r="A537" s="68"/>
      <c r="B537" s="68"/>
      <c r="C537" s="68"/>
      <c r="I537" s="72"/>
      <c r="K537" s="74"/>
    </row>
  </sheetData>
  <sheetProtection/>
  <printOptions/>
  <pageMargins left="0.1968503937007874" right="0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84"/>
  <sheetViews>
    <sheetView zoomScalePageLayoutView="0" workbookViewId="0" topLeftCell="A28">
      <selection activeCell="H41" sqref="H41"/>
    </sheetView>
  </sheetViews>
  <sheetFormatPr defaultColWidth="9.140625" defaultRowHeight="12.75"/>
  <cols>
    <col min="1" max="1" width="3.57421875" style="63" customWidth="1"/>
    <col min="2" max="2" width="5.140625" style="63" customWidth="1"/>
    <col min="3" max="3" width="6.57421875" style="63" customWidth="1"/>
    <col min="4" max="4" width="5.28125" style="63" customWidth="1"/>
    <col min="5" max="5" width="26.28125" style="63" customWidth="1"/>
    <col min="6" max="6" width="14.7109375" style="63" customWidth="1"/>
    <col min="7" max="7" width="13.421875" style="63" customWidth="1"/>
    <col min="8" max="8" width="23.28125" style="63" customWidth="1"/>
    <col min="9" max="9" width="12.421875" style="63" customWidth="1"/>
    <col min="10" max="10" width="12.28125" style="63" customWidth="1"/>
    <col min="11" max="11" width="8.421875" style="63" customWidth="1"/>
    <col min="12" max="12" width="8.140625" style="63" customWidth="1"/>
    <col min="13" max="13" width="15.140625" style="63" customWidth="1"/>
    <col min="14" max="14" width="20.8515625" style="63" customWidth="1"/>
    <col min="15" max="15" width="12.7109375" style="63" bestFit="1" customWidth="1"/>
    <col min="16" max="16384" width="9.140625" style="63" customWidth="1"/>
  </cols>
  <sheetData>
    <row r="1" spans="1:12" ht="20.25">
      <c r="A1" s="219"/>
      <c r="B1" s="220"/>
      <c r="C1" s="220"/>
      <c r="D1" s="219"/>
      <c r="E1" s="221"/>
      <c r="F1" s="221"/>
      <c r="G1" s="221"/>
      <c r="H1" s="222" t="s">
        <v>407</v>
      </c>
      <c r="I1" s="2"/>
      <c r="J1" s="2"/>
      <c r="K1" s="223"/>
      <c r="L1" s="223"/>
    </row>
    <row r="2" spans="1:12" ht="18.75">
      <c r="A2" s="219"/>
      <c r="B2" s="220"/>
      <c r="C2" s="220"/>
      <c r="D2" s="219"/>
      <c r="E2" s="221"/>
      <c r="F2" s="221"/>
      <c r="G2" s="221"/>
      <c r="H2" s="224" t="s">
        <v>313</v>
      </c>
      <c r="I2" s="2"/>
      <c r="J2" s="2"/>
      <c r="K2" s="223"/>
      <c r="L2" s="223"/>
    </row>
    <row r="3" spans="1:12" ht="18.75">
      <c r="A3" s="219"/>
      <c r="B3" s="220"/>
      <c r="C3" s="220"/>
      <c r="D3" s="219"/>
      <c r="E3" s="221"/>
      <c r="F3" s="221"/>
      <c r="G3" s="221"/>
      <c r="H3" s="224" t="s">
        <v>399</v>
      </c>
      <c r="I3" s="2"/>
      <c r="J3" s="225"/>
      <c r="K3" s="223"/>
      <c r="L3" s="223"/>
    </row>
    <row r="4" spans="1:12" ht="18.75">
      <c r="A4" s="219"/>
      <c r="B4" s="220"/>
      <c r="C4" s="220"/>
      <c r="D4" s="219"/>
      <c r="E4" s="221"/>
      <c r="F4" s="221"/>
      <c r="G4" s="221"/>
      <c r="H4" s="224" t="s">
        <v>314</v>
      </c>
      <c r="I4" s="2"/>
      <c r="J4" s="226"/>
      <c r="K4" s="223"/>
      <c r="L4" s="223"/>
    </row>
    <row r="5" spans="1:12" ht="12.75">
      <c r="A5" s="219"/>
      <c r="B5" s="220"/>
      <c r="C5" s="220"/>
      <c r="D5" s="219"/>
      <c r="E5" s="221"/>
      <c r="F5" s="221"/>
      <c r="G5" s="221"/>
      <c r="H5" s="227"/>
      <c r="I5" s="2"/>
      <c r="J5" s="2"/>
      <c r="K5" s="223"/>
      <c r="L5" s="223"/>
    </row>
    <row r="6" spans="1:12" ht="19.5">
      <c r="A6" s="219"/>
      <c r="B6" s="228"/>
      <c r="C6" s="229" t="s">
        <v>408</v>
      </c>
      <c r="D6" s="230"/>
      <c r="E6" s="231"/>
      <c r="F6" s="231"/>
      <c r="G6" s="231"/>
      <c r="H6" s="232"/>
      <c r="I6" s="233"/>
      <c r="J6" s="233"/>
      <c r="K6" s="234"/>
      <c r="L6" s="234"/>
    </row>
    <row r="7" spans="1:12" ht="19.5">
      <c r="A7" s="219"/>
      <c r="B7" s="228"/>
      <c r="C7" s="229"/>
      <c r="D7" s="230"/>
      <c r="E7" s="231"/>
      <c r="F7" s="231"/>
      <c r="G7" s="231"/>
      <c r="H7" s="232"/>
      <c r="I7" s="233"/>
      <c r="J7" s="235"/>
      <c r="K7" s="234"/>
      <c r="L7" s="234"/>
    </row>
    <row r="8" spans="1:12" ht="18.75">
      <c r="A8" s="219"/>
      <c r="B8" s="228"/>
      <c r="C8" s="236"/>
      <c r="D8" s="230"/>
      <c r="E8" s="231"/>
      <c r="F8" s="231"/>
      <c r="G8" s="231"/>
      <c r="H8" s="232"/>
      <c r="I8" s="233"/>
      <c r="J8" s="233"/>
      <c r="K8" s="234"/>
      <c r="L8" s="234"/>
    </row>
    <row r="9" spans="1:12" ht="12.75">
      <c r="A9" s="219"/>
      <c r="B9" s="228" t="s">
        <v>352</v>
      </c>
      <c r="C9" s="237"/>
      <c r="D9" s="238"/>
      <c r="E9" s="231"/>
      <c r="F9" s="231"/>
      <c r="G9" s="231"/>
      <c r="H9" s="239"/>
      <c r="I9" s="240" t="s">
        <v>409</v>
      </c>
      <c r="J9" s="240"/>
      <c r="K9" s="241"/>
      <c r="L9" s="241"/>
    </row>
    <row r="10" spans="1:12" ht="18.75" customHeight="1">
      <c r="A10" s="242"/>
      <c r="B10" s="243"/>
      <c r="C10" s="244"/>
      <c r="D10" s="244"/>
      <c r="E10" s="245"/>
      <c r="F10" s="246"/>
      <c r="G10" s="247"/>
      <c r="H10" s="245"/>
      <c r="I10" s="248" t="s">
        <v>410</v>
      </c>
      <c r="J10" s="247"/>
      <c r="K10" s="249" t="s">
        <v>352</v>
      </c>
      <c r="L10" s="249"/>
    </row>
    <row r="11" spans="1:12" ht="51" customHeight="1">
      <c r="A11" s="250" t="s">
        <v>411</v>
      </c>
      <c r="B11" s="251" t="s">
        <v>412</v>
      </c>
      <c r="C11" s="252" t="s">
        <v>360</v>
      </c>
      <c r="D11" s="252" t="s">
        <v>355</v>
      </c>
      <c r="E11" s="253" t="s">
        <v>413</v>
      </c>
      <c r="F11" s="254" t="s">
        <v>414</v>
      </c>
      <c r="G11" s="255" t="s">
        <v>415</v>
      </c>
      <c r="H11" s="256" t="s">
        <v>416</v>
      </c>
      <c r="I11" s="257"/>
      <c r="J11" s="258" t="s">
        <v>351</v>
      </c>
      <c r="K11" s="259" t="s">
        <v>417</v>
      </c>
      <c r="L11" s="259" t="s">
        <v>418</v>
      </c>
    </row>
    <row r="12" spans="1:12" ht="36.75" customHeight="1">
      <c r="A12" s="260"/>
      <c r="B12" s="261"/>
      <c r="C12" s="262"/>
      <c r="D12" s="262"/>
      <c r="E12" s="263"/>
      <c r="F12" s="264"/>
      <c r="G12" s="265" t="s">
        <v>419</v>
      </c>
      <c r="H12" s="264"/>
      <c r="I12" s="266" t="s">
        <v>419</v>
      </c>
      <c r="J12" s="267" t="s">
        <v>420</v>
      </c>
      <c r="K12" s="268"/>
      <c r="L12" s="268"/>
    </row>
    <row r="13" spans="1:15" ht="21" customHeight="1">
      <c r="A13" s="269"/>
      <c r="B13" s="270" t="s">
        <v>421</v>
      </c>
      <c r="C13" s="271"/>
      <c r="D13" s="272"/>
      <c r="E13" s="273"/>
      <c r="F13" s="274">
        <f>F14+F37+F45+F53+F58+F61+F88+F93+F104+F124+F127</f>
        <v>42412240.85000001</v>
      </c>
      <c r="G13" s="274">
        <f>G14+G37+G45+G53+G58+G61+G88+G93+G104+G124+G127</f>
        <v>5516826.97</v>
      </c>
      <c r="H13" s="274"/>
      <c r="I13" s="274">
        <f>I14+I37+I45+I53+I58+I61+I88+I93+I104+I124+I127</f>
        <v>29261997.080000002</v>
      </c>
      <c r="J13" s="274">
        <f>J14+J37+J45+J53+J58+J61+J88+J93+J104+J124+J127</f>
        <v>4349997.48</v>
      </c>
      <c r="K13" s="275"/>
      <c r="L13" s="276"/>
      <c r="N13" s="277"/>
      <c r="O13" s="277"/>
    </row>
    <row r="14" spans="1:15" ht="19.5" customHeight="1">
      <c r="A14" s="242"/>
      <c r="B14" s="278">
        <v>600</v>
      </c>
      <c r="C14" s="279"/>
      <c r="D14" s="280"/>
      <c r="E14" s="281" t="s">
        <v>422</v>
      </c>
      <c r="F14" s="282">
        <f>F15</f>
        <v>19518857.05</v>
      </c>
      <c r="G14" s="282">
        <f>G15</f>
        <v>1248500</v>
      </c>
      <c r="H14" s="282"/>
      <c r="I14" s="282">
        <f>I15</f>
        <v>11918532.030000001</v>
      </c>
      <c r="J14" s="282">
        <f>J15</f>
        <v>3396997.48</v>
      </c>
      <c r="K14" s="276"/>
      <c r="L14" s="276"/>
      <c r="N14" s="283"/>
      <c r="O14" s="277"/>
    </row>
    <row r="15" spans="1:12" ht="18" customHeight="1">
      <c r="A15" s="260"/>
      <c r="B15" s="284"/>
      <c r="C15" s="285">
        <v>60016</v>
      </c>
      <c r="D15" s="286"/>
      <c r="E15" s="287" t="s">
        <v>423</v>
      </c>
      <c r="F15" s="288">
        <f>SUM(F16:F36)</f>
        <v>19518857.05</v>
      </c>
      <c r="G15" s="288">
        <f>SUM(G16:G36)</f>
        <v>1248500</v>
      </c>
      <c r="H15" s="288"/>
      <c r="I15" s="288">
        <f>SUM(I16:I36)</f>
        <v>11918532.030000001</v>
      </c>
      <c r="J15" s="288">
        <f>SUM(J16:J36)</f>
        <v>3396997.48</v>
      </c>
      <c r="K15" s="289"/>
      <c r="L15" s="289"/>
    </row>
    <row r="16" spans="1:13" s="298" customFormat="1" ht="30" customHeight="1">
      <c r="A16" s="290">
        <v>1</v>
      </c>
      <c r="B16" s="291"/>
      <c r="C16" s="292"/>
      <c r="D16" s="293">
        <v>6050</v>
      </c>
      <c r="E16" s="294" t="s">
        <v>424</v>
      </c>
      <c r="F16" s="295">
        <v>1530000</v>
      </c>
      <c r="G16" s="295">
        <v>220000</v>
      </c>
      <c r="H16" s="296" t="s">
        <v>437</v>
      </c>
      <c r="I16" s="295">
        <v>1310000</v>
      </c>
      <c r="J16" s="901">
        <f>585000-288000-88150</f>
        <v>208850</v>
      </c>
      <c r="K16" s="276" t="s">
        <v>438</v>
      </c>
      <c r="L16" s="276" t="s">
        <v>439</v>
      </c>
      <c r="M16" s="297"/>
    </row>
    <row r="17" spans="1:14" s="298" customFormat="1" ht="27.75" customHeight="1">
      <c r="A17" s="290">
        <v>2</v>
      </c>
      <c r="B17" s="291"/>
      <c r="C17" s="292"/>
      <c r="D17" s="293">
        <v>6050</v>
      </c>
      <c r="E17" s="294" t="s">
        <v>440</v>
      </c>
      <c r="F17" s="295">
        <f>1500000-100000-13000</f>
        <v>1387000</v>
      </c>
      <c r="G17" s="295">
        <f>1000000-13000</f>
        <v>987000</v>
      </c>
      <c r="H17" s="296" t="s">
        <v>441</v>
      </c>
      <c r="I17" s="693">
        <f>500000-100000+163032.03</f>
        <v>563032.03</v>
      </c>
      <c r="J17" s="693">
        <f>480000-100000-314456.05</f>
        <v>65543.95000000001</v>
      </c>
      <c r="K17" s="276" t="s">
        <v>438</v>
      </c>
      <c r="L17" s="276" t="s">
        <v>439</v>
      </c>
      <c r="M17" s="297"/>
      <c r="N17" s="297"/>
    </row>
    <row r="18" spans="1:13" s="298" customFormat="1" ht="24" customHeight="1">
      <c r="A18" s="290">
        <v>3</v>
      </c>
      <c r="B18" s="291"/>
      <c r="C18" s="292"/>
      <c r="D18" s="293">
        <v>6050</v>
      </c>
      <c r="E18" s="294" t="s">
        <v>442</v>
      </c>
      <c r="F18" s="295">
        <f>1500000+601000</f>
        <v>2101000</v>
      </c>
      <c r="G18" s="295">
        <v>0</v>
      </c>
      <c r="H18" s="296" t="s">
        <v>443</v>
      </c>
      <c r="I18" s="295">
        <f>601000+1500000</f>
        <v>2101000</v>
      </c>
      <c r="J18" s="901">
        <f>120000+119110</f>
        <v>239110</v>
      </c>
      <c r="K18" s="276" t="s">
        <v>438</v>
      </c>
      <c r="L18" s="276" t="s">
        <v>439</v>
      </c>
      <c r="M18" s="297"/>
    </row>
    <row r="19" spans="1:14" s="298" customFormat="1" ht="26.25" customHeight="1">
      <c r="A19" s="290">
        <v>4</v>
      </c>
      <c r="B19" s="291"/>
      <c r="C19" s="292"/>
      <c r="D19" s="293">
        <v>6050</v>
      </c>
      <c r="E19" s="294" t="s">
        <v>444</v>
      </c>
      <c r="F19" s="295">
        <v>4500000</v>
      </c>
      <c r="G19" s="295">
        <v>0</v>
      </c>
      <c r="H19" s="296" t="s">
        <v>443</v>
      </c>
      <c r="I19" s="693">
        <f>1500000-1400000-13000+1400000</f>
        <v>1487000</v>
      </c>
      <c r="J19" s="901">
        <f>200000+683800-6500-23500-753800-13000+753800-182000</f>
        <v>658800</v>
      </c>
      <c r="K19" s="276" t="s">
        <v>438</v>
      </c>
      <c r="L19" s="276" t="s">
        <v>445</v>
      </c>
      <c r="M19" s="297"/>
      <c r="N19" s="297"/>
    </row>
    <row r="20" spans="1:13" s="298" customFormat="1" ht="28.5" customHeight="1">
      <c r="A20" s="290">
        <v>5</v>
      </c>
      <c r="B20" s="291"/>
      <c r="C20" s="292"/>
      <c r="D20" s="293">
        <v>6050</v>
      </c>
      <c r="E20" s="294" t="s">
        <v>446</v>
      </c>
      <c r="F20" s="295">
        <v>150000</v>
      </c>
      <c r="G20" s="295">
        <v>26500</v>
      </c>
      <c r="H20" s="296" t="s">
        <v>447</v>
      </c>
      <c r="I20" s="295">
        <v>123500</v>
      </c>
      <c r="J20" s="295">
        <v>23500</v>
      </c>
      <c r="K20" s="276" t="s">
        <v>438</v>
      </c>
      <c r="L20" s="276" t="s">
        <v>439</v>
      </c>
      <c r="M20" s="297"/>
    </row>
    <row r="21" spans="1:13" s="298" customFormat="1" ht="37.5" customHeight="1">
      <c r="A21" s="290">
        <v>6</v>
      </c>
      <c r="B21" s="291"/>
      <c r="C21" s="292"/>
      <c r="D21" s="293">
        <v>6050</v>
      </c>
      <c r="E21" s="294" t="s">
        <v>448</v>
      </c>
      <c r="F21" s="295">
        <f>100000-3000</f>
        <v>97000</v>
      </c>
      <c r="G21" s="295">
        <v>10000</v>
      </c>
      <c r="H21" s="296" t="s">
        <v>449</v>
      </c>
      <c r="I21" s="295">
        <f>90000-3000</f>
        <v>87000</v>
      </c>
      <c r="J21" s="295">
        <v>0</v>
      </c>
      <c r="K21" s="276" t="s">
        <v>438</v>
      </c>
      <c r="L21" s="276" t="s">
        <v>439</v>
      </c>
      <c r="M21" s="297"/>
    </row>
    <row r="22" spans="1:13" s="298" customFormat="1" ht="56.25" customHeight="1">
      <c r="A22" s="290">
        <v>7</v>
      </c>
      <c r="B22" s="291"/>
      <c r="C22" s="292"/>
      <c r="D22" s="293">
        <v>6050</v>
      </c>
      <c r="E22" s="299" t="s">
        <v>450</v>
      </c>
      <c r="F22" s="295">
        <f>30000+3000</f>
        <v>33000</v>
      </c>
      <c r="G22" s="295">
        <v>5000</v>
      </c>
      <c r="H22" s="296" t="s">
        <v>451</v>
      </c>
      <c r="I22" s="295">
        <f>25000+3000</f>
        <v>28000</v>
      </c>
      <c r="J22" s="295">
        <v>0</v>
      </c>
      <c r="K22" s="276" t="s">
        <v>438</v>
      </c>
      <c r="L22" s="276" t="s">
        <v>439</v>
      </c>
      <c r="M22" s="297"/>
    </row>
    <row r="23" spans="1:13" s="298" customFormat="1" ht="31.5" customHeight="1">
      <c r="A23" s="290">
        <v>8</v>
      </c>
      <c r="B23" s="291"/>
      <c r="C23" s="292"/>
      <c r="D23" s="293">
        <v>6050</v>
      </c>
      <c r="E23" s="300" t="s">
        <v>452</v>
      </c>
      <c r="F23" s="301">
        <f>570000-106000</f>
        <v>464000</v>
      </c>
      <c r="G23" s="301">
        <v>0</v>
      </c>
      <c r="H23" s="302" t="s">
        <v>453</v>
      </c>
      <c r="I23" s="301">
        <f>570000-106000</f>
        <v>464000</v>
      </c>
      <c r="J23" s="902">
        <f>100000-30960</f>
        <v>69040</v>
      </c>
      <c r="K23" s="276" t="s">
        <v>438</v>
      </c>
      <c r="L23" s="276">
        <v>2013</v>
      </c>
      <c r="M23" s="297"/>
    </row>
    <row r="24" spans="1:13" s="298" customFormat="1" ht="70.5" customHeight="1">
      <c r="A24" s="290">
        <v>9</v>
      </c>
      <c r="B24" s="291"/>
      <c r="C24" s="292"/>
      <c r="D24" s="293">
        <v>6050</v>
      </c>
      <c r="E24" s="300" t="s">
        <v>454</v>
      </c>
      <c r="F24" s="301">
        <f>1500000+1857.05</f>
        <v>1501857.05</v>
      </c>
      <c r="G24" s="301">
        <v>0</v>
      </c>
      <c r="H24" s="302" t="s">
        <v>455</v>
      </c>
      <c r="I24" s="852">
        <f>1500000-600000+600000</f>
        <v>1500000</v>
      </c>
      <c r="J24" s="301">
        <v>200000</v>
      </c>
      <c r="K24" s="276" t="s">
        <v>438</v>
      </c>
      <c r="L24" s="276">
        <v>2013</v>
      </c>
      <c r="M24" s="297"/>
    </row>
    <row r="25" spans="1:13" s="298" customFormat="1" ht="39" customHeight="1">
      <c r="A25" s="290">
        <v>10</v>
      </c>
      <c r="B25" s="303"/>
      <c r="C25" s="304"/>
      <c r="D25" s="293">
        <v>6050</v>
      </c>
      <c r="E25" s="305" t="s">
        <v>456</v>
      </c>
      <c r="F25" s="306">
        <v>100000</v>
      </c>
      <c r="G25" s="306">
        <v>0</v>
      </c>
      <c r="H25" s="302" t="s">
        <v>457</v>
      </c>
      <c r="I25" s="301">
        <v>100000</v>
      </c>
      <c r="J25" s="301">
        <v>0</v>
      </c>
      <c r="K25" s="276" t="s">
        <v>458</v>
      </c>
      <c r="L25" s="276">
        <v>2013</v>
      </c>
      <c r="M25" s="297"/>
    </row>
    <row r="26" spans="1:13" s="298" customFormat="1" ht="35.25" customHeight="1">
      <c r="A26" s="290">
        <v>11</v>
      </c>
      <c r="B26" s="303"/>
      <c r="C26" s="304"/>
      <c r="D26" s="293">
        <v>6050</v>
      </c>
      <c r="E26" s="305" t="s">
        <v>459</v>
      </c>
      <c r="F26" s="306">
        <v>800000</v>
      </c>
      <c r="G26" s="306"/>
      <c r="H26" s="302" t="s">
        <v>460</v>
      </c>
      <c r="I26" s="301">
        <v>800000</v>
      </c>
      <c r="J26" s="301">
        <v>500000</v>
      </c>
      <c r="K26" s="276" t="s">
        <v>438</v>
      </c>
      <c r="L26" s="276">
        <v>2013</v>
      </c>
      <c r="M26" s="297"/>
    </row>
    <row r="27" spans="1:12" s="298" customFormat="1" ht="46.5" customHeight="1">
      <c r="A27" s="290">
        <v>12</v>
      </c>
      <c r="B27" s="303"/>
      <c r="C27" s="304"/>
      <c r="D27" s="293">
        <v>6050</v>
      </c>
      <c r="E27" s="305" t="s">
        <v>461</v>
      </c>
      <c r="F27" s="306">
        <v>100000</v>
      </c>
      <c r="G27" s="306"/>
      <c r="H27" s="302" t="s">
        <v>462</v>
      </c>
      <c r="I27" s="301">
        <v>100000</v>
      </c>
      <c r="J27" s="301"/>
      <c r="K27" s="276" t="s">
        <v>438</v>
      </c>
      <c r="L27" s="276">
        <v>2013</v>
      </c>
    </row>
    <row r="28" spans="1:12" s="298" customFormat="1" ht="53.25" customHeight="1">
      <c r="A28" s="290">
        <v>13</v>
      </c>
      <c r="B28" s="303"/>
      <c r="C28" s="304"/>
      <c r="D28" s="293">
        <v>6050</v>
      </c>
      <c r="E28" s="305" t="s">
        <v>463</v>
      </c>
      <c r="F28" s="306">
        <v>50000</v>
      </c>
      <c r="G28" s="306"/>
      <c r="H28" s="302" t="s">
        <v>462</v>
      </c>
      <c r="I28" s="301">
        <v>50000</v>
      </c>
      <c r="J28" s="301"/>
      <c r="K28" s="276" t="s">
        <v>438</v>
      </c>
      <c r="L28" s="276">
        <v>2013</v>
      </c>
    </row>
    <row r="29" spans="1:12" s="298" customFormat="1" ht="46.5" customHeight="1">
      <c r="A29" s="290">
        <v>14</v>
      </c>
      <c r="B29" s="303"/>
      <c r="C29" s="304"/>
      <c r="D29" s="853">
        <v>6050</v>
      </c>
      <c r="E29" s="854" t="s">
        <v>101</v>
      </c>
      <c r="F29" s="855">
        <v>2500000</v>
      </c>
      <c r="G29" s="855"/>
      <c r="H29" s="856"/>
      <c r="I29" s="852">
        <v>1000000</v>
      </c>
      <c r="J29" s="852">
        <v>500000</v>
      </c>
      <c r="K29" s="857" t="s">
        <v>438</v>
      </c>
      <c r="L29" s="857" t="s">
        <v>644</v>
      </c>
    </row>
    <row r="30" spans="1:12" s="298" customFormat="1" ht="37.5" customHeight="1">
      <c r="A30" s="290">
        <v>15</v>
      </c>
      <c r="B30" s="303"/>
      <c r="C30" s="304"/>
      <c r="D30" s="853">
        <v>6050</v>
      </c>
      <c r="E30" s="854" t="s">
        <v>102</v>
      </c>
      <c r="F30" s="855">
        <v>100000</v>
      </c>
      <c r="G30" s="855"/>
      <c r="H30" s="856"/>
      <c r="I30" s="852">
        <v>100000</v>
      </c>
      <c r="J30" s="852"/>
      <c r="K30" s="857" t="s">
        <v>438</v>
      </c>
      <c r="L30" s="857">
        <v>2013</v>
      </c>
    </row>
    <row r="31" spans="1:12" s="298" customFormat="1" ht="36" customHeight="1">
      <c r="A31" s="290">
        <v>16</v>
      </c>
      <c r="B31" s="303"/>
      <c r="C31" s="304"/>
      <c r="D31" s="853">
        <v>6050</v>
      </c>
      <c r="E31" s="854" t="s">
        <v>103</v>
      </c>
      <c r="F31" s="855">
        <v>50000</v>
      </c>
      <c r="G31" s="855"/>
      <c r="H31" s="856"/>
      <c r="I31" s="852">
        <v>50000</v>
      </c>
      <c r="J31" s="852"/>
      <c r="K31" s="857" t="s">
        <v>438</v>
      </c>
      <c r="L31" s="857">
        <v>2013</v>
      </c>
    </row>
    <row r="32" spans="1:12" s="298" customFormat="1" ht="36.75" customHeight="1">
      <c r="A32" s="290">
        <v>17</v>
      </c>
      <c r="B32" s="303"/>
      <c r="C32" s="304"/>
      <c r="D32" s="853">
        <v>6050</v>
      </c>
      <c r="E32" s="854" t="s">
        <v>104</v>
      </c>
      <c r="F32" s="855">
        <v>2900000</v>
      </c>
      <c r="G32" s="855"/>
      <c r="H32" s="856"/>
      <c r="I32" s="852">
        <v>900000</v>
      </c>
      <c r="J32" s="852">
        <v>500000</v>
      </c>
      <c r="K32" s="857" t="s">
        <v>438</v>
      </c>
      <c r="L32" s="857" t="s">
        <v>644</v>
      </c>
    </row>
    <row r="33" spans="1:12" s="298" customFormat="1" ht="57.75" customHeight="1">
      <c r="A33" s="290">
        <v>18</v>
      </c>
      <c r="B33" s="303"/>
      <c r="C33" s="304"/>
      <c r="D33" s="853">
        <v>6050</v>
      </c>
      <c r="E33" s="854" t="s">
        <v>44</v>
      </c>
      <c r="F33" s="855">
        <v>20000</v>
      </c>
      <c r="G33" s="855"/>
      <c r="H33" s="856" t="s">
        <v>462</v>
      </c>
      <c r="I33" s="852">
        <v>20000</v>
      </c>
      <c r="J33" s="852"/>
      <c r="K33" s="857" t="s">
        <v>438</v>
      </c>
      <c r="L33" s="857">
        <v>2013</v>
      </c>
    </row>
    <row r="34" spans="1:12" s="298" customFormat="1" ht="61.5" customHeight="1">
      <c r="A34" s="290">
        <v>19</v>
      </c>
      <c r="B34" s="303"/>
      <c r="C34" s="304"/>
      <c r="D34" s="853">
        <v>6050</v>
      </c>
      <c r="E34" s="854" t="s">
        <v>45</v>
      </c>
      <c r="F34" s="855">
        <v>85000</v>
      </c>
      <c r="G34" s="855"/>
      <c r="H34" s="856" t="s">
        <v>462</v>
      </c>
      <c r="I34" s="852">
        <v>85000</v>
      </c>
      <c r="J34" s="852"/>
      <c r="K34" s="857" t="s">
        <v>458</v>
      </c>
      <c r="L34" s="857">
        <v>2013</v>
      </c>
    </row>
    <row r="35" spans="1:12" s="298" customFormat="1" ht="38.25" customHeight="1">
      <c r="A35" s="290">
        <v>20</v>
      </c>
      <c r="B35" s="303"/>
      <c r="C35" s="304"/>
      <c r="D35" s="853">
        <v>6050</v>
      </c>
      <c r="E35" s="854" t="s">
        <v>43</v>
      </c>
      <c r="F35" s="855">
        <v>900000</v>
      </c>
      <c r="G35" s="855"/>
      <c r="H35" s="856"/>
      <c r="I35" s="852">
        <v>900000</v>
      </c>
      <c r="J35" s="852">
        <f>432154.48-0.95</f>
        <v>432153.52999999997</v>
      </c>
      <c r="K35" s="857" t="s">
        <v>458</v>
      </c>
      <c r="L35" s="857">
        <v>2013</v>
      </c>
    </row>
    <row r="36" spans="1:12" ht="38.25" customHeight="1">
      <c r="A36" s="307">
        <v>21</v>
      </c>
      <c r="B36" s="308"/>
      <c r="C36" s="250"/>
      <c r="D36" s="309">
        <v>6050</v>
      </c>
      <c r="E36" s="305" t="s">
        <v>464</v>
      </c>
      <c r="F36" s="306">
        <f>85000+65000</f>
        <v>150000</v>
      </c>
      <c r="G36" s="306">
        <v>0</v>
      </c>
      <c r="H36" s="302" t="s">
        <v>465</v>
      </c>
      <c r="I36" s="310">
        <f>65000+85000</f>
        <v>150000</v>
      </c>
      <c r="J36" s="310">
        <v>0</v>
      </c>
      <c r="K36" s="276" t="s">
        <v>458</v>
      </c>
      <c r="L36" s="276">
        <v>2013</v>
      </c>
    </row>
    <row r="37" spans="1:12" ht="21.75" customHeight="1">
      <c r="A37" s="311"/>
      <c r="B37" s="279">
        <v>700</v>
      </c>
      <c r="C37" s="279"/>
      <c r="D37" s="280"/>
      <c r="E37" s="312" t="s">
        <v>466</v>
      </c>
      <c r="F37" s="313">
        <f>F38+F40</f>
        <v>2578682.1</v>
      </c>
      <c r="G37" s="313">
        <f>G38+G40</f>
        <v>190433.05</v>
      </c>
      <c r="H37" s="313"/>
      <c r="I37" s="313">
        <f>I38+I40</f>
        <v>2058249.05</v>
      </c>
      <c r="J37" s="313">
        <f>J38+J40</f>
        <v>155000</v>
      </c>
      <c r="K37" s="276"/>
      <c r="L37" s="276"/>
    </row>
    <row r="38" spans="1:12" ht="27" customHeight="1">
      <c r="A38" s="307"/>
      <c r="B38" s="314"/>
      <c r="C38" s="315">
        <v>70005</v>
      </c>
      <c r="D38" s="286"/>
      <c r="E38" s="287" t="s">
        <v>467</v>
      </c>
      <c r="F38" s="288">
        <f>SUM(F39:F39)</f>
        <v>1665982.1</v>
      </c>
      <c r="G38" s="288">
        <f>SUM(G39:G39)</f>
        <v>190433.05</v>
      </c>
      <c r="H38" s="288"/>
      <c r="I38" s="288">
        <f>SUM(I39:I39)</f>
        <v>1145549.05</v>
      </c>
      <c r="J38" s="288">
        <f>SUM(J39:J39)</f>
        <v>0</v>
      </c>
      <c r="K38" s="289"/>
      <c r="L38" s="289"/>
    </row>
    <row r="39" spans="1:12" ht="109.5" customHeight="1">
      <c r="A39" s="307">
        <v>22</v>
      </c>
      <c r="B39" s="250"/>
      <c r="C39" s="316"/>
      <c r="D39" s="309">
        <v>6060</v>
      </c>
      <c r="E39" s="305" t="s">
        <v>468</v>
      </c>
      <c r="F39" s="306">
        <f>1611982.1+550000+4000-500000</f>
        <v>1665982.1</v>
      </c>
      <c r="G39" s="306">
        <v>190433.05</v>
      </c>
      <c r="H39" s="905" t="s">
        <v>97</v>
      </c>
      <c r="I39" s="317">
        <f>1091549.05+550000+4000-500000</f>
        <v>1145549.05</v>
      </c>
      <c r="J39" s="317">
        <v>0</v>
      </c>
      <c r="K39" s="318" t="s">
        <v>469</v>
      </c>
      <c r="L39" s="318" t="s">
        <v>470</v>
      </c>
    </row>
    <row r="40" spans="1:12" ht="24.75" customHeight="1">
      <c r="A40" s="307"/>
      <c r="B40" s="319"/>
      <c r="C40" s="320">
        <v>70095</v>
      </c>
      <c r="D40" s="321"/>
      <c r="E40" s="287" t="s">
        <v>471</v>
      </c>
      <c r="F40" s="288">
        <f>SUM(F41:F44)</f>
        <v>912700</v>
      </c>
      <c r="G40" s="288">
        <f>SUM(G41:G44)</f>
        <v>0</v>
      </c>
      <c r="H40" s="288"/>
      <c r="I40" s="288">
        <f>SUM(I41:I44)</f>
        <v>912700</v>
      </c>
      <c r="J40" s="288">
        <f>SUM(J41:J44)</f>
        <v>155000</v>
      </c>
      <c r="K40" s="289"/>
      <c r="L40" s="289"/>
    </row>
    <row r="41" spans="1:12" s="393" customFormat="1" ht="50.25" customHeight="1">
      <c r="A41" s="307">
        <v>23</v>
      </c>
      <c r="B41" s="250"/>
      <c r="C41" s="316"/>
      <c r="D41" s="307">
        <v>6050</v>
      </c>
      <c r="E41" s="294" t="s">
        <v>472</v>
      </c>
      <c r="F41" s="306">
        <v>65000</v>
      </c>
      <c r="G41" s="306">
        <v>0</v>
      </c>
      <c r="H41" s="296" t="s">
        <v>473</v>
      </c>
      <c r="I41" s="317">
        <v>65000</v>
      </c>
      <c r="J41" s="317">
        <v>0</v>
      </c>
      <c r="K41" s="318" t="s">
        <v>406</v>
      </c>
      <c r="L41" s="318">
        <v>2013</v>
      </c>
    </row>
    <row r="42" spans="1:12" s="393" customFormat="1" ht="68.25" customHeight="1">
      <c r="A42" s="260">
        <v>24</v>
      </c>
      <c r="B42" s="250"/>
      <c r="C42" s="316"/>
      <c r="D42" s="307">
        <v>6050</v>
      </c>
      <c r="E42" s="347" t="s">
        <v>645</v>
      </c>
      <c r="F42" s="348">
        <v>155000</v>
      </c>
      <c r="G42" s="348"/>
      <c r="H42" s="347" t="s">
        <v>647</v>
      </c>
      <c r="I42" s="404">
        <v>155000</v>
      </c>
      <c r="J42" s="404">
        <v>155000</v>
      </c>
      <c r="K42" s="318" t="s">
        <v>406</v>
      </c>
      <c r="L42" s="318">
        <v>2013</v>
      </c>
    </row>
    <row r="43" spans="1:12" s="393" customFormat="1" ht="52.5" customHeight="1">
      <c r="A43" s="260">
        <v>25</v>
      </c>
      <c r="B43" s="250"/>
      <c r="C43" s="316"/>
      <c r="D43" s="307">
        <v>6050</v>
      </c>
      <c r="E43" s="347" t="s">
        <v>658</v>
      </c>
      <c r="F43" s="348">
        <v>550000</v>
      </c>
      <c r="G43" s="348"/>
      <c r="H43" s="403"/>
      <c r="I43" s="404">
        <v>550000</v>
      </c>
      <c r="J43" s="404"/>
      <c r="K43" s="318" t="s">
        <v>438</v>
      </c>
      <c r="L43" s="318">
        <v>2013</v>
      </c>
    </row>
    <row r="44" spans="1:12" s="393" customFormat="1" ht="65.25" customHeight="1">
      <c r="A44" s="250">
        <v>26</v>
      </c>
      <c r="B44" s="250"/>
      <c r="C44" s="316"/>
      <c r="D44" s="242">
        <v>6050</v>
      </c>
      <c r="E44" s="437" t="s">
        <v>646</v>
      </c>
      <c r="F44" s="348">
        <v>142700</v>
      </c>
      <c r="G44" s="348"/>
      <c r="H44" s="302" t="s">
        <v>462</v>
      </c>
      <c r="I44" s="404">
        <v>142700</v>
      </c>
      <c r="J44" s="404"/>
      <c r="K44" s="318" t="s">
        <v>438</v>
      </c>
      <c r="L44" s="318">
        <v>2013</v>
      </c>
    </row>
    <row r="45" spans="1:12" ht="23.25" customHeight="1">
      <c r="A45" s="337"/>
      <c r="B45" s="279">
        <v>750</v>
      </c>
      <c r="C45" s="279"/>
      <c r="D45" s="280"/>
      <c r="E45" s="358" t="s">
        <v>474</v>
      </c>
      <c r="F45" s="324">
        <f>F46+F50</f>
        <v>4270600</v>
      </c>
      <c r="G45" s="324">
        <f>G46+G50</f>
        <v>540000</v>
      </c>
      <c r="H45" s="324"/>
      <c r="I45" s="324">
        <f>I46+I50</f>
        <v>2780600</v>
      </c>
      <c r="J45" s="324">
        <f>J46+J50</f>
        <v>0</v>
      </c>
      <c r="K45" s="276"/>
      <c r="L45" s="276"/>
    </row>
    <row r="46" spans="1:12" ht="30.75" customHeight="1">
      <c r="A46" s="325"/>
      <c r="B46" s="314"/>
      <c r="C46" s="326">
        <v>75023</v>
      </c>
      <c r="D46" s="321"/>
      <c r="E46" s="327" t="s">
        <v>475</v>
      </c>
      <c r="F46" s="328">
        <f>SUM(F47:F49)</f>
        <v>330600</v>
      </c>
      <c r="G46" s="328">
        <f>SUM(G47:G49)</f>
        <v>0</v>
      </c>
      <c r="H46" s="328"/>
      <c r="I46" s="328">
        <f>SUM(I47:I49)</f>
        <v>330600</v>
      </c>
      <c r="J46" s="328">
        <f>SUM(J47:J49)</f>
        <v>0</v>
      </c>
      <c r="K46" s="289"/>
      <c r="L46" s="289"/>
    </row>
    <row r="47" spans="1:12" s="858" customFormat="1" ht="42.75" customHeight="1">
      <c r="A47" s="325">
        <v>27</v>
      </c>
      <c r="B47" s="376"/>
      <c r="C47" s="307"/>
      <c r="D47" s="859">
        <v>6050</v>
      </c>
      <c r="E47" s="860" t="s">
        <v>108</v>
      </c>
      <c r="F47" s="861">
        <v>50000</v>
      </c>
      <c r="G47" s="861"/>
      <c r="H47" s="861" t="s">
        <v>46</v>
      </c>
      <c r="I47" s="861">
        <v>50000</v>
      </c>
      <c r="J47" s="861"/>
      <c r="K47" s="857" t="s">
        <v>47</v>
      </c>
      <c r="L47" s="857">
        <v>2013</v>
      </c>
    </row>
    <row r="48" spans="1:12" s="858" customFormat="1" ht="115.5" customHeight="1">
      <c r="A48" s="250">
        <v>28</v>
      </c>
      <c r="C48" s="307"/>
      <c r="D48" s="859">
        <v>6050</v>
      </c>
      <c r="E48" s="860" t="s">
        <v>109</v>
      </c>
      <c r="F48" s="861">
        <v>165000</v>
      </c>
      <c r="G48" s="861"/>
      <c r="H48" s="861" t="s">
        <v>436</v>
      </c>
      <c r="I48" s="861">
        <v>165000</v>
      </c>
      <c r="J48" s="861"/>
      <c r="K48" s="857" t="s">
        <v>478</v>
      </c>
      <c r="L48" s="857">
        <v>2013</v>
      </c>
    </row>
    <row r="49" spans="1:12" ht="38.25" customHeight="1">
      <c r="A49" s="325">
        <v>29</v>
      </c>
      <c r="B49" s="863"/>
      <c r="C49" s="539"/>
      <c r="D49" s="307">
        <v>6060</v>
      </c>
      <c r="E49" s="331" t="s">
        <v>476</v>
      </c>
      <c r="F49" s="692">
        <f>175000+3800+4800-80000+12000</f>
        <v>115600</v>
      </c>
      <c r="G49" s="332">
        <v>0</v>
      </c>
      <c r="H49" s="333" t="s">
        <v>477</v>
      </c>
      <c r="I49" s="692">
        <f>175000+3800+4800-80000+12000</f>
        <v>115600</v>
      </c>
      <c r="J49" s="334">
        <v>0</v>
      </c>
      <c r="K49" s="276" t="s">
        <v>478</v>
      </c>
      <c r="L49" s="335">
        <v>2013</v>
      </c>
    </row>
    <row r="50" spans="1:12" ht="26.25" customHeight="1">
      <c r="A50" s="325"/>
      <c r="B50" s="329"/>
      <c r="C50" s="320">
        <v>75095</v>
      </c>
      <c r="D50" s="321"/>
      <c r="E50" s="327" t="s">
        <v>471</v>
      </c>
      <c r="F50" s="328">
        <f>SUM(F51:F52)</f>
        <v>3940000</v>
      </c>
      <c r="G50" s="328">
        <f>SUM(G51:G52)</f>
        <v>540000</v>
      </c>
      <c r="H50" s="328"/>
      <c r="I50" s="328">
        <f>SUM(I51:I52)</f>
        <v>2450000</v>
      </c>
      <c r="J50" s="328">
        <f>SUM(J51:J52)</f>
        <v>0</v>
      </c>
      <c r="K50" s="289"/>
      <c r="L50" s="289"/>
    </row>
    <row r="51" spans="1:12" ht="41.25" customHeight="1">
      <c r="A51" s="325">
        <v>30</v>
      </c>
      <c r="B51" s="329"/>
      <c r="C51" s="284"/>
      <c r="D51" s="336">
        <v>6050</v>
      </c>
      <c r="E51" s="322" t="s">
        <v>479</v>
      </c>
      <c r="F51" s="306">
        <v>2440000</v>
      </c>
      <c r="G51" s="306">
        <v>540000</v>
      </c>
      <c r="H51" s="296" t="s">
        <v>480</v>
      </c>
      <c r="I51" s="317">
        <v>950000</v>
      </c>
      <c r="J51" s="317">
        <v>0</v>
      </c>
      <c r="K51" s="318" t="s">
        <v>438</v>
      </c>
      <c r="L51" s="318" t="s">
        <v>481</v>
      </c>
    </row>
    <row r="52" spans="1:12" ht="41.25" customHeight="1">
      <c r="A52" s="325">
        <v>31</v>
      </c>
      <c r="B52" s="329"/>
      <c r="C52" s="284"/>
      <c r="D52" s="336">
        <v>6050</v>
      </c>
      <c r="E52" s="322" t="s">
        <v>482</v>
      </c>
      <c r="F52" s="855">
        <v>1500000</v>
      </c>
      <c r="G52" s="306">
        <v>0</v>
      </c>
      <c r="H52" s="296" t="s">
        <v>483</v>
      </c>
      <c r="I52" s="862">
        <f>500000+1000000</f>
        <v>1500000</v>
      </c>
      <c r="J52" s="317">
        <v>0</v>
      </c>
      <c r="K52" s="318" t="s">
        <v>438</v>
      </c>
      <c r="L52" s="318">
        <v>2013</v>
      </c>
    </row>
    <row r="53" spans="1:12" ht="33.75" customHeight="1">
      <c r="A53" s="337"/>
      <c r="B53" s="279">
        <v>754</v>
      </c>
      <c r="C53" s="279"/>
      <c r="D53" s="279"/>
      <c r="E53" s="338" t="s">
        <v>484</v>
      </c>
      <c r="F53" s="339">
        <f>F54+F56</f>
        <v>21000</v>
      </c>
      <c r="G53" s="339">
        <f>G54+G56</f>
        <v>0</v>
      </c>
      <c r="H53" s="339"/>
      <c r="I53" s="339">
        <f>I54+I56</f>
        <v>21000</v>
      </c>
      <c r="J53" s="339">
        <f>J54+J56</f>
        <v>0</v>
      </c>
      <c r="K53" s="276"/>
      <c r="L53" s="276"/>
    </row>
    <row r="54" spans="1:12" ht="21.75" customHeight="1">
      <c r="A54" s="325"/>
      <c r="B54" s="340"/>
      <c r="C54" s="320">
        <v>75412</v>
      </c>
      <c r="D54" s="320"/>
      <c r="E54" s="341" t="s">
        <v>485</v>
      </c>
      <c r="F54" s="342">
        <f>SUM(F55)</f>
        <v>5000</v>
      </c>
      <c r="G54" s="342">
        <f>SUM(G55)</f>
        <v>0</v>
      </c>
      <c r="H54" s="342"/>
      <c r="I54" s="342">
        <f>SUM(I55)</f>
        <v>5000</v>
      </c>
      <c r="J54" s="342">
        <f>SUM(J55)</f>
        <v>0</v>
      </c>
      <c r="K54" s="289"/>
      <c r="L54" s="289"/>
    </row>
    <row r="55" spans="1:12" ht="31.5" customHeight="1">
      <c r="A55" s="325">
        <v>32</v>
      </c>
      <c r="B55" s="343"/>
      <c r="C55" s="344"/>
      <c r="D55" s="336">
        <v>6060</v>
      </c>
      <c r="E55" s="305" t="s">
        <v>486</v>
      </c>
      <c r="F55" s="306">
        <v>5000</v>
      </c>
      <c r="G55" s="306"/>
      <c r="H55" s="302" t="s">
        <v>487</v>
      </c>
      <c r="I55" s="317">
        <v>5000</v>
      </c>
      <c r="J55" s="317"/>
      <c r="K55" s="276" t="s">
        <v>488</v>
      </c>
      <c r="L55" s="276">
        <v>2013</v>
      </c>
    </row>
    <row r="56" spans="1:12" ht="22.5" customHeight="1">
      <c r="A56" s="325"/>
      <c r="B56" s="340"/>
      <c r="C56" s="320">
        <v>75414</v>
      </c>
      <c r="D56" s="320"/>
      <c r="E56" s="341" t="s">
        <v>489</v>
      </c>
      <c r="F56" s="328">
        <f>SUM(F57)</f>
        <v>16000</v>
      </c>
      <c r="G56" s="328">
        <f>SUM(G57)</f>
        <v>0</v>
      </c>
      <c r="H56" s="328"/>
      <c r="I56" s="328">
        <f>SUM(I57)</f>
        <v>16000</v>
      </c>
      <c r="J56" s="328">
        <f>SUM(J57)</f>
        <v>0</v>
      </c>
      <c r="K56" s="289"/>
      <c r="L56" s="289"/>
    </row>
    <row r="57" spans="1:12" ht="53.25" customHeight="1">
      <c r="A57" s="325">
        <v>33</v>
      </c>
      <c r="B57" s="250"/>
      <c r="C57" s="344"/>
      <c r="D57" s="336">
        <v>6060</v>
      </c>
      <c r="E57" s="305" t="s">
        <v>486</v>
      </c>
      <c r="F57" s="306">
        <v>16000</v>
      </c>
      <c r="G57" s="306">
        <v>0</v>
      </c>
      <c r="H57" s="296" t="s">
        <v>490</v>
      </c>
      <c r="I57" s="345">
        <v>16000</v>
      </c>
      <c r="J57" s="345">
        <v>0</v>
      </c>
      <c r="K57" s="276" t="s">
        <v>488</v>
      </c>
      <c r="L57" s="276">
        <v>2013</v>
      </c>
    </row>
    <row r="58" spans="1:12" ht="21.75" customHeight="1">
      <c r="A58" s="864"/>
      <c r="B58" s="279">
        <v>758</v>
      </c>
      <c r="C58" s="279"/>
      <c r="D58" s="280"/>
      <c r="E58" s="312" t="s">
        <v>48</v>
      </c>
      <c r="F58" s="313">
        <f>F59</f>
        <v>200000</v>
      </c>
      <c r="G58" s="313">
        <f aca="true" t="shared" si="0" ref="G58:J59">G59</f>
        <v>0</v>
      </c>
      <c r="H58" s="313"/>
      <c r="I58" s="313">
        <f t="shared" si="0"/>
        <v>200000</v>
      </c>
      <c r="J58" s="313">
        <f t="shared" si="0"/>
        <v>0</v>
      </c>
      <c r="K58" s="276"/>
      <c r="L58" s="276"/>
    </row>
    <row r="59" spans="1:12" ht="22.5" customHeight="1">
      <c r="A59" s="865"/>
      <c r="B59" s="346"/>
      <c r="C59" s="326">
        <v>75818</v>
      </c>
      <c r="D59" s="321"/>
      <c r="E59" s="327" t="s">
        <v>49</v>
      </c>
      <c r="F59" s="328">
        <f>F60</f>
        <v>200000</v>
      </c>
      <c r="G59" s="328">
        <f t="shared" si="0"/>
        <v>0</v>
      </c>
      <c r="H59" s="328"/>
      <c r="I59" s="328">
        <f t="shared" si="0"/>
        <v>200000</v>
      </c>
      <c r="J59" s="328">
        <f t="shared" si="0"/>
        <v>0</v>
      </c>
      <c r="K59" s="289"/>
      <c r="L59" s="289"/>
    </row>
    <row r="60" spans="1:12" ht="32.25" customHeight="1">
      <c r="A60" s="865"/>
      <c r="B60" s="343"/>
      <c r="C60" s="344"/>
      <c r="D60" s="866">
        <v>6800</v>
      </c>
      <c r="E60" s="867" t="s">
        <v>491</v>
      </c>
      <c r="F60" s="868">
        <v>200000</v>
      </c>
      <c r="G60" s="868"/>
      <c r="H60" s="869"/>
      <c r="I60" s="870">
        <v>200000</v>
      </c>
      <c r="J60" s="870">
        <f>500000-500000</f>
        <v>0</v>
      </c>
      <c r="K60" s="276"/>
      <c r="L60" s="276"/>
    </row>
    <row r="61" spans="1:12" ht="24.75" customHeight="1">
      <c r="A61" s="349"/>
      <c r="B61" s="279">
        <v>801</v>
      </c>
      <c r="C61" s="344"/>
      <c r="D61" s="336"/>
      <c r="E61" s="323" t="s">
        <v>492</v>
      </c>
      <c r="F61" s="324">
        <f>F62+F71+F81+F84+F86</f>
        <v>7615041</v>
      </c>
      <c r="G61" s="324">
        <f>G62+G71+G81+G84+G86</f>
        <v>143284</v>
      </c>
      <c r="H61" s="324"/>
      <c r="I61" s="324">
        <f>I62+I71+I81+I84+I86</f>
        <v>7471757</v>
      </c>
      <c r="J61" s="324">
        <f>J62+J71+J81+J84+J86</f>
        <v>193000</v>
      </c>
      <c r="K61" s="276"/>
      <c r="L61" s="276"/>
    </row>
    <row r="62" spans="1:12" ht="28.5" customHeight="1">
      <c r="A62" s="325"/>
      <c r="B62" s="340"/>
      <c r="C62" s="284">
        <v>80101</v>
      </c>
      <c r="D62" s="321"/>
      <c r="E62" s="327" t="s">
        <v>493</v>
      </c>
      <c r="F62" s="328">
        <f>SUM(F63:F70)</f>
        <v>642800</v>
      </c>
      <c r="G62" s="328">
        <f>SUM(G63:G70)</f>
        <v>0</v>
      </c>
      <c r="H62" s="328"/>
      <c r="I62" s="328">
        <f>SUM(I63:I70)</f>
        <v>642800</v>
      </c>
      <c r="J62" s="328">
        <f>SUM(J63:J70)</f>
        <v>0</v>
      </c>
      <c r="K62" s="289"/>
      <c r="L62" s="289"/>
    </row>
    <row r="63" spans="1:12" ht="61.5" customHeight="1">
      <c r="A63" s="325">
        <v>34</v>
      </c>
      <c r="B63" s="350"/>
      <c r="C63" s="242"/>
      <c r="D63" s="309">
        <v>6050</v>
      </c>
      <c r="E63" s="305" t="s">
        <v>494</v>
      </c>
      <c r="F63" s="306">
        <f>114000+1450</f>
        <v>115450</v>
      </c>
      <c r="G63" s="306">
        <v>0</v>
      </c>
      <c r="H63" s="296" t="s">
        <v>495</v>
      </c>
      <c r="I63" s="306">
        <f>114000+1450</f>
        <v>115450</v>
      </c>
      <c r="J63" s="345">
        <v>0</v>
      </c>
      <c r="K63" s="351" t="s">
        <v>496</v>
      </c>
      <c r="L63" s="318">
        <v>2013</v>
      </c>
    </row>
    <row r="64" spans="1:12" ht="61.5" customHeight="1">
      <c r="A64" s="325">
        <v>35</v>
      </c>
      <c r="B64" s="350"/>
      <c r="C64" s="250"/>
      <c r="D64" s="309">
        <v>6050</v>
      </c>
      <c r="E64" s="305" t="s">
        <v>186</v>
      </c>
      <c r="F64" s="306">
        <f>114000+1450</f>
        <v>115450</v>
      </c>
      <c r="G64" s="306"/>
      <c r="H64" s="296" t="s">
        <v>495</v>
      </c>
      <c r="I64" s="306">
        <f>114000+1450</f>
        <v>115450</v>
      </c>
      <c r="J64" s="310"/>
      <c r="K64" s="351" t="s">
        <v>187</v>
      </c>
      <c r="L64" s="318">
        <v>2013</v>
      </c>
    </row>
    <row r="65" spans="1:12" ht="61.5" customHeight="1">
      <c r="A65" s="325">
        <v>36</v>
      </c>
      <c r="B65" s="350"/>
      <c r="C65" s="250"/>
      <c r="D65" s="309">
        <v>6050</v>
      </c>
      <c r="E65" s="305" t="s">
        <v>188</v>
      </c>
      <c r="F65" s="306">
        <f>114000+1450</f>
        <v>115450</v>
      </c>
      <c r="G65" s="306"/>
      <c r="H65" s="296" t="s">
        <v>495</v>
      </c>
      <c r="I65" s="306">
        <f>114000+1450</f>
        <v>115450</v>
      </c>
      <c r="J65" s="310"/>
      <c r="K65" s="351" t="s">
        <v>187</v>
      </c>
      <c r="L65" s="318">
        <v>2013</v>
      </c>
    </row>
    <row r="66" spans="1:12" ht="61.5" customHeight="1">
      <c r="A66" s="325">
        <v>37</v>
      </c>
      <c r="B66" s="350"/>
      <c r="C66" s="250"/>
      <c r="D66" s="309">
        <v>6050</v>
      </c>
      <c r="E66" s="305" t="s">
        <v>189</v>
      </c>
      <c r="F66" s="306">
        <f>114000+1450</f>
        <v>115450</v>
      </c>
      <c r="G66" s="306"/>
      <c r="H66" s="296" t="s">
        <v>495</v>
      </c>
      <c r="I66" s="306">
        <f>114000+1450</f>
        <v>115450</v>
      </c>
      <c r="J66" s="310"/>
      <c r="K66" s="351" t="s">
        <v>190</v>
      </c>
      <c r="L66" s="318">
        <v>2013</v>
      </c>
    </row>
    <row r="67" spans="1:12" ht="52.5" customHeight="1">
      <c r="A67" s="325">
        <v>38</v>
      </c>
      <c r="B67" s="350"/>
      <c r="C67" s="250"/>
      <c r="D67" s="309">
        <v>6050</v>
      </c>
      <c r="E67" s="305" t="s">
        <v>497</v>
      </c>
      <c r="F67" s="306">
        <v>60000</v>
      </c>
      <c r="G67" s="306"/>
      <c r="H67" s="302" t="s">
        <v>498</v>
      </c>
      <c r="I67" s="306">
        <v>60000</v>
      </c>
      <c r="J67" s="310"/>
      <c r="K67" s="351" t="s">
        <v>438</v>
      </c>
      <c r="L67" s="318">
        <v>2013</v>
      </c>
    </row>
    <row r="68" spans="1:12" ht="52.5" customHeight="1">
      <c r="A68" s="325">
        <v>39</v>
      </c>
      <c r="B68" s="350"/>
      <c r="C68" s="250"/>
      <c r="D68" s="871">
        <v>6050</v>
      </c>
      <c r="E68" s="854" t="s">
        <v>119</v>
      </c>
      <c r="F68" s="855">
        <v>60000</v>
      </c>
      <c r="G68" s="855"/>
      <c r="H68" s="856" t="s">
        <v>425</v>
      </c>
      <c r="I68" s="855">
        <v>60000</v>
      </c>
      <c r="J68" s="872"/>
      <c r="K68" s="873" t="s">
        <v>526</v>
      </c>
      <c r="L68" s="874">
        <v>2013</v>
      </c>
    </row>
    <row r="69" spans="1:12" ht="52.5" customHeight="1">
      <c r="A69" s="325">
        <v>40</v>
      </c>
      <c r="B69" s="350"/>
      <c r="C69" s="250"/>
      <c r="D69" s="871">
        <v>6060</v>
      </c>
      <c r="E69" s="854" t="s">
        <v>50</v>
      </c>
      <c r="F69" s="855">
        <v>51000</v>
      </c>
      <c r="G69" s="855"/>
      <c r="H69" s="856" t="s">
        <v>426</v>
      </c>
      <c r="I69" s="855">
        <v>51000</v>
      </c>
      <c r="J69" s="872"/>
      <c r="K69" s="873" t="s">
        <v>51</v>
      </c>
      <c r="L69" s="874">
        <v>2013</v>
      </c>
    </row>
    <row r="70" spans="1:12" ht="30.75" customHeight="1">
      <c r="A70" s="325">
        <v>41</v>
      </c>
      <c r="B70" s="350"/>
      <c r="C70" s="260"/>
      <c r="D70" s="309">
        <v>6060</v>
      </c>
      <c r="E70" s="305" t="s">
        <v>499</v>
      </c>
      <c r="F70" s="306">
        <v>10000</v>
      </c>
      <c r="G70" s="306">
        <v>0</v>
      </c>
      <c r="H70" s="302" t="s">
        <v>500</v>
      </c>
      <c r="I70" s="306">
        <v>10000</v>
      </c>
      <c r="J70" s="310">
        <v>0</v>
      </c>
      <c r="K70" s="351" t="s">
        <v>501</v>
      </c>
      <c r="L70" s="318">
        <v>2013</v>
      </c>
    </row>
    <row r="71" spans="1:12" ht="25.5" customHeight="1">
      <c r="A71" s="325"/>
      <c r="B71" s="352"/>
      <c r="C71" s="285">
        <v>80104</v>
      </c>
      <c r="D71" s="286"/>
      <c r="E71" s="287" t="s">
        <v>502</v>
      </c>
      <c r="F71" s="288">
        <f>SUM(F72:F80)</f>
        <v>1200541</v>
      </c>
      <c r="G71" s="288">
        <f>SUM(G72:G80)</f>
        <v>130000</v>
      </c>
      <c r="H71" s="288"/>
      <c r="I71" s="288">
        <f>SUM(I72:I80)</f>
        <v>1070541</v>
      </c>
      <c r="J71" s="288">
        <f>SUM(J72:J80)</f>
        <v>180000</v>
      </c>
      <c r="K71" s="289"/>
      <c r="L71" s="289"/>
    </row>
    <row r="72" spans="1:12" ht="35.25" customHeight="1">
      <c r="A72" s="325">
        <v>42</v>
      </c>
      <c r="B72" s="352"/>
      <c r="C72" s="319"/>
      <c r="D72" s="309">
        <v>6050</v>
      </c>
      <c r="E72" s="305" t="s">
        <v>503</v>
      </c>
      <c r="F72" s="306">
        <f>660000+9041+9000+20000</f>
        <v>698041</v>
      </c>
      <c r="G72" s="306">
        <v>130000</v>
      </c>
      <c r="H72" s="353" t="s">
        <v>504</v>
      </c>
      <c r="I72" s="306">
        <f>530000+9041+9000+20000</f>
        <v>568041</v>
      </c>
      <c r="J72" s="306">
        <v>0</v>
      </c>
      <c r="K72" s="276" t="s">
        <v>438</v>
      </c>
      <c r="L72" s="276" t="s">
        <v>439</v>
      </c>
    </row>
    <row r="73" spans="1:12" ht="32.25" customHeight="1">
      <c r="A73" s="325">
        <v>43</v>
      </c>
      <c r="B73" s="350"/>
      <c r="C73" s="250"/>
      <c r="D73" s="309">
        <v>6050</v>
      </c>
      <c r="E73" s="305" t="s">
        <v>505</v>
      </c>
      <c r="F73" s="306">
        <v>50000</v>
      </c>
      <c r="G73" s="306">
        <v>0</v>
      </c>
      <c r="H73" s="302" t="s">
        <v>506</v>
      </c>
      <c r="I73" s="301">
        <v>50000</v>
      </c>
      <c r="J73" s="310">
        <v>0</v>
      </c>
      <c r="K73" s="276" t="s">
        <v>507</v>
      </c>
      <c r="L73" s="276">
        <v>2013</v>
      </c>
    </row>
    <row r="74" spans="1:12" ht="34.5" customHeight="1">
      <c r="A74" s="325">
        <v>44</v>
      </c>
      <c r="B74" s="350"/>
      <c r="C74" s="250"/>
      <c r="D74" s="309">
        <v>6050</v>
      </c>
      <c r="E74" s="305" t="s">
        <v>508</v>
      </c>
      <c r="F74" s="306">
        <v>11500</v>
      </c>
      <c r="G74" s="306">
        <v>0</v>
      </c>
      <c r="H74" s="302" t="s">
        <v>509</v>
      </c>
      <c r="I74" s="301">
        <v>11500</v>
      </c>
      <c r="J74" s="310">
        <v>0</v>
      </c>
      <c r="K74" s="276" t="s">
        <v>510</v>
      </c>
      <c r="L74" s="276">
        <v>2013</v>
      </c>
    </row>
    <row r="75" spans="1:12" ht="34.5" customHeight="1">
      <c r="A75" s="325">
        <v>45</v>
      </c>
      <c r="B75" s="350"/>
      <c r="C75" s="250"/>
      <c r="D75" s="309">
        <v>6050</v>
      </c>
      <c r="E75" s="305" t="s">
        <v>511</v>
      </c>
      <c r="F75" s="306">
        <v>11500</v>
      </c>
      <c r="G75" s="306">
        <v>0</v>
      </c>
      <c r="H75" s="302" t="s">
        <v>509</v>
      </c>
      <c r="I75" s="301">
        <v>11500</v>
      </c>
      <c r="J75" s="310">
        <v>0</v>
      </c>
      <c r="K75" s="276" t="s">
        <v>507</v>
      </c>
      <c r="L75" s="276">
        <v>2013</v>
      </c>
    </row>
    <row r="76" spans="1:12" ht="34.5" customHeight="1">
      <c r="A76" s="325">
        <v>46</v>
      </c>
      <c r="B76" s="350"/>
      <c r="C76" s="250"/>
      <c r="D76" s="309">
        <v>6050</v>
      </c>
      <c r="E76" s="294" t="s">
        <v>512</v>
      </c>
      <c r="F76" s="306">
        <v>180000</v>
      </c>
      <c r="G76" s="306"/>
      <c r="H76" s="302" t="s">
        <v>513</v>
      </c>
      <c r="I76" s="301">
        <v>180000</v>
      </c>
      <c r="J76" s="310">
        <v>180000</v>
      </c>
      <c r="K76" s="276" t="s">
        <v>514</v>
      </c>
      <c r="L76" s="276">
        <v>2013</v>
      </c>
    </row>
    <row r="77" spans="1:12" ht="34.5" customHeight="1">
      <c r="A77" s="325">
        <v>47</v>
      </c>
      <c r="B77" s="350"/>
      <c r="C77" s="250"/>
      <c r="D77" s="309">
        <v>6050</v>
      </c>
      <c r="E77" s="305" t="s">
        <v>515</v>
      </c>
      <c r="F77" s="855">
        <f>4674+185326</f>
        <v>190000</v>
      </c>
      <c r="G77" s="306"/>
      <c r="H77" s="302" t="s">
        <v>516</v>
      </c>
      <c r="I77" s="855">
        <f>185326+4674</f>
        <v>190000</v>
      </c>
      <c r="J77" s="310"/>
      <c r="K77" s="276" t="s">
        <v>438</v>
      </c>
      <c r="L77" s="276">
        <v>2013</v>
      </c>
    </row>
    <row r="78" spans="1:12" ht="44.25" customHeight="1">
      <c r="A78" s="325">
        <v>48</v>
      </c>
      <c r="B78" s="350"/>
      <c r="C78" s="250"/>
      <c r="D78" s="871">
        <v>6050</v>
      </c>
      <c r="E78" s="854" t="s">
        <v>121</v>
      </c>
      <c r="F78" s="855">
        <v>42000</v>
      </c>
      <c r="G78" s="855"/>
      <c r="H78" s="856" t="s">
        <v>427</v>
      </c>
      <c r="I78" s="855">
        <v>42000</v>
      </c>
      <c r="J78" s="872"/>
      <c r="K78" s="857" t="s">
        <v>538</v>
      </c>
      <c r="L78" s="857">
        <v>2013</v>
      </c>
    </row>
    <row r="79" spans="1:12" ht="41.25" customHeight="1">
      <c r="A79" s="325">
        <v>49</v>
      </c>
      <c r="B79" s="350"/>
      <c r="C79" s="250"/>
      <c r="D79" s="871">
        <v>6050</v>
      </c>
      <c r="E79" s="854" t="s">
        <v>122</v>
      </c>
      <c r="F79" s="855">
        <v>12000</v>
      </c>
      <c r="G79" s="855"/>
      <c r="H79" s="856" t="s">
        <v>428</v>
      </c>
      <c r="I79" s="855">
        <v>12000</v>
      </c>
      <c r="J79" s="872"/>
      <c r="K79" s="857" t="s">
        <v>538</v>
      </c>
      <c r="L79" s="857">
        <v>2013</v>
      </c>
    </row>
    <row r="80" spans="1:12" ht="34.5" customHeight="1">
      <c r="A80" s="325">
        <v>50</v>
      </c>
      <c r="B80" s="350"/>
      <c r="C80" s="250"/>
      <c r="D80" s="309">
        <v>6060</v>
      </c>
      <c r="E80" s="305" t="s">
        <v>517</v>
      </c>
      <c r="F80" s="306">
        <v>5500</v>
      </c>
      <c r="G80" s="306">
        <v>0</v>
      </c>
      <c r="H80" s="302" t="s">
        <v>518</v>
      </c>
      <c r="I80" s="301">
        <v>5500</v>
      </c>
      <c r="J80" s="310">
        <v>0</v>
      </c>
      <c r="K80" s="276" t="s">
        <v>519</v>
      </c>
      <c r="L80" s="276">
        <v>2013</v>
      </c>
    </row>
    <row r="81" spans="1:12" ht="27" customHeight="1">
      <c r="A81" s="325"/>
      <c r="B81" s="350"/>
      <c r="C81" s="320">
        <v>80110</v>
      </c>
      <c r="D81" s="286"/>
      <c r="E81" s="287" t="s">
        <v>520</v>
      </c>
      <c r="F81" s="288">
        <f>SUM(F82+F83)</f>
        <v>76000</v>
      </c>
      <c r="G81" s="288">
        <f>SUM(G82+G83)</f>
        <v>0</v>
      </c>
      <c r="H81" s="288"/>
      <c r="I81" s="288">
        <f>SUM(I82+I83)</f>
        <v>76000</v>
      </c>
      <c r="J81" s="288">
        <f>SUM(J82+J83)</f>
        <v>0</v>
      </c>
      <c r="K81" s="289"/>
      <c r="L81" s="289"/>
    </row>
    <row r="82" spans="1:12" s="858" customFormat="1" ht="34.5" customHeight="1">
      <c r="A82" s="325">
        <v>51</v>
      </c>
      <c r="B82" s="350"/>
      <c r="C82" s="250"/>
      <c r="D82" s="875">
        <v>6050</v>
      </c>
      <c r="E82" s="854" t="s">
        <v>52</v>
      </c>
      <c r="F82" s="855">
        <v>70000</v>
      </c>
      <c r="G82" s="855"/>
      <c r="H82" s="855" t="s">
        <v>429</v>
      </c>
      <c r="I82" s="855">
        <v>70000</v>
      </c>
      <c r="J82" s="855"/>
      <c r="K82" s="857" t="s">
        <v>438</v>
      </c>
      <c r="L82" s="857">
        <v>2013</v>
      </c>
    </row>
    <row r="83" spans="1:12" ht="34.5" customHeight="1">
      <c r="A83" s="325">
        <v>52</v>
      </c>
      <c r="B83" s="350"/>
      <c r="C83" s="250"/>
      <c r="D83" s="354">
        <v>6060</v>
      </c>
      <c r="E83" s="305" t="s">
        <v>521</v>
      </c>
      <c r="F83" s="306">
        <v>6000</v>
      </c>
      <c r="G83" s="306">
        <v>0</v>
      </c>
      <c r="H83" s="302" t="s">
        <v>500</v>
      </c>
      <c r="I83" s="301">
        <v>6000</v>
      </c>
      <c r="J83" s="310">
        <v>0</v>
      </c>
      <c r="K83" s="276" t="s">
        <v>522</v>
      </c>
      <c r="L83" s="276">
        <v>2013</v>
      </c>
    </row>
    <row r="84" spans="1:12" ht="27" customHeight="1">
      <c r="A84" s="325"/>
      <c r="B84" s="280"/>
      <c r="C84" s="320">
        <v>80148</v>
      </c>
      <c r="D84" s="286"/>
      <c r="E84" s="287" t="s">
        <v>523</v>
      </c>
      <c r="F84" s="306">
        <f>F85</f>
        <v>6500</v>
      </c>
      <c r="G84" s="306">
        <f>G85</f>
        <v>0</v>
      </c>
      <c r="H84" s="306"/>
      <c r="I84" s="306">
        <f>I85</f>
        <v>6500</v>
      </c>
      <c r="J84" s="306">
        <f>J85</f>
        <v>0</v>
      </c>
      <c r="K84" s="276"/>
      <c r="L84" s="276"/>
    </row>
    <row r="85" spans="1:12" ht="27.75" customHeight="1">
      <c r="A85" s="325">
        <v>53</v>
      </c>
      <c r="B85" s="350"/>
      <c r="C85" s="250"/>
      <c r="D85" s="309">
        <v>6060</v>
      </c>
      <c r="E85" s="305" t="s">
        <v>524</v>
      </c>
      <c r="F85" s="306">
        <v>6500</v>
      </c>
      <c r="G85" s="306"/>
      <c r="H85" s="305" t="s">
        <v>525</v>
      </c>
      <c r="I85" s="306">
        <v>6500</v>
      </c>
      <c r="J85" s="310"/>
      <c r="K85" s="351" t="s">
        <v>526</v>
      </c>
      <c r="L85" s="318">
        <v>2013</v>
      </c>
    </row>
    <row r="86" spans="1:12" ht="23.25" customHeight="1">
      <c r="A86" s="325"/>
      <c r="B86" s="350"/>
      <c r="C86" s="320">
        <v>80195</v>
      </c>
      <c r="D86" s="286"/>
      <c r="E86" s="287" t="s">
        <v>471</v>
      </c>
      <c r="F86" s="288">
        <f>SUM(F87)</f>
        <v>5689200</v>
      </c>
      <c r="G86" s="288">
        <f>SUM(G87:G87)</f>
        <v>13284</v>
      </c>
      <c r="H86" s="355"/>
      <c r="I86" s="288">
        <f>SUM(I87)</f>
        <v>5675916</v>
      </c>
      <c r="J86" s="288">
        <f>SUM(J87:J87)</f>
        <v>13000</v>
      </c>
      <c r="K86" s="276"/>
      <c r="L86" s="276"/>
    </row>
    <row r="87" spans="1:12" ht="33.75" customHeight="1">
      <c r="A87" s="325">
        <v>54</v>
      </c>
      <c r="B87" s="350"/>
      <c r="C87" s="250"/>
      <c r="D87" s="354">
        <v>6050</v>
      </c>
      <c r="E87" s="294" t="s">
        <v>527</v>
      </c>
      <c r="F87" s="306">
        <f>5676200+13000</f>
        <v>5689200</v>
      </c>
      <c r="G87" s="306">
        <f>5034600-5021316</f>
        <v>13284</v>
      </c>
      <c r="H87" s="296" t="s">
        <v>528</v>
      </c>
      <c r="I87" s="310">
        <f>641600+5021316+13000</f>
        <v>5675916</v>
      </c>
      <c r="J87" s="310">
        <v>13000</v>
      </c>
      <c r="K87" s="276" t="s">
        <v>438</v>
      </c>
      <c r="L87" s="276" t="s">
        <v>439</v>
      </c>
    </row>
    <row r="88" spans="1:12" s="361" customFormat="1" ht="24.75" customHeight="1">
      <c r="A88" s="356"/>
      <c r="B88" s="280">
        <v>851</v>
      </c>
      <c r="C88" s="279"/>
      <c r="D88" s="357"/>
      <c r="E88" s="358" t="s">
        <v>529</v>
      </c>
      <c r="F88" s="313">
        <f>F89+F91</f>
        <v>106099</v>
      </c>
      <c r="G88" s="313">
        <f>G89+G91</f>
        <v>0</v>
      </c>
      <c r="H88" s="313"/>
      <c r="I88" s="313">
        <f>I89+I91</f>
        <v>106099</v>
      </c>
      <c r="J88" s="313">
        <f>J89+J91</f>
        <v>0</v>
      </c>
      <c r="K88" s="360"/>
      <c r="L88" s="360"/>
    </row>
    <row r="89" spans="1:12" s="858" customFormat="1" ht="24.75" customHeight="1">
      <c r="A89" s="362"/>
      <c r="B89" s="376"/>
      <c r="C89" s="307">
        <v>85111</v>
      </c>
      <c r="D89" s="308"/>
      <c r="E89" s="294" t="s">
        <v>53</v>
      </c>
      <c r="F89" s="306">
        <f>F90</f>
        <v>100000</v>
      </c>
      <c r="G89" s="306">
        <f>G90</f>
        <v>0</v>
      </c>
      <c r="H89" s="306"/>
      <c r="I89" s="306">
        <f>I90</f>
        <v>100000</v>
      </c>
      <c r="J89" s="306">
        <f>J90</f>
        <v>0</v>
      </c>
      <c r="K89" s="276"/>
      <c r="L89" s="276"/>
    </row>
    <row r="90" spans="1:12" s="858" customFormat="1" ht="68.25" customHeight="1">
      <c r="A90" s="362">
        <v>55</v>
      </c>
      <c r="B90" s="376"/>
      <c r="C90" s="307"/>
      <c r="D90" s="876">
        <v>6220</v>
      </c>
      <c r="E90" s="860" t="s">
        <v>98</v>
      </c>
      <c r="F90" s="855">
        <v>100000</v>
      </c>
      <c r="G90" s="855"/>
      <c r="H90" s="856" t="s">
        <v>430</v>
      </c>
      <c r="I90" s="855">
        <v>100000</v>
      </c>
      <c r="J90" s="872"/>
      <c r="K90" s="857" t="s">
        <v>54</v>
      </c>
      <c r="L90" s="857">
        <v>2013</v>
      </c>
    </row>
    <row r="91" spans="1:12" ht="29.25" customHeight="1">
      <c r="A91" s="362"/>
      <c r="B91" s="350"/>
      <c r="C91" s="307">
        <v>85158</v>
      </c>
      <c r="D91" s="307"/>
      <c r="E91" s="363" t="s">
        <v>530</v>
      </c>
      <c r="F91" s="306">
        <f>F92</f>
        <v>6099</v>
      </c>
      <c r="G91" s="306"/>
      <c r="H91" s="302"/>
      <c r="I91" s="306">
        <f>I92</f>
        <v>6099</v>
      </c>
      <c r="J91" s="310"/>
      <c r="K91" s="276"/>
      <c r="L91" s="276"/>
    </row>
    <row r="92" spans="1:12" ht="29.25" customHeight="1">
      <c r="A92" s="362">
        <v>56</v>
      </c>
      <c r="B92" s="350"/>
      <c r="C92" s="250"/>
      <c r="D92" s="309">
        <v>6060</v>
      </c>
      <c r="E92" s="305" t="s">
        <v>531</v>
      </c>
      <c r="F92" s="306">
        <f>20000-13901</f>
        <v>6099</v>
      </c>
      <c r="G92" s="306"/>
      <c r="H92" s="302" t="s">
        <v>532</v>
      </c>
      <c r="I92" s="310">
        <f>20000-13901</f>
        <v>6099</v>
      </c>
      <c r="J92" s="310"/>
      <c r="K92" s="276" t="s">
        <v>533</v>
      </c>
      <c r="L92" s="276">
        <v>2013</v>
      </c>
    </row>
    <row r="93" spans="1:12" ht="31.5" customHeight="1">
      <c r="A93" s="325"/>
      <c r="B93" s="279">
        <v>853</v>
      </c>
      <c r="C93" s="307"/>
      <c r="D93" s="354"/>
      <c r="E93" s="359" t="s">
        <v>534</v>
      </c>
      <c r="F93" s="313">
        <f>F94</f>
        <v>3432169.92</v>
      </c>
      <c r="G93" s="313">
        <f>G94</f>
        <v>3163369.92</v>
      </c>
      <c r="H93" s="313"/>
      <c r="I93" s="313">
        <f>I94</f>
        <v>1868800</v>
      </c>
      <c r="J93" s="313">
        <f>J94</f>
        <v>0</v>
      </c>
      <c r="K93" s="360"/>
      <c r="L93" s="360"/>
    </row>
    <row r="94" spans="1:12" ht="27" customHeight="1">
      <c r="A94" s="325"/>
      <c r="B94" s="279"/>
      <c r="C94" s="320">
        <v>85395</v>
      </c>
      <c r="D94" s="364"/>
      <c r="E94" s="287" t="s">
        <v>535</v>
      </c>
      <c r="F94" s="288">
        <f>SUM(F95:F103)</f>
        <v>3432169.92</v>
      </c>
      <c r="G94" s="288">
        <f>SUM(G95:G103)</f>
        <v>3163369.92</v>
      </c>
      <c r="H94" s="288"/>
      <c r="I94" s="288">
        <f>SUM(I95:I103)</f>
        <v>1868800</v>
      </c>
      <c r="J94" s="288">
        <f>SUM(J95:J103)</f>
        <v>0</v>
      </c>
      <c r="K94" s="289"/>
      <c r="L94" s="289"/>
    </row>
    <row r="95" spans="1:12" ht="38.25" customHeight="1">
      <c r="A95" s="325">
        <v>57</v>
      </c>
      <c r="B95" s="279"/>
      <c r="C95" s="284"/>
      <c r="D95" s="365">
        <v>6067</v>
      </c>
      <c r="E95" s="366" t="s">
        <v>536</v>
      </c>
      <c r="F95" s="368">
        <v>18000</v>
      </c>
      <c r="G95" s="288"/>
      <c r="H95" s="367" t="s">
        <v>537</v>
      </c>
      <c r="I95" s="368">
        <v>18000</v>
      </c>
      <c r="J95" s="288"/>
      <c r="K95" s="335" t="s">
        <v>538</v>
      </c>
      <c r="L95" s="276">
        <v>2013</v>
      </c>
    </row>
    <row r="96" spans="1:12" ht="40.5" customHeight="1">
      <c r="A96" s="325">
        <v>58</v>
      </c>
      <c r="B96" s="279"/>
      <c r="C96" s="284"/>
      <c r="D96" s="365">
        <v>6067</v>
      </c>
      <c r="E96" s="366" t="s">
        <v>539</v>
      </c>
      <c r="F96" s="368">
        <v>16000</v>
      </c>
      <c r="G96" s="288"/>
      <c r="H96" s="367" t="s">
        <v>540</v>
      </c>
      <c r="I96" s="368">
        <v>16000</v>
      </c>
      <c r="J96" s="288"/>
      <c r="K96" s="335" t="s">
        <v>538</v>
      </c>
      <c r="L96" s="276">
        <v>2013</v>
      </c>
    </row>
    <row r="97" spans="1:12" ht="29.25" customHeight="1">
      <c r="A97" s="325">
        <v>59</v>
      </c>
      <c r="B97" s="279"/>
      <c r="C97" s="284"/>
      <c r="D97" s="365">
        <v>6067</v>
      </c>
      <c r="E97" s="366" t="s">
        <v>541</v>
      </c>
      <c r="F97" s="368">
        <v>4000</v>
      </c>
      <c r="G97" s="288"/>
      <c r="H97" s="367" t="s">
        <v>542</v>
      </c>
      <c r="I97" s="368">
        <v>4000</v>
      </c>
      <c r="J97" s="288"/>
      <c r="K97" s="335" t="s">
        <v>538</v>
      </c>
      <c r="L97" s="276">
        <v>2013</v>
      </c>
    </row>
    <row r="98" spans="1:12" ht="30.75" customHeight="1">
      <c r="A98" s="269">
        <v>60</v>
      </c>
      <c r="B98" s="369"/>
      <c r="C98" s="284"/>
      <c r="D98" s="365">
        <v>6067</v>
      </c>
      <c r="E98" s="366" t="s">
        <v>191</v>
      </c>
      <c r="F98" s="368">
        <v>6300</v>
      </c>
      <c r="G98" s="288"/>
      <c r="H98" s="367" t="s">
        <v>194</v>
      </c>
      <c r="I98" s="368">
        <v>6300</v>
      </c>
      <c r="J98" s="288"/>
      <c r="K98" s="335" t="s">
        <v>195</v>
      </c>
      <c r="L98" s="276">
        <v>2013</v>
      </c>
    </row>
    <row r="99" spans="1:12" ht="31.5" customHeight="1">
      <c r="A99" s="269">
        <v>61</v>
      </c>
      <c r="B99" s="369"/>
      <c r="C99" s="284"/>
      <c r="D99" s="365">
        <v>6067</v>
      </c>
      <c r="E99" s="366" t="s">
        <v>192</v>
      </c>
      <c r="F99" s="368">
        <v>3500</v>
      </c>
      <c r="G99" s="288"/>
      <c r="H99" s="367" t="s">
        <v>193</v>
      </c>
      <c r="I99" s="368">
        <v>3500</v>
      </c>
      <c r="J99" s="288"/>
      <c r="K99" s="335" t="s">
        <v>195</v>
      </c>
      <c r="L99" s="276">
        <v>2013</v>
      </c>
    </row>
    <row r="100" spans="1:12" ht="66.75" customHeight="1">
      <c r="A100" s="915">
        <v>62</v>
      </c>
      <c r="B100" s="369"/>
      <c r="C100" s="284"/>
      <c r="D100" s="354">
        <v>6237</v>
      </c>
      <c r="E100" s="305" t="s">
        <v>543</v>
      </c>
      <c r="F100" s="306">
        <v>1360000</v>
      </c>
      <c r="G100" s="306">
        <v>1360000</v>
      </c>
      <c r="H100" s="370" t="s">
        <v>544</v>
      </c>
      <c r="I100" s="310">
        <v>1360000</v>
      </c>
      <c r="J100" s="310">
        <v>0</v>
      </c>
      <c r="K100" s="276" t="s">
        <v>545</v>
      </c>
      <c r="L100" s="276" t="s">
        <v>445</v>
      </c>
    </row>
    <row r="101" spans="1:12" ht="75" customHeight="1">
      <c r="A101" s="916"/>
      <c r="B101" s="369"/>
      <c r="C101" s="316"/>
      <c r="D101" s="354">
        <v>6239</v>
      </c>
      <c r="E101" s="305" t="s">
        <v>546</v>
      </c>
      <c r="F101" s="306">
        <v>240000</v>
      </c>
      <c r="G101" s="306">
        <v>240000</v>
      </c>
      <c r="H101" s="370" t="s">
        <v>544</v>
      </c>
      <c r="I101" s="310">
        <v>240000</v>
      </c>
      <c r="J101" s="310">
        <v>0</v>
      </c>
      <c r="K101" s="276" t="s">
        <v>545</v>
      </c>
      <c r="L101" s="276" t="s">
        <v>445</v>
      </c>
    </row>
    <row r="102" spans="1:14" ht="62.25" customHeight="1">
      <c r="A102" s="917">
        <v>63</v>
      </c>
      <c r="B102" s="369"/>
      <c r="C102" s="316"/>
      <c r="D102" s="354">
        <v>6237</v>
      </c>
      <c r="E102" s="305" t="s">
        <v>547</v>
      </c>
      <c r="F102" s="310">
        <f>G102+I102</f>
        <v>1516714.43</v>
      </c>
      <c r="G102" s="306">
        <v>1328864.43</v>
      </c>
      <c r="H102" s="302" t="s">
        <v>548</v>
      </c>
      <c r="I102" s="310">
        <v>187850</v>
      </c>
      <c r="J102" s="310"/>
      <c r="K102" s="276" t="s">
        <v>545</v>
      </c>
      <c r="L102" s="276" t="s">
        <v>439</v>
      </c>
      <c r="N102" s="277"/>
    </row>
    <row r="103" spans="1:12" ht="65.25" customHeight="1">
      <c r="A103" s="918"/>
      <c r="B103" s="369"/>
      <c r="C103" s="316"/>
      <c r="D103" s="354">
        <v>6239</v>
      </c>
      <c r="E103" s="305" t="s">
        <v>547</v>
      </c>
      <c r="F103" s="310">
        <f>G103+I103</f>
        <v>267655.49</v>
      </c>
      <c r="G103" s="306">
        <v>234505.49</v>
      </c>
      <c r="H103" s="302" t="s">
        <v>548</v>
      </c>
      <c r="I103" s="310">
        <v>33150</v>
      </c>
      <c r="J103" s="310"/>
      <c r="K103" s="276" t="s">
        <v>545</v>
      </c>
      <c r="L103" s="276" t="s">
        <v>439</v>
      </c>
    </row>
    <row r="104" spans="1:12" ht="30" customHeight="1">
      <c r="A104" s="343"/>
      <c r="B104" s="279">
        <v>900</v>
      </c>
      <c r="C104" s="279"/>
      <c r="D104" s="280"/>
      <c r="E104" s="312" t="s">
        <v>549</v>
      </c>
      <c r="F104" s="313">
        <f>F105+F109+F118</f>
        <v>3095491.7800000003</v>
      </c>
      <c r="G104" s="313">
        <f>G105+G109+G118</f>
        <v>231240</v>
      </c>
      <c r="H104" s="313"/>
      <c r="I104" s="313">
        <f>I105+I109+I118</f>
        <v>2362660</v>
      </c>
      <c r="J104" s="313">
        <f>J105+J109+J118</f>
        <v>605000</v>
      </c>
      <c r="K104" s="276"/>
      <c r="L104" s="276"/>
    </row>
    <row r="105" spans="1:12" ht="30" customHeight="1">
      <c r="A105" s="343"/>
      <c r="B105" s="343"/>
      <c r="C105" s="319">
        <v>90002</v>
      </c>
      <c r="D105" s="321"/>
      <c r="E105" s="287" t="s">
        <v>550</v>
      </c>
      <c r="F105" s="288">
        <f>SUM(F106:F108)</f>
        <v>92000</v>
      </c>
      <c r="G105" s="288">
        <f>SUM(G106:G108)</f>
        <v>0</v>
      </c>
      <c r="H105" s="288"/>
      <c r="I105" s="288">
        <f>SUM(I106:I108)</f>
        <v>92000</v>
      </c>
      <c r="J105" s="288">
        <f>SUM(J106:J108)</f>
        <v>42000</v>
      </c>
      <c r="K105" s="276"/>
      <c r="L105" s="276"/>
    </row>
    <row r="106" spans="1:12" s="858" customFormat="1" ht="46.5" customHeight="1">
      <c r="A106" s="250">
        <v>64</v>
      </c>
      <c r="B106" s="350"/>
      <c r="C106" s="250"/>
      <c r="D106" s="871">
        <v>6050</v>
      </c>
      <c r="E106" s="854" t="s">
        <v>55</v>
      </c>
      <c r="F106" s="855">
        <v>50000</v>
      </c>
      <c r="G106" s="855"/>
      <c r="H106" s="855" t="s">
        <v>431</v>
      </c>
      <c r="I106" s="855">
        <v>50000</v>
      </c>
      <c r="J106" s="855"/>
      <c r="K106" s="857" t="s">
        <v>596</v>
      </c>
      <c r="L106" s="857">
        <v>2013</v>
      </c>
    </row>
    <row r="107" spans="1:12" ht="48" customHeight="1">
      <c r="A107" s="250">
        <v>65</v>
      </c>
      <c r="B107" s="350"/>
      <c r="C107" s="371"/>
      <c r="D107" s="309">
        <v>6220</v>
      </c>
      <c r="E107" s="372" t="s">
        <v>551</v>
      </c>
      <c r="F107" s="373">
        <v>12000</v>
      </c>
      <c r="G107" s="374">
        <v>0</v>
      </c>
      <c r="H107" s="375" t="s">
        <v>552</v>
      </c>
      <c r="I107" s="373">
        <v>12000</v>
      </c>
      <c r="J107" s="373">
        <v>12000</v>
      </c>
      <c r="K107" s="276" t="s">
        <v>553</v>
      </c>
      <c r="L107" s="276">
        <v>2013</v>
      </c>
    </row>
    <row r="108" spans="1:12" ht="51.75" customHeight="1">
      <c r="A108" s="250">
        <v>66</v>
      </c>
      <c r="B108" s="350"/>
      <c r="C108" s="311"/>
      <c r="D108" s="309">
        <v>6230</v>
      </c>
      <c r="E108" s="366" t="s">
        <v>551</v>
      </c>
      <c r="F108" s="373">
        <v>30000</v>
      </c>
      <c r="G108" s="374">
        <v>0</v>
      </c>
      <c r="H108" s="375" t="s">
        <v>552</v>
      </c>
      <c r="I108" s="373">
        <v>30000</v>
      </c>
      <c r="J108" s="373">
        <v>30000</v>
      </c>
      <c r="K108" s="276" t="s">
        <v>553</v>
      </c>
      <c r="L108" s="276">
        <v>2013</v>
      </c>
    </row>
    <row r="109" spans="1:12" ht="27.75" customHeight="1">
      <c r="A109" s="260"/>
      <c r="B109" s="319"/>
      <c r="C109" s="319">
        <v>90015</v>
      </c>
      <c r="D109" s="321"/>
      <c r="E109" s="287" t="s">
        <v>554</v>
      </c>
      <c r="F109" s="288">
        <f>SUM(F110:F117)</f>
        <v>1034591.78</v>
      </c>
      <c r="G109" s="288">
        <f>SUM(G110:G117)</f>
        <v>0</v>
      </c>
      <c r="H109" s="288"/>
      <c r="I109" s="288">
        <f>SUM(I110:I117)</f>
        <v>1033000</v>
      </c>
      <c r="J109" s="288">
        <f>SUM(J110:J117)</f>
        <v>338000</v>
      </c>
      <c r="K109" s="289"/>
      <c r="L109" s="289"/>
    </row>
    <row r="110" spans="1:12" ht="39.75" customHeight="1">
      <c r="A110" s="307">
        <v>67</v>
      </c>
      <c r="B110" s="376"/>
      <c r="C110" s="242"/>
      <c r="D110" s="377">
        <v>6050</v>
      </c>
      <c r="E110" s="372" t="s">
        <v>555</v>
      </c>
      <c r="F110" s="378">
        <f>100000+160000</f>
        <v>260000</v>
      </c>
      <c r="G110" s="379">
        <v>0</v>
      </c>
      <c r="H110" s="380" t="s">
        <v>659</v>
      </c>
      <c r="I110" s="882">
        <f>100000+160000-240000+240000</f>
        <v>260000</v>
      </c>
      <c r="J110" s="882">
        <f>100000+160000-240000+240000</f>
        <v>260000</v>
      </c>
      <c r="K110" s="318" t="s">
        <v>458</v>
      </c>
      <c r="L110" s="318">
        <v>2013</v>
      </c>
    </row>
    <row r="111" spans="1:12" ht="66" customHeight="1">
      <c r="A111" s="307">
        <v>68</v>
      </c>
      <c r="B111" s="376"/>
      <c r="C111" s="250"/>
      <c r="D111" s="377">
        <v>6050</v>
      </c>
      <c r="E111" s="366" t="s">
        <v>556</v>
      </c>
      <c r="F111" s="373">
        <f>200000-95000+1149.61</f>
        <v>106149.61</v>
      </c>
      <c r="G111" s="382"/>
      <c r="H111" s="383" t="s">
        <v>557</v>
      </c>
      <c r="I111" s="373">
        <f>200000-95000</f>
        <v>105000</v>
      </c>
      <c r="J111" s="373"/>
      <c r="K111" s="318" t="s">
        <v>438</v>
      </c>
      <c r="L111" s="318">
        <v>2013</v>
      </c>
    </row>
    <row r="112" spans="1:12" ht="50.25" customHeight="1">
      <c r="A112" s="307">
        <v>69</v>
      </c>
      <c r="B112" s="376"/>
      <c r="C112" s="250"/>
      <c r="D112" s="377">
        <v>6050</v>
      </c>
      <c r="E112" s="384" t="s">
        <v>558</v>
      </c>
      <c r="F112" s="373">
        <v>175000</v>
      </c>
      <c r="G112" s="382"/>
      <c r="H112" s="383" t="s">
        <v>559</v>
      </c>
      <c r="I112" s="879">
        <f>175000-150000+150000</f>
        <v>175000</v>
      </c>
      <c r="J112" s="373"/>
      <c r="K112" s="318" t="s">
        <v>458</v>
      </c>
      <c r="L112" s="318">
        <v>2013</v>
      </c>
    </row>
    <row r="113" spans="1:12" ht="89.25" customHeight="1">
      <c r="A113" s="307">
        <v>70</v>
      </c>
      <c r="B113" s="376"/>
      <c r="C113" s="250"/>
      <c r="D113" s="377">
        <v>6050</v>
      </c>
      <c r="E113" s="366" t="s">
        <v>560</v>
      </c>
      <c r="F113" s="373">
        <f>270000-120000+442.17</f>
        <v>150442.17</v>
      </c>
      <c r="G113" s="382"/>
      <c r="H113" s="383" t="s">
        <v>586</v>
      </c>
      <c r="I113" s="373">
        <f>270000-120000</f>
        <v>150000</v>
      </c>
      <c r="J113" s="373"/>
      <c r="K113" s="318" t="s">
        <v>438</v>
      </c>
      <c r="L113" s="318">
        <v>2013</v>
      </c>
    </row>
    <row r="114" spans="1:12" ht="42" customHeight="1">
      <c r="A114" s="307">
        <v>71</v>
      </c>
      <c r="B114" s="376"/>
      <c r="C114" s="250"/>
      <c r="D114" s="377">
        <v>6050</v>
      </c>
      <c r="E114" s="366" t="s">
        <v>652</v>
      </c>
      <c r="F114" s="373">
        <v>25000</v>
      </c>
      <c r="G114" s="382"/>
      <c r="H114" s="383" t="s">
        <v>588</v>
      </c>
      <c r="I114" s="373">
        <v>25000</v>
      </c>
      <c r="J114" s="373"/>
      <c r="K114" s="318" t="s">
        <v>458</v>
      </c>
      <c r="L114" s="318">
        <v>2013</v>
      </c>
    </row>
    <row r="115" spans="1:12" ht="39.75" customHeight="1">
      <c r="A115" s="307">
        <v>72</v>
      </c>
      <c r="B115" s="376"/>
      <c r="C115" s="250"/>
      <c r="D115" s="377">
        <v>6050</v>
      </c>
      <c r="E115" s="904" t="s">
        <v>689</v>
      </c>
      <c r="F115" s="373">
        <v>78000</v>
      </c>
      <c r="G115" s="382"/>
      <c r="H115" s="383" t="s">
        <v>656</v>
      </c>
      <c r="I115" s="373">
        <v>78000</v>
      </c>
      <c r="J115" s="373">
        <v>78000</v>
      </c>
      <c r="K115" s="318" t="s">
        <v>458</v>
      </c>
      <c r="L115" s="318">
        <v>2013</v>
      </c>
    </row>
    <row r="116" spans="1:12" ht="39.75" customHeight="1">
      <c r="A116" s="307">
        <v>73</v>
      </c>
      <c r="B116" s="376"/>
      <c r="C116" s="250"/>
      <c r="D116" s="877">
        <v>6050</v>
      </c>
      <c r="E116" s="878" t="s">
        <v>307</v>
      </c>
      <c r="F116" s="879">
        <v>50000</v>
      </c>
      <c r="G116" s="880"/>
      <c r="H116" s="881" t="s">
        <v>432</v>
      </c>
      <c r="I116" s="879">
        <v>50000</v>
      </c>
      <c r="J116" s="879"/>
      <c r="K116" s="874" t="s">
        <v>458</v>
      </c>
      <c r="L116" s="874">
        <v>2013</v>
      </c>
    </row>
    <row r="117" spans="1:12" ht="52.5" customHeight="1">
      <c r="A117" s="307">
        <v>74</v>
      </c>
      <c r="B117" s="376"/>
      <c r="C117" s="250"/>
      <c r="D117" s="377">
        <v>6050</v>
      </c>
      <c r="E117" s="384" t="s">
        <v>587</v>
      </c>
      <c r="F117" s="373">
        <f>300000-110000</f>
        <v>190000</v>
      </c>
      <c r="G117" s="382"/>
      <c r="H117" s="383" t="s">
        <v>588</v>
      </c>
      <c r="I117" s="373">
        <f>300000-110000</f>
        <v>190000</v>
      </c>
      <c r="J117" s="373"/>
      <c r="K117" s="318" t="s">
        <v>438</v>
      </c>
      <c r="L117" s="318">
        <v>2013</v>
      </c>
    </row>
    <row r="118" spans="1:12" ht="25.5" customHeight="1">
      <c r="A118" s="307"/>
      <c r="B118" s="319"/>
      <c r="C118" s="320">
        <v>90095</v>
      </c>
      <c r="D118" s="321"/>
      <c r="E118" s="287" t="s">
        <v>471</v>
      </c>
      <c r="F118" s="288">
        <f>SUM(F119:F123)</f>
        <v>1968900</v>
      </c>
      <c r="G118" s="288">
        <f>SUM(G119:G123)</f>
        <v>231240</v>
      </c>
      <c r="H118" s="288"/>
      <c r="I118" s="288">
        <f>SUM(I119:I123)</f>
        <v>1237660</v>
      </c>
      <c r="J118" s="288">
        <f>SUM(J119:J123)</f>
        <v>225000</v>
      </c>
      <c r="K118" s="289"/>
      <c r="L118" s="289"/>
    </row>
    <row r="119" spans="1:12" ht="25.5" customHeight="1">
      <c r="A119" s="242">
        <v>75</v>
      </c>
      <c r="B119" s="385"/>
      <c r="C119" s="319"/>
      <c r="D119" s="309">
        <v>6050</v>
      </c>
      <c r="E119" s="294" t="s">
        <v>589</v>
      </c>
      <c r="F119" s="306">
        <f>1375000-1300000+500000</f>
        <v>575000</v>
      </c>
      <c r="G119" s="306">
        <v>0</v>
      </c>
      <c r="H119" s="386" t="s">
        <v>590</v>
      </c>
      <c r="I119" s="306">
        <f>1375000-1300000</f>
        <v>75000</v>
      </c>
      <c r="J119" s="306">
        <f>1375000-1300000</f>
        <v>75000</v>
      </c>
      <c r="K119" s="387" t="s">
        <v>438</v>
      </c>
      <c r="L119" s="387">
        <v>2013</v>
      </c>
    </row>
    <row r="120" spans="1:12" ht="25.5" customHeight="1">
      <c r="A120" s="242">
        <v>76</v>
      </c>
      <c r="B120" s="385"/>
      <c r="C120" s="319"/>
      <c r="D120" s="871">
        <v>6050</v>
      </c>
      <c r="E120" s="854" t="s">
        <v>129</v>
      </c>
      <c r="F120" s="855">
        <v>100000</v>
      </c>
      <c r="G120" s="855"/>
      <c r="H120" s="883" t="s">
        <v>433</v>
      </c>
      <c r="I120" s="855">
        <v>100000</v>
      </c>
      <c r="J120" s="855"/>
      <c r="K120" s="874" t="s">
        <v>596</v>
      </c>
      <c r="L120" s="874">
        <v>2013</v>
      </c>
    </row>
    <row r="121" spans="1:14" ht="39" customHeight="1">
      <c r="A121" s="919">
        <v>77</v>
      </c>
      <c r="B121" s="385"/>
      <c r="C121" s="319"/>
      <c r="D121" s="309">
        <v>6057</v>
      </c>
      <c r="E121" s="366" t="s">
        <v>591</v>
      </c>
      <c r="F121" s="373">
        <v>972315</v>
      </c>
      <c r="G121" s="306">
        <v>196554</v>
      </c>
      <c r="H121" s="388" t="s">
        <v>592</v>
      </c>
      <c r="I121" s="306">
        <v>775761</v>
      </c>
      <c r="J121" s="288">
        <v>0</v>
      </c>
      <c r="K121" s="387" t="s">
        <v>438</v>
      </c>
      <c r="L121" s="387" t="s">
        <v>593</v>
      </c>
      <c r="N121" s="277"/>
    </row>
    <row r="122" spans="1:12" ht="40.5" customHeight="1">
      <c r="A122" s="916"/>
      <c r="B122" s="389"/>
      <c r="C122" s="330"/>
      <c r="D122" s="309">
        <v>6059</v>
      </c>
      <c r="E122" s="366" t="s">
        <v>591</v>
      </c>
      <c r="F122" s="373">
        <v>171585</v>
      </c>
      <c r="G122" s="374">
        <v>34686</v>
      </c>
      <c r="H122" s="388" t="s">
        <v>592</v>
      </c>
      <c r="I122" s="373">
        <v>136899</v>
      </c>
      <c r="J122" s="373">
        <v>0</v>
      </c>
      <c r="K122" s="387" t="s">
        <v>438</v>
      </c>
      <c r="L122" s="387" t="s">
        <v>593</v>
      </c>
    </row>
    <row r="123" spans="1:12" ht="41.25" customHeight="1">
      <c r="A123" s="390">
        <v>78</v>
      </c>
      <c r="B123" s="389"/>
      <c r="C123" s="330"/>
      <c r="D123" s="391">
        <v>6230</v>
      </c>
      <c r="E123" s="366" t="s">
        <v>594</v>
      </c>
      <c r="F123" s="884">
        <f>50000+100000</f>
        <v>150000</v>
      </c>
      <c r="G123" s="382">
        <v>0</v>
      </c>
      <c r="H123" s="383" t="s">
        <v>595</v>
      </c>
      <c r="I123" s="879">
        <f>50000+100000</f>
        <v>150000</v>
      </c>
      <c r="J123" s="879">
        <f>50000+100000</f>
        <v>150000</v>
      </c>
      <c r="K123" s="318" t="s">
        <v>596</v>
      </c>
      <c r="L123" s="318">
        <v>2013</v>
      </c>
    </row>
    <row r="124" spans="1:12" s="361" customFormat="1" ht="41.25" customHeight="1">
      <c r="A124" s="885"/>
      <c r="B124" s="886">
        <v>921</v>
      </c>
      <c r="C124" s="886"/>
      <c r="D124" s="279"/>
      <c r="E124" s="887" t="s">
        <v>714</v>
      </c>
      <c r="F124" s="893">
        <f>F125</f>
        <v>1440000</v>
      </c>
      <c r="G124" s="893">
        <f aca="true" t="shared" si="1" ref="G124:J125">G125</f>
        <v>0</v>
      </c>
      <c r="H124" s="893">
        <f t="shared" si="1"/>
        <v>0</v>
      </c>
      <c r="I124" s="893">
        <f t="shared" si="1"/>
        <v>340000</v>
      </c>
      <c r="J124" s="893">
        <f t="shared" si="1"/>
        <v>0</v>
      </c>
      <c r="K124" s="888"/>
      <c r="L124" s="888"/>
    </row>
    <row r="125" spans="1:12" s="414" customFormat="1" ht="32.25" customHeight="1">
      <c r="A125" s="889"/>
      <c r="B125" s="890"/>
      <c r="C125" s="892">
        <v>92109</v>
      </c>
      <c r="D125" s="406"/>
      <c r="E125" s="891" t="s">
        <v>56</v>
      </c>
      <c r="F125" s="894">
        <f>F126</f>
        <v>1440000</v>
      </c>
      <c r="G125" s="894">
        <f t="shared" si="1"/>
        <v>0</v>
      </c>
      <c r="H125" s="894">
        <f t="shared" si="1"/>
        <v>0</v>
      </c>
      <c r="I125" s="894">
        <f t="shared" si="1"/>
        <v>340000</v>
      </c>
      <c r="J125" s="894">
        <f t="shared" si="1"/>
        <v>0</v>
      </c>
      <c r="K125" s="402"/>
      <c r="L125" s="402"/>
    </row>
    <row r="126" spans="1:12" ht="57" customHeight="1">
      <c r="A126" s="390">
        <v>79</v>
      </c>
      <c r="B126" s="389"/>
      <c r="C126" s="330"/>
      <c r="D126" s="336">
        <v>6050</v>
      </c>
      <c r="E126" s="366" t="s">
        <v>96</v>
      </c>
      <c r="F126" s="884">
        <f>1100000+340000</f>
        <v>1440000</v>
      </c>
      <c r="G126" s="382"/>
      <c r="H126" s="383"/>
      <c r="I126" s="879">
        <v>340000</v>
      </c>
      <c r="J126" s="879"/>
      <c r="K126" s="318" t="s">
        <v>438</v>
      </c>
      <c r="L126" s="318" t="s">
        <v>644</v>
      </c>
    </row>
    <row r="127" spans="1:12" ht="27.75" customHeight="1">
      <c r="A127" s="250"/>
      <c r="B127" s="278">
        <v>926</v>
      </c>
      <c r="C127" s="279"/>
      <c r="D127" s="280"/>
      <c r="E127" s="312" t="s">
        <v>597</v>
      </c>
      <c r="F127" s="313">
        <f>F128+F131</f>
        <v>134300</v>
      </c>
      <c r="G127" s="313">
        <f>G128+G131</f>
        <v>0</v>
      </c>
      <c r="H127" s="313"/>
      <c r="I127" s="313">
        <f>I128+I131</f>
        <v>134300</v>
      </c>
      <c r="J127" s="313">
        <f>J128+J131</f>
        <v>0</v>
      </c>
      <c r="K127" s="276"/>
      <c r="L127" s="276"/>
    </row>
    <row r="128" spans="1:12" ht="24" customHeight="1">
      <c r="A128" s="279"/>
      <c r="B128" s="346"/>
      <c r="C128" s="326">
        <v>92601</v>
      </c>
      <c r="D128" s="321"/>
      <c r="E128" s="287" t="s">
        <v>598</v>
      </c>
      <c r="F128" s="288">
        <f>SUM(F129:F130)</f>
        <v>84300</v>
      </c>
      <c r="G128" s="288">
        <f>SUM(G129:G130)</f>
        <v>0</v>
      </c>
      <c r="H128" s="288"/>
      <c r="I128" s="288">
        <f>SUM(I129:I130)</f>
        <v>84300</v>
      </c>
      <c r="J128" s="288">
        <f>SUM(J129:J130)</f>
        <v>0</v>
      </c>
      <c r="K128" s="289"/>
      <c r="L128" s="289"/>
    </row>
    <row r="129" spans="1:12" ht="41.25" customHeight="1">
      <c r="A129" s="307">
        <v>80</v>
      </c>
      <c r="B129" s="340"/>
      <c r="C129" s="284"/>
      <c r="D129" s="391">
        <v>6050</v>
      </c>
      <c r="E129" s="300" t="s">
        <v>599</v>
      </c>
      <c r="F129" s="306">
        <f>18300+16000</f>
        <v>34300</v>
      </c>
      <c r="G129" s="306">
        <v>0</v>
      </c>
      <c r="H129" s="353" t="s">
        <v>600</v>
      </c>
      <c r="I129" s="306">
        <f>18300+16000</f>
        <v>34300</v>
      </c>
      <c r="J129" s="306">
        <v>0</v>
      </c>
      <c r="K129" s="276" t="s">
        <v>438</v>
      </c>
      <c r="L129" s="318">
        <v>2013</v>
      </c>
    </row>
    <row r="130" spans="1:12" s="393" customFormat="1" ht="44.25" customHeight="1">
      <c r="A130" s="307">
        <v>81</v>
      </c>
      <c r="B130" s="340"/>
      <c r="C130" s="284"/>
      <c r="D130" s="392">
        <v>6050</v>
      </c>
      <c r="E130" s="299" t="s">
        <v>601</v>
      </c>
      <c r="F130" s="306">
        <v>50000</v>
      </c>
      <c r="G130" s="306">
        <v>0</v>
      </c>
      <c r="H130" s="296" t="s">
        <v>602</v>
      </c>
      <c r="I130" s="306">
        <v>50000</v>
      </c>
      <c r="J130" s="306">
        <v>0</v>
      </c>
      <c r="K130" s="276" t="s">
        <v>438</v>
      </c>
      <c r="L130" s="276">
        <v>2013</v>
      </c>
    </row>
    <row r="131" spans="1:12" s="393" customFormat="1" ht="25.5" customHeight="1">
      <c r="A131" s="307"/>
      <c r="B131" s="340"/>
      <c r="C131" s="320">
        <v>92604</v>
      </c>
      <c r="D131" s="394"/>
      <c r="E131" s="395" t="s">
        <v>603</v>
      </c>
      <c r="F131" s="306">
        <f>F132</f>
        <v>50000</v>
      </c>
      <c r="G131" s="306">
        <f>G132</f>
        <v>0</v>
      </c>
      <c r="H131" s="306"/>
      <c r="I131" s="306">
        <f>I132</f>
        <v>50000</v>
      </c>
      <c r="J131" s="306">
        <f>J132</f>
        <v>0</v>
      </c>
      <c r="K131" s="276"/>
      <c r="L131" s="276"/>
    </row>
    <row r="132" spans="1:12" s="393" customFormat="1" ht="27.75" customHeight="1">
      <c r="A132" s="307">
        <v>82</v>
      </c>
      <c r="B132" s="340"/>
      <c r="C132" s="316"/>
      <c r="D132" s="290">
        <v>6050</v>
      </c>
      <c r="E132" s="294" t="s">
        <v>604</v>
      </c>
      <c r="F132" s="306">
        <v>50000</v>
      </c>
      <c r="G132" s="306"/>
      <c r="H132" s="296" t="s">
        <v>605</v>
      </c>
      <c r="I132" s="306">
        <v>50000</v>
      </c>
      <c r="J132" s="306"/>
      <c r="K132" s="276" t="s">
        <v>606</v>
      </c>
      <c r="L132" s="276">
        <v>2013</v>
      </c>
    </row>
    <row r="133" spans="1:14" ht="24.75" customHeight="1">
      <c r="A133" s="307"/>
      <c r="B133" s="396" t="s">
        <v>607</v>
      </c>
      <c r="C133" s="397"/>
      <c r="D133" s="336"/>
      <c r="E133" s="358"/>
      <c r="F133" s="398">
        <f>F134+F143+F149+F153+F156+F163+F166</f>
        <v>37752952</v>
      </c>
      <c r="G133" s="398">
        <f>G134+G143+G149+G153+G156+G163+G166</f>
        <v>23261100</v>
      </c>
      <c r="H133" s="398"/>
      <c r="I133" s="398">
        <f>I134+I143+I149+I153+I156+I163+I166</f>
        <v>10659852</v>
      </c>
      <c r="J133" s="398">
        <f>J134+J143+J149+J153+J156+J163+J166</f>
        <v>1284882.52</v>
      </c>
      <c r="K133" s="276"/>
      <c r="L133" s="276"/>
      <c r="N133" s="277"/>
    </row>
    <row r="134" spans="1:14" ht="20.25" customHeight="1">
      <c r="A134" s="279"/>
      <c r="B134" s="371">
        <v>600</v>
      </c>
      <c r="C134" s="279"/>
      <c r="D134" s="280"/>
      <c r="E134" s="312" t="s">
        <v>422</v>
      </c>
      <c r="F134" s="313">
        <f>F135</f>
        <v>35412452</v>
      </c>
      <c r="G134" s="313">
        <f>G135</f>
        <v>23261100</v>
      </c>
      <c r="H134" s="399"/>
      <c r="I134" s="313">
        <f>I135</f>
        <v>9319352</v>
      </c>
      <c r="J134" s="313">
        <f>J135</f>
        <v>968382.52</v>
      </c>
      <c r="K134" s="276"/>
      <c r="L134" s="276"/>
      <c r="N134" s="277"/>
    </row>
    <row r="135" spans="1:12" ht="27" customHeight="1">
      <c r="A135" s="307"/>
      <c r="B135" s="314"/>
      <c r="C135" s="320">
        <v>60015</v>
      </c>
      <c r="D135" s="286"/>
      <c r="E135" s="287" t="s">
        <v>608</v>
      </c>
      <c r="F135" s="288">
        <f>SUM(F136:F142)</f>
        <v>35412452</v>
      </c>
      <c r="G135" s="288">
        <f>SUM(G136:G142)</f>
        <v>23261100</v>
      </c>
      <c r="H135" s="355"/>
      <c r="I135" s="288">
        <f>SUM(I136:I142)</f>
        <v>9319352</v>
      </c>
      <c r="J135" s="288">
        <f>SUM(J136:J142)</f>
        <v>968382.52</v>
      </c>
      <c r="K135" s="289"/>
      <c r="L135" s="289"/>
    </row>
    <row r="136" spans="1:14" ht="43.5" customHeight="1">
      <c r="A136" s="307">
        <v>83</v>
      </c>
      <c r="B136" s="376"/>
      <c r="C136" s="250"/>
      <c r="D136" s="309">
        <v>6050</v>
      </c>
      <c r="E136" s="372" t="s">
        <v>609</v>
      </c>
      <c r="F136" s="378">
        <f>27061100+125000+122352</f>
        <v>27308452</v>
      </c>
      <c r="G136" s="379">
        <v>23211100</v>
      </c>
      <c r="H136" s="380" t="s">
        <v>610</v>
      </c>
      <c r="I136" s="381">
        <f>3850000+125000+122352</f>
        <v>4097352</v>
      </c>
      <c r="J136" s="903">
        <f>2141080-167000-1921497.48</f>
        <v>52582.52000000002</v>
      </c>
      <c r="K136" s="318" t="s">
        <v>611</v>
      </c>
      <c r="L136" s="318" t="s">
        <v>439</v>
      </c>
      <c r="N136" s="277"/>
    </row>
    <row r="137" spans="1:15" s="393" customFormat="1" ht="35.25" customHeight="1">
      <c r="A137" s="307">
        <v>84</v>
      </c>
      <c r="B137" s="376"/>
      <c r="C137" s="250"/>
      <c r="D137" s="309">
        <v>6050</v>
      </c>
      <c r="E137" s="372" t="s">
        <v>612</v>
      </c>
      <c r="F137" s="378">
        <v>1100000</v>
      </c>
      <c r="G137" s="379"/>
      <c r="H137" s="372" t="s">
        <v>613</v>
      </c>
      <c r="I137" s="381">
        <v>1100000</v>
      </c>
      <c r="J137" s="903">
        <v>0</v>
      </c>
      <c r="K137" s="318" t="s">
        <v>458</v>
      </c>
      <c r="L137" s="318">
        <v>2013</v>
      </c>
      <c r="N137" s="426"/>
      <c r="O137" s="426"/>
    </row>
    <row r="138" spans="1:16" s="393" customFormat="1" ht="58.5" customHeight="1">
      <c r="A138" s="307">
        <v>85</v>
      </c>
      <c r="B138" s="376"/>
      <c r="C138" s="250"/>
      <c r="D138" s="309">
        <v>6050</v>
      </c>
      <c r="E138" s="372" t="s">
        <v>614</v>
      </c>
      <c r="F138" s="378">
        <v>260000</v>
      </c>
      <c r="G138" s="379"/>
      <c r="H138" s="296" t="s">
        <v>602</v>
      </c>
      <c r="I138" s="381">
        <v>260000</v>
      </c>
      <c r="J138" s="381"/>
      <c r="K138" s="318" t="s">
        <v>438</v>
      </c>
      <c r="L138" s="318">
        <v>2013</v>
      </c>
      <c r="N138" s="426"/>
      <c r="P138" s="426"/>
    </row>
    <row r="139" spans="1:14" s="393" customFormat="1" ht="57.75" customHeight="1">
      <c r="A139" s="307">
        <v>86</v>
      </c>
      <c r="B139" s="376"/>
      <c r="C139" s="250"/>
      <c r="D139" s="309">
        <v>6050</v>
      </c>
      <c r="E139" s="372" t="s">
        <v>615</v>
      </c>
      <c r="F139" s="378">
        <v>30000</v>
      </c>
      <c r="G139" s="379"/>
      <c r="H139" s="296" t="s">
        <v>602</v>
      </c>
      <c r="I139" s="381">
        <v>30000</v>
      </c>
      <c r="J139" s="381"/>
      <c r="K139" s="318" t="s">
        <v>458</v>
      </c>
      <c r="L139" s="318">
        <v>2013</v>
      </c>
      <c r="N139" s="426"/>
    </row>
    <row r="140" spans="1:12" s="393" customFormat="1" ht="35.25" customHeight="1">
      <c r="A140" s="307">
        <v>87</v>
      </c>
      <c r="B140" s="376"/>
      <c r="C140" s="250"/>
      <c r="D140" s="309">
        <v>6050</v>
      </c>
      <c r="E140" s="372" t="s">
        <v>653</v>
      </c>
      <c r="F140" s="378">
        <f>2832000+2832000</f>
        <v>5664000</v>
      </c>
      <c r="G140" s="379"/>
      <c r="H140" s="296" t="s">
        <v>655</v>
      </c>
      <c r="I140" s="381">
        <v>2832000</v>
      </c>
      <c r="J140" s="381">
        <f>240000+753800-78000</f>
        <v>915800</v>
      </c>
      <c r="K140" s="318" t="s">
        <v>438</v>
      </c>
      <c r="L140" s="318">
        <v>2013</v>
      </c>
    </row>
    <row r="141" spans="1:12" s="393" customFormat="1" ht="35.25" customHeight="1">
      <c r="A141" s="307">
        <v>88</v>
      </c>
      <c r="B141" s="376"/>
      <c r="C141" s="250"/>
      <c r="D141" s="871">
        <v>6050</v>
      </c>
      <c r="E141" s="895" t="s">
        <v>139</v>
      </c>
      <c r="F141" s="896">
        <v>500000</v>
      </c>
      <c r="G141" s="897"/>
      <c r="H141" s="869"/>
      <c r="I141" s="882">
        <v>500000</v>
      </c>
      <c r="J141" s="882"/>
      <c r="K141" s="874" t="s">
        <v>458</v>
      </c>
      <c r="L141" s="874">
        <v>2013</v>
      </c>
    </row>
    <row r="142" spans="1:14" s="393" customFormat="1" ht="39.75" customHeight="1">
      <c r="A142" s="307">
        <v>89</v>
      </c>
      <c r="B142" s="376"/>
      <c r="C142" s="250"/>
      <c r="D142" s="309">
        <v>6050</v>
      </c>
      <c r="E142" s="372" t="s">
        <v>616</v>
      </c>
      <c r="F142" s="378">
        <v>550000</v>
      </c>
      <c r="G142" s="379">
        <v>50000</v>
      </c>
      <c r="H142" s="400" t="s">
        <v>617</v>
      </c>
      <c r="I142" s="381">
        <v>500000</v>
      </c>
      <c r="J142" s="381">
        <v>0</v>
      </c>
      <c r="K142" s="318" t="s">
        <v>438</v>
      </c>
      <c r="L142" s="318" t="s">
        <v>439</v>
      </c>
      <c r="N142" s="426"/>
    </row>
    <row r="143" spans="1:17" s="50" customFormat="1" ht="27" customHeight="1">
      <c r="A143" s="250"/>
      <c r="B143" s="279">
        <v>710</v>
      </c>
      <c r="C143" s="279"/>
      <c r="D143" s="279"/>
      <c r="E143" s="358" t="s">
        <v>618</v>
      </c>
      <c r="F143" s="339">
        <f>F144+F146</f>
        <v>55000</v>
      </c>
      <c r="G143" s="339">
        <f>G144+G146</f>
        <v>0</v>
      </c>
      <c r="H143" s="339"/>
      <c r="I143" s="339">
        <f>I144+I146</f>
        <v>55000</v>
      </c>
      <c r="J143" s="339">
        <f>J144+J146</f>
        <v>0</v>
      </c>
      <c r="K143" s="275"/>
      <c r="L143" s="275"/>
      <c r="N143" s="401"/>
      <c r="O143" s="401"/>
      <c r="P143" s="401"/>
      <c r="Q143" s="3"/>
    </row>
    <row r="144" spans="1:17" s="50" customFormat="1" ht="27" customHeight="1">
      <c r="A144" s="250"/>
      <c r="B144" s="343"/>
      <c r="C144" s="320">
        <v>71012</v>
      </c>
      <c r="D144" s="321"/>
      <c r="E144" s="327" t="s">
        <v>619</v>
      </c>
      <c r="F144" s="328">
        <f>F145</f>
        <v>45000</v>
      </c>
      <c r="G144" s="328">
        <f>G145</f>
        <v>0</v>
      </c>
      <c r="H144" s="328"/>
      <c r="I144" s="328">
        <f>I145</f>
        <v>45000</v>
      </c>
      <c r="J144" s="328">
        <f>J145</f>
        <v>0</v>
      </c>
      <c r="K144" s="402"/>
      <c r="L144" s="402"/>
      <c r="N144" s="401"/>
      <c r="O144" s="401"/>
      <c r="P144" s="401"/>
      <c r="Q144" s="3"/>
    </row>
    <row r="145" spans="1:17" s="50" customFormat="1" ht="57.75" customHeight="1">
      <c r="A145" s="250">
        <v>90</v>
      </c>
      <c r="B145" s="343"/>
      <c r="C145" s="279"/>
      <c r="D145" s="336">
        <v>6060</v>
      </c>
      <c r="E145" s="347" t="s">
        <v>620</v>
      </c>
      <c r="F145" s="348">
        <f>25000+20000</f>
        <v>45000</v>
      </c>
      <c r="G145" s="348">
        <v>0</v>
      </c>
      <c r="H145" s="347" t="s">
        <v>621</v>
      </c>
      <c r="I145" s="348">
        <f>25000+20000</f>
        <v>45000</v>
      </c>
      <c r="J145" s="348">
        <v>0</v>
      </c>
      <c r="K145" s="275" t="s">
        <v>622</v>
      </c>
      <c r="L145" s="275">
        <v>2013</v>
      </c>
      <c r="N145" s="401"/>
      <c r="O145" s="401"/>
      <c r="P145" s="401"/>
      <c r="Q145" s="3"/>
    </row>
    <row r="146" spans="1:17" s="50" customFormat="1" ht="21.75" customHeight="1">
      <c r="A146" s="260"/>
      <c r="B146" s="319"/>
      <c r="C146" s="320">
        <v>71015</v>
      </c>
      <c r="D146" s="321"/>
      <c r="E146" s="327" t="s">
        <v>623</v>
      </c>
      <c r="F146" s="328">
        <f>F147+F148</f>
        <v>10000</v>
      </c>
      <c r="G146" s="328">
        <f>G148</f>
        <v>0</v>
      </c>
      <c r="H146" s="328"/>
      <c r="I146" s="328">
        <f>I147+I148</f>
        <v>10000</v>
      </c>
      <c r="J146" s="328">
        <f>J148</f>
        <v>0</v>
      </c>
      <c r="K146" s="402"/>
      <c r="L146" s="402"/>
      <c r="N146" s="401"/>
      <c r="O146" s="401"/>
      <c r="P146" s="401"/>
      <c r="Q146" s="3"/>
    </row>
    <row r="147" spans="1:17" s="50" customFormat="1" ht="40.5" customHeight="1">
      <c r="A147" s="260">
        <v>91</v>
      </c>
      <c r="B147" s="319"/>
      <c r="C147" s="284"/>
      <c r="D147" s="336">
        <v>6060</v>
      </c>
      <c r="E147" s="347" t="s">
        <v>624</v>
      </c>
      <c r="F147" s="348">
        <v>5000</v>
      </c>
      <c r="G147" s="348">
        <v>0</v>
      </c>
      <c r="H147" s="403" t="s">
        <v>625</v>
      </c>
      <c r="I147" s="404">
        <v>5000</v>
      </c>
      <c r="J147" s="404">
        <v>0</v>
      </c>
      <c r="K147" s="318" t="s">
        <v>626</v>
      </c>
      <c r="L147" s="318">
        <v>2013</v>
      </c>
      <c r="N147" s="401"/>
      <c r="O147" s="401"/>
      <c r="P147" s="401"/>
      <c r="Q147" s="3"/>
    </row>
    <row r="148" spans="1:17" s="50" customFormat="1" ht="41.25" customHeight="1">
      <c r="A148" s="307">
        <v>92</v>
      </c>
      <c r="B148" s="250"/>
      <c r="C148" s="316"/>
      <c r="D148" s="336">
        <v>6060</v>
      </c>
      <c r="E148" s="347" t="s">
        <v>627</v>
      </c>
      <c r="F148" s="348">
        <v>5000</v>
      </c>
      <c r="G148" s="348">
        <v>0</v>
      </c>
      <c r="H148" s="403" t="s">
        <v>628</v>
      </c>
      <c r="I148" s="404">
        <v>5000</v>
      </c>
      <c r="J148" s="404">
        <v>0</v>
      </c>
      <c r="K148" s="318" t="s">
        <v>626</v>
      </c>
      <c r="L148" s="318">
        <v>2013</v>
      </c>
      <c r="N148" s="401"/>
      <c r="O148" s="401"/>
      <c r="P148" s="401"/>
      <c r="Q148" s="3"/>
    </row>
    <row r="149" spans="1:17" s="50" customFormat="1" ht="35.25" customHeight="1">
      <c r="A149" s="279"/>
      <c r="B149" s="279">
        <v>754</v>
      </c>
      <c r="C149" s="279"/>
      <c r="D149" s="279"/>
      <c r="E149" s="323" t="s">
        <v>484</v>
      </c>
      <c r="F149" s="405">
        <f>F150</f>
        <v>200000</v>
      </c>
      <c r="G149" s="405">
        <f>G150</f>
        <v>0</v>
      </c>
      <c r="H149" s="405"/>
      <c r="I149" s="405">
        <f>I150</f>
        <v>200000</v>
      </c>
      <c r="J149" s="405">
        <f>J150</f>
        <v>100000</v>
      </c>
      <c r="K149" s="318"/>
      <c r="L149" s="318"/>
      <c r="N149" s="401"/>
      <c r="O149" s="401"/>
      <c r="P149" s="401"/>
      <c r="Q149" s="3"/>
    </row>
    <row r="150" spans="1:17" s="50" customFormat="1" ht="33" customHeight="1">
      <c r="A150" s="307"/>
      <c r="B150" s="319"/>
      <c r="C150" s="320">
        <v>75411</v>
      </c>
      <c r="D150" s="406"/>
      <c r="E150" s="327" t="s">
        <v>629</v>
      </c>
      <c r="F150" s="317">
        <f>F151+F152</f>
        <v>200000</v>
      </c>
      <c r="G150" s="317">
        <f>G151+G152</f>
        <v>0</v>
      </c>
      <c r="H150" s="317"/>
      <c r="I150" s="317">
        <f>I151+I152</f>
        <v>200000</v>
      </c>
      <c r="J150" s="317">
        <f>J151+J152</f>
        <v>100000</v>
      </c>
      <c r="K150" s="318"/>
      <c r="L150" s="318"/>
      <c r="N150" s="401"/>
      <c r="O150" s="401"/>
      <c r="P150" s="401"/>
      <c r="Q150" s="3"/>
    </row>
    <row r="151" spans="1:17" s="50" customFormat="1" ht="100.5" customHeight="1">
      <c r="A151" s="919">
        <v>93</v>
      </c>
      <c r="B151" s="250"/>
      <c r="C151" s="316"/>
      <c r="D151" s="391">
        <v>6050</v>
      </c>
      <c r="E151" s="305" t="s">
        <v>630</v>
      </c>
      <c r="F151" s="348">
        <f>100000</f>
        <v>100000</v>
      </c>
      <c r="G151" s="348">
        <v>0</v>
      </c>
      <c r="H151" s="403" t="s">
        <v>631</v>
      </c>
      <c r="I151" s="317">
        <f>100000</f>
        <v>100000</v>
      </c>
      <c r="J151" s="317"/>
      <c r="K151" s="318" t="s">
        <v>632</v>
      </c>
      <c r="L151" s="318">
        <v>2013</v>
      </c>
      <c r="N151" s="401"/>
      <c r="O151" s="401"/>
      <c r="P151" s="401"/>
      <c r="Q151" s="3"/>
    </row>
    <row r="152" spans="1:17" s="50" customFormat="1" ht="111.75" customHeight="1">
      <c r="A152" s="920"/>
      <c r="B152" s="250"/>
      <c r="C152" s="316"/>
      <c r="D152" s="391">
        <v>6170</v>
      </c>
      <c r="E152" s="305" t="s">
        <v>630</v>
      </c>
      <c r="F152" s="348">
        <v>100000</v>
      </c>
      <c r="G152" s="348"/>
      <c r="H152" s="403" t="s">
        <v>631</v>
      </c>
      <c r="I152" s="317">
        <v>100000</v>
      </c>
      <c r="J152" s="317">
        <v>100000</v>
      </c>
      <c r="K152" s="318" t="s">
        <v>488</v>
      </c>
      <c r="L152" s="318">
        <v>2013</v>
      </c>
      <c r="N152" s="401"/>
      <c r="O152" s="401"/>
      <c r="P152" s="401"/>
      <c r="Q152" s="3"/>
    </row>
    <row r="153" spans="1:12" ht="21.75" customHeight="1">
      <c r="A153" s="864"/>
      <c r="B153" s="279">
        <v>758</v>
      </c>
      <c r="C153" s="279"/>
      <c r="D153" s="280"/>
      <c r="E153" s="312" t="s">
        <v>48</v>
      </c>
      <c r="F153" s="313">
        <f>F154</f>
        <v>185000</v>
      </c>
      <c r="G153" s="313">
        <f aca="true" t="shared" si="2" ref="G153:J154">G154</f>
        <v>0</v>
      </c>
      <c r="H153" s="313"/>
      <c r="I153" s="313">
        <f t="shared" si="2"/>
        <v>185000</v>
      </c>
      <c r="J153" s="313">
        <f t="shared" si="2"/>
        <v>0</v>
      </c>
      <c r="K153" s="276"/>
      <c r="L153" s="276"/>
    </row>
    <row r="154" spans="1:12" ht="22.5" customHeight="1">
      <c r="A154" s="865"/>
      <c r="B154" s="346"/>
      <c r="C154" s="326">
        <v>75818</v>
      </c>
      <c r="D154" s="321"/>
      <c r="E154" s="327" t="s">
        <v>49</v>
      </c>
      <c r="F154" s="328">
        <f>F155</f>
        <v>185000</v>
      </c>
      <c r="G154" s="328">
        <f t="shared" si="2"/>
        <v>0</v>
      </c>
      <c r="H154" s="328"/>
      <c r="I154" s="328">
        <f t="shared" si="2"/>
        <v>185000</v>
      </c>
      <c r="J154" s="328">
        <f t="shared" si="2"/>
        <v>0</v>
      </c>
      <c r="K154" s="289"/>
      <c r="L154" s="289"/>
    </row>
    <row r="155" spans="1:12" ht="32.25" customHeight="1">
      <c r="A155" s="865"/>
      <c r="B155" s="343"/>
      <c r="C155" s="316"/>
      <c r="D155" s="866">
        <v>6800</v>
      </c>
      <c r="E155" s="867" t="s">
        <v>491</v>
      </c>
      <c r="F155" s="868">
        <v>185000</v>
      </c>
      <c r="G155" s="868"/>
      <c r="H155" s="869"/>
      <c r="I155" s="870">
        <v>185000</v>
      </c>
      <c r="J155" s="870">
        <f>500000-500000</f>
        <v>0</v>
      </c>
      <c r="K155" s="276"/>
      <c r="L155" s="276"/>
    </row>
    <row r="156" spans="1:12" ht="26.25" customHeight="1">
      <c r="A156" s="242"/>
      <c r="B156" s="279">
        <v>801</v>
      </c>
      <c r="C156" s="279"/>
      <c r="D156" s="279"/>
      <c r="E156" s="338" t="s">
        <v>492</v>
      </c>
      <c r="F156" s="313">
        <f>F157+F159+F161</f>
        <v>316500</v>
      </c>
      <c r="G156" s="313">
        <f>G157+G159+G161</f>
        <v>0</v>
      </c>
      <c r="H156" s="313"/>
      <c r="I156" s="313">
        <f>I157+I159+I161</f>
        <v>316500</v>
      </c>
      <c r="J156" s="313">
        <f>J157+J159+J161</f>
        <v>116500</v>
      </c>
      <c r="K156" s="360"/>
      <c r="L156" s="360"/>
    </row>
    <row r="157" spans="1:12" s="414" customFormat="1" ht="26.25" customHeight="1">
      <c r="A157" s="319"/>
      <c r="B157" s="900"/>
      <c r="C157" s="320">
        <v>80120</v>
      </c>
      <c r="D157" s="320"/>
      <c r="E157" s="341" t="s">
        <v>60</v>
      </c>
      <c r="F157" s="288">
        <f>F158</f>
        <v>110000</v>
      </c>
      <c r="G157" s="288">
        <f>G158</f>
        <v>0</v>
      </c>
      <c r="H157" s="288"/>
      <c r="I157" s="288">
        <f>I158</f>
        <v>110000</v>
      </c>
      <c r="J157" s="288">
        <f>J158</f>
        <v>110000</v>
      </c>
      <c r="K157" s="289"/>
      <c r="L157" s="289"/>
    </row>
    <row r="158" spans="1:12" s="858" customFormat="1" ht="35.25" customHeight="1">
      <c r="A158" s="250">
        <v>94</v>
      </c>
      <c r="B158" s="376"/>
      <c r="C158" s="307"/>
      <c r="D158" s="859">
        <v>6050</v>
      </c>
      <c r="E158" s="899" t="s">
        <v>143</v>
      </c>
      <c r="F158" s="855">
        <v>110000</v>
      </c>
      <c r="G158" s="855"/>
      <c r="H158" s="855" t="s">
        <v>434</v>
      </c>
      <c r="I158" s="855">
        <v>110000</v>
      </c>
      <c r="J158" s="855">
        <v>110000</v>
      </c>
      <c r="K158" s="857" t="s">
        <v>59</v>
      </c>
      <c r="L158" s="857">
        <v>2013</v>
      </c>
    </row>
    <row r="159" spans="1:12" s="858" customFormat="1" ht="45" customHeight="1">
      <c r="A159" s="250"/>
      <c r="B159" s="376"/>
      <c r="C159" s="307">
        <v>80140</v>
      </c>
      <c r="D159" s="307"/>
      <c r="E159" s="898" t="s">
        <v>61</v>
      </c>
      <c r="F159" s="306">
        <f>F160</f>
        <v>200000</v>
      </c>
      <c r="G159" s="306">
        <f>G160</f>
        <v>0</v>
      </c>
      <c r="H159" s="306"/>
      <c r="I159" s="306">
        <f>I160</f>
        <v>200000</v>
      </c>
      <c r="J159" s="306">
        <f>J160</f>
        <v>0</v>
      </c>
      <c r="K159" s="276"/>
      <c r="L159" s="276"/>
    </row>
    <row r="160" spans="1:12" s="858" customFormat="1" ht="41.25" customHeight="1">
      <c r="A160" s="250">
        <v>95</v>
      </c>
      <c r="B160" s="376"/>
      <c r="C160" s="307"/>
      <c r="D160" s="859">
        <v>6050</v>
      </c>
      <c r="E160" s="899" t="s">
        <v>145</v>
      </c>
      <c r="F160" s="855">
        <v>200000</v>
      </c>
      <c r="G160" s="855"/>
      <c r="H160" s="855" t="s">
        <v>435</v>
      </c>
      <c r="I160" s="855">
        <v>200000</v>
      </c>
      <c r="J160" s="855"/>
      <c r="K160" s="857" t="s">
        <v>58</v>
      </c>
      <c r="L160" s="857">
        <v>2013</v>
      </c>
    </row>
    <row r="161" spans="1:12" ht="26.25" customHeight="1">
      <c r="A161" s="250"/>
      <c r="B161" s="242"/>
      <c r="C161" s="315">
        <v>80146</v>
      </c>
      <c r="D161" s="320"/>
      <c r="E161" s="408" t="s">
        <v>633</v>
      </c>
      <c r="F161" s="288">
        <f>F162</f>
        <v>6500</v>
      </c>
      <c r="G161" s="288">
        <f>G162</f>
        <v>0</v>
      </c>
      <c r="H161" s="288"/>
      <c r="I161" s="288">
        <f>I162</f>
        <v>6500</v>
      </c>
      <c r="J161" s="288">
        <f>J162</f>
        <v>6500</v>
      </c>
      <c r="K161" s="289"/>
      <c r="L161" s="289"/>
    </row>
    <row r="162" spans="1:12" ht="53.25" customHeight="1">
      <c r="A162" s="260">
        <v>96</v>
      </c>
      <c r="B162" s="250"/>
      <c r="C162" s="354"/>
      <c r="D162" s="242">
        <v>6050</v>
      </c>
      <c r="E162" s="409" t="s">
        <v>634</v>
      </c>
      <c r="F162" s="410">
        <v>6500</v>
      </c>
      <c r="G162" s="411">
        <v>0</v>
      </c>
      <c r="H162" s="412" t="s">
        <v>635</v>
      </c>
      <c r="I162" s="407">
        <v>6500</v>
      </c>
      <c r="J162" s="345">
        <v>6500</v>
      </c>
      <c r="K162" s="276" t="s">
        <v>636</v>
      </c>
      <c r="L162" s="276">
        <v>2013</v>
      </c>
    </row>
    <row r="163" spans="1:12" s="361" customFormat="1" ht="28.5" customHeight="1">
      <c r="A163" s="279"/>
      <c r="B163" s="279">
        <v>852</v>
      </c>
      <c r="C163" s="279"/>
      <c r="D163" s="279"/>
      <c r="E163" s="358" t="s">
        <v>637</v>
      </c>
      <c r="F163" s="339">
        <f>F164</f>
        <v>84000</v>
      </c>
      <c r="G163" s="339">
        <f aca="true" t="shared" si="3" ref="G163:J164">G164</f>
        <v>0</v>
      </c>
      <c r="H163" s="339"/>
      <c r="I163" s="339">
        <f t="shared" si="3"/>
        <v>84000</v>
      </c>
      <c r="J163" s="339">
        <f t="shared" si="3"/>
        <v>0</v>
      </c>
      <c r="K163" s="360"/>
      <c r="L163" s="360"/>
    </row>
    <row r="164" spans="1:12" s="414" customFormat="1" ht="24" customHeight="1">
      <c r="A164" s="314"/>
      <c r="B164" s="314"/>
      <c r="C164" s="413">
        <v>85202</v>
      </c>
      <c r="D164" s="320"/>
      <c r="E164" s="363" t="s">
        <v>638</v>
      </c>
      <c r="F164" s="342">
        <f>F165</f>
        <v>84000</v>
      </c>
      <c r="G164" s="342">
        <f t="shared" si="3"/>
        <v>0</v>
      </c>
      <c r="H164" s="342"/>
      <c r="I164" s="342">
        <f t="shared" si="3"/>
        <v>84000</v>
      </c>
      <c r="J164" s="342">
        <f t="shared" si="3"/>
        <v>0</v>
      </c>
      <c r="K164" s="289"/>
      <c r="L164" s="289"/>
    </row>
    <row r="165" spans="1:12" ht="42" customHeight="1">
      <c r="A165" s="260">
        <v>97</v>
      </c>
      <c r="B165" s="260"/>
      <c r="C165" s="309"/>
      <c r="D165" s="307">
        <v>6060</v>
      </c>
      <c r="E165" s="294" t="s">
        <v>639</v>
      </c>
      <c r="F165" s="411">
        <v>84000</v>
      </c>
      <c r="G165" s="411"/>
      <c r="H165" s="296" t="s">
        <v>640</v>
      </c>
      <c r="I165" s="407">
        <v>84000</v>
      </c>
      <c r="J165" s="310"/>
      <c r="K165" s="276" t="s">
        <v>641</v>
      </c>
      <c r="L165" s="276">
        <v>2013</v>
      </c>
    </row>
    <row r="166" spans="1:12" ht="24" customHeight="1">
      <c r="A166" s="279"/>
      <c r="B166" s="278">
        <v>926</v>
      </c>
      <c r="C166" s="279"/>
      <c r="D166" s="280"/>
      <c r="E166" s="312" t="s">
        <v>597</v>
      </c>
      <c r="F166" s="313">
        <f>F167</f>
        <v>1500000</v>
      </c>
      <c r="G166" s="313">
        <f>G167</f>
        <v>0</v>
      </c>
      <c r="H166" s="313"/>
      <c r="I166" s="313">
        <f>I167</f>
        <v>500000</v>
      </c>
      <c r="J166" s="313">
        <f>J167</f>
        <v>100000</v>
      </c>
      <c r="K166" s="276"/>
      <c r="L166" s="276"/>
    </row>
    <row r="167" spans="1:12" ht="24" customHeight="1">
      <c r="A167" s="350"/>
      <c r="B167" s="346"/>
      <c r="C167" s="326">
        <v>92601</v>
      </c>
      <c r="D167" s="321"/>
      <c r="E167" s="287" t="s">
        <v>598</v>
      </c>
      <c r="F167" s="288">
        <f>SUM(F168:F168)</f>
        <v>1500000</v>
      </c>
      <c r="G167" s="288">
        <f>SUM(G168:G168)</f>
        <v>0</v>
      </c>
      <c r="H167" s="288"/>
      <c r="I167" s="288">
        <f>SUM(I168:I168)</f>
        <v>500000</v>
      </c>
      <c r="J167" s="288">
        <f>SUM(J168:J168)</f>
        <v>100000</v>
      </c>
      <c r="K167" s="289"/>
      <c r="L167" s="289"/>
    </row>
    <row r="168" spans="1:12" ht="44.25" customHeight="1">
      <c r="A168" s="376">
        <v>98</v>
      </c>
      <c r="B168" s="340"/>
      <c r="C168" s="284"/>
      <c r="D168" s="391">
        <v>6050</v>
      </c>
      <c r="E168" s="300" t="s">
        <v>642</v>
      </c>
      <c r="F168" s="306">
        <f>50000+450000+1000000</f>
        <v>1500000</v>
      </c>
      <c r="G168" s="306">
        <v>0</v>
      </c>
      <c r="H168" s="296" t="s">
        <v>643</v>
      </c>
      <c r="I168" s="306">
        <f>450000+50000</f>
        <v>500000</v>
      </c>
      <c r="J168" s="306">
        <v>100000</v>
      </c>
      <c r="K168" s="276" t="s">
        <v>438</v>
      </c>
      <c r="L168" s="318" t="s">
        <v>644</v>
      </c>
    </row>
    <row r="169" spans="1:15" ht="28.5" customHeight="1">
      <c r="A169" s="279"/>
      <c r="B169" s="415" t="s">
        <v>361</v>
      </c>
      <c r="C169" s="416"/>
      <c r="D169" s="417"/>
      <c r="E169" s="418"/>
      <c r="F169" s="398">
        <f>F13+F133</f>
        <v>80165192.85000001</v>
      </c>
      <c r="G169" s="398">
        <f>G13+G133</f>
        <v>28777926.97</v>
      </c>
      <c r="H169" s="398"/>
      <c r="I169" s="398">
        <f>I13+I133</f>
        <v>39921849.08</v>
      </c>
      <c r="J169" s="398">
        <f>J13+J133</f>
        <v>5634880</v>
      </c>
      <c r="K169" s="419"/>
      <c r="L169" s="419"/>
      <c r="N169" s="277"/>
      <c r="O169" s="277"/>
    </row>
    <row r="170" spans="1:15" ht="21.75" customHeight="1">
      <c r="A170" s="219"/>
      <c r="B170" s="227"/>
      <c r="C170" s="227"/>
      <c r="D170" s="219"/>
      <c r="E170" s="221"/>
      <c r="F170" s="420"/>
      <c r="G170" s="420"/>
      <c r="H170" s="227"/>
      <c r="I170" s="3"/>
      <c r="J170" s="3"/>
      <c r="K170" s="223"/>
      <c r="L170" s="223"/>
      <c r="N170" s="277"/>
      <c r="O170" s="277"/>
    </row>
    <row r="171" spans="1:15" ht="22.5" customHeight="1">
      <c r="A171" s="219"/>
      <c r="B171" s="220"/>
      <c r="C171" s="220"/>
      <c r="D171" s="219"/>
      <c r="G171" s="221"/>
      <c r="H171" s="221"/>
      <c r="I171" s="420"/>
      <c r="J171" s="4"/>
      <c r="K171" s="234"/>
      <c r="L171" s="223"/>
      <c r="N171" s="277"/>
      <c r="O171" s="283"/>
    </row>
    <row r="172" spans="1:15" ht="12.75">
      <c r="A172" s="219"/>
      <c r="B172" s="220"/>
      <c r="C172" s="220"/>
      <c r="D172" s="219"/>
      <c r="G172" s="221"/>
      <c r="H172" s="221"/>
      <c r="I172" s="4"/>
      <c r="J172" s="4"/>
      <c r="K172" s="234"/>
      <c r="L172" s="223"/>
      <c r="N172" s="277"/>
      <c r="O172" s="277"/>
    </row>
    <row r="173" spans="8:15" ht="12.75">
      <c r="H173" s="421"/>
      <c r="I173" s="297"/>
      <c r="J173" s="277"/>
      <c r="K173" s="277"/>
      <c r="N173" s="277"/>
      <c r="O173" s="277"/>
    </row>
    <row r="174" spans="8:15" ht="12.75">
      <c r="H174" s="297"/>
      <c r="I174" s="422"/>
      <c r="J174" s="277"/>
      <c r="K174" s="277"/>
      <c r="N174" s="277"/>
      <c r="O174" s="277"/>
    </row>
    <row r="175" spans="8:15" ht="12.75">
      <c r="H175" s="277"/>
      <c r="I175" s="277"/>
      <c r="J175" s="277"/>
      <c r="K175" s="277"/>
      <c r="N175" s="277"/>
      <c r="O175" s="277"/>
    </row>
    <row r="176" spans="8:15" ht="12.75">
      <c r="H176" s="277"/>
      <c r="I176" s="277"/>
      <c r="J176" s="277"/>
      <c r="K176" s="277"/>
      <c r="N176" s="277"/>
      <c r="O176" s="277"/>
    </row>
    <row r="177" spans="8:11" ht="12.75">
      <c r="H177" s="277"/>
      <c r="I177" s="277"/>
      <c r="J177" s="277"/>
      <c r="K177" s="277"/>
    </row>
    <row r="178" spans="8:11" ht="12.75">
      <c r="H178" s="277"/>
      <c r="I178" s="277"/>
      <c r="J178" s="277"/>
      <c r="K178" s="277"/>
    </row>
    <row r="179" spans="8:11" ht="12.75">
      <c r="H179" s="277"/>
      <c r="I179" s="277"/>
      <c r="J179" s="277"/>
      <c r="K179" s="277"/>
    </row>
    <row r="180" spans="8:11" ht="12.75">
      <c r="H180" s="277"/>
      <c r="I180" s="277"/>
      <c r="J180" s="277"/>
      <c r="K180" s="277"/>
    </row>
    <row r="181" spans="8:11" ht="12.75">
      <c r="H181" s="277"/>
      <c r="I181" s="277"/>
      <c r="J181" s="277"/>
      <c r="K181" s="277"/>
    </row>
    <row r="182" spans="8:11" ht="12.75">
      <c r="H182" s="277"/>
      <c r="I182" s="277"/>
      <c r="J182" s="277"/>
      <c r="K182" s="277"/>
    </row>
    <row r="183" spans="8:11" ht="12.75">
      <c r="H183" s="277"/>
      <c r="I183" s="277"/>
      <c r="J183" s="277"/>
      <c r="K183" s="277"/>
    </row>
    <row r="184" spans="8:11" ht="12.75">
      <c r="H184" s="277"/>
      <c r="I184" s="277"/>
      <c r="J184" s="277"/>
      <c r="K184" s="277"/>
    </row>
  </sheetData>
  <sheetProtection/>
  <mergeCells count="4">
    <mergeCell ref="A100:A101"/>
    <mergeCell ref="A102:A103"/>
    <mergeCell ref="A121:A122"/>
    <mergeCell ref="A151:A152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T45"/>
  <sheetViews>
    <sheetView zoomScalePageLayoutView="0" workbookViewId="0" topLeftCell="C1">
      <selection activeCell="H15" sqref="H15"/>
    </sheetView>
  </sheetViews>
  <sheetFormatPr defaultColWidth="9.140625" defaultRowHeight="12.75"/>
  <cols>
    <col min="1" max="1" width="3.57421875" style="713" customWidth="1"/>
    <col min="2" max="2" width="60.57421875" style="713" customWidth="1"/>
    <col min="3" max="3" width="24.00390625" style="713" customWidth="1"/>
    <col min="4" max="4" width="23.00390625" style="713" customWidth="1"/>
    <col min="5" max="5" width="22.7109375" style="713" customWidth="1"/>
    <col min="6" max="6" width="16.140625" style="713" customWidth="1"/>
    <col min="7" max="7" width="21.421875" style="714" customWidth="1"/>
    <col min="8" max="8" width="21.8515625" style="713" customWidth="1"/>
    <col min="9" max="9" width="20.57421875" style="715" customWidth="1"/>
    <col min="10" max="10" width="14.57421875" style="713" customWidth="1"/>
    <col min="11" max="11" width="9.140625" style="713" customWidth="1"/>
    <col min="12" max="12" width="18.00390625" style="713" customWidth="1"/>
    <col min="13" max="13" width="21.28125" style="713" customWidth="1"/>
    <col min="14" max="16" width="9.140625" style="713" customWidth="1"/>
    <col min="17" max="17" width="20.57421875" style="713" customWidth="1"/>
    <col min="18" max="16384" width="9.140625" style="713" customWidth="1"/>
  </cols>
  <sheetData>
    <row r="1" spans="3:5" ht="20.25">
      <c r="C1" s="716" t="s">
        <v>181</v>
      </c>
      <c r="D1" s="716"/>
      <c r="E1" s="717"/>
    </row>
    <row r="2" spans="3:5" ht="18.75">
      <c r="C2" s="717" t="s">
        <v>313</v>
      </c>
      <c r="D2" s="717"/>
      <c r="E2" s="717"/>
    </row>
    <row r="3" spans="3:5" ht="18.75">
      <c r="C3" s="717" t="s">
        <v>399</v>
      </c>
      <c r="D3" s="717"/>
      <c r="E3" s="717"/>
    </row>
    <row r="4" spans="3:5" ht="18.75">
      <c r="C4" s="717" t="s">
        <v>182</v>
      </c>
      <c r="D4" s="717"/>
      <c r="E4" s="717"/>
    </row>
    <row r="5" spans="3:5" ht="18.75">
      <c r="C5" s="580"/>
      <c r="D5" s="580"/>
      <c r="E5" s="717"/>
    </row>
    <row r="6" spans="2:11" ht="15.75">
      <c r="B6" s="718"/>
      <c r="C6" s="718"/>
      <c r="D6" s="718"/>
      <c r="E6" s="718"/>
      <c r="F6" s="719"/>
      <c r="G6" s="720"/>
      <c r="H6" s="718"/>
      <c r="I6" s="719"/>
      <c r="J6" s="718"/>
      <c r="K6" s="718"/>
    </row>
    <row r="7" spans="2:11" ht="19.5">
      <c r="B7" s="786" t="s">
        <v>183</v>
      </c>
      <c r="C7" s="718"/>
      <c r="D7" s="718"/>
      <c r="E7" s="718"/>
      <c r="F7" s="719"/>
      <c r="G7" s="720"/>
      <c r="H7" s="718"/>
      <c r="I7" s="719"/>
      <c r="J7" s="718"/>
      <c r="K7" s="718"/>
    </row>
    <row r="8" spans="2:11" ht="18.75">
      <c r="B8" s="721"/>
      <c r="C8" s="718"/>
      <c r="D8" s="718"/>
      <c r="E8" s="787" t="s">
        <v>409</v>
      </c>
      <c r="F8" s="719"/>
      <c r="G8" s="720"/>
      <c r="H8" s="718"/>
      <c r="I8" s="719"/>
      <c r="J8" s="718"/>
      <c r="K8" s="718"/>
    </row>
    <row r="9" spans="2:11" s="722" customFormat="1" ht="24" customHeight="1">
      <c r="B9" s="767"/>
      <c r="C9" s="765" t="s">
        <v>347</v>
      </c>
      <c r="D9" s="765"/>
      <c r="E9" s="723"/>
      <c r="F9" s="724"/>
      <c r="G9" s="725"/>
      <c r="H9" s="726"/>
      <c r="I9" s="724"/>
      <c r="J9" s="726"/>
      <c r="K9" s="726"/>
    </row>
    <row r="10" spans="2:11" s="722" customFormat="1" ht="19.5" customHeight="1">
      <c r="B10" s="921" t="s">
        <v>336</v>
      </c>
      <c r="C10" s="768" t="s">
        <v>346</v>
      </c>
      <c r="D10" s="769"/>
      <c r="E10" s="766" t="s">
        <v>335</v>
      </c>
      <c r="F10" s="724"/>
      <c r="G10" s="727"/>
      <c r="H10" s="726"/>
      <c r="I10" s="724"/>
      <c r="J10" s="726"/>
      <c r="K10" s="726"/>
    </row>
    <row r="11" spans="2:11" ht="45.75" customHeight="1">
      <c r="B11" s="922"/>
      <c r="C11" s="728" t="s">
        <v>337</v>
      </c>
      <c r="D11" s="770" t="s">
        <v>348</v>
      </c>
      <c r="E11" s="729" t="s">
        <v>338</v>
      </c>
      <c r="F11" s="730"/>
      <c r="G11" s="731"/>
      <c r="H11" s="732"/>
      <c r="I11" s="733"/>
      <c r="J11" s="734"/>
      <c r="K11" s="718"/>
    </row>
    <row r="12" spans="2:11" s="735" customFormat="1" ht="27.75" customHeight="1">
      <c r="B12" s="736" t="s">
        <v>339</v>
      </c>
      <c r="C12" s="737">
        <f>C13</f>
        <v>19272000</v>
      </c>
      <c r="D12" s="737">
        <f>D13</f>
        <v>10900000</v>
      </c>
      <c r="E12" s="737">
        <f>E13</f>
        <v>23585724.840000004</v>
      </c>
      <c r="F12" s="738"/>
      <c r="G12" s="739"/>
      <c r="H12" s="732"/>
      <c r="I12" s="733"/>
      <c r="J12" s="740"/>
      <c r="K12" s="741"/>
    </row>
    <row r="13" spans="2:11" s="735" customFormat="1" ht="39" customHeight="1">
      <c r="B13" s="742" t="s">
        <v>340</v>
      </c>
      <c r="C13" s="743">
        <f>SUM(C14:C19)</f>
        <v>19272000</v>
      </c>
      <c r="D13" s="743">
        <f>SUM(D14:D19)</f>
        <v>10900000</v>
      </c>
      <c r="E13" s="743">
        <f>SUM(E14:E19)</f>
        <v>23585724.840000004</v>
      </c>
      <c r="F13" s="744"/>
      <c r="G13" s="745"/>
      <c r="H13" s="745"/>
      <c r="I13" s="746"/>
      <c r="J13" s="746"/>
      <c r="K13" s="741"/>
    </row>
    <row r="14" spans="2:11" s="735" customFormat="1" ht="19.5" customHeight="1">
      <c r="B14" s="747" t="s">
        <v>184</v>
      </c>
      <c r="C14" s="743"/>
      <c r="D14" s="850">
        <v>10900000</v>
      </c>
      <c r="E14" s="743"/>
      <c r="F14" s="744"/>
      <c r="G14" s="745"/>
      <c r="H14" s="745"/>
      <c r="I14" s="746"/>
      <c r="J14" s="746"/>
      <c r="K14" s="741"/>
    </row>
    <row r="15" spans="2:11" ht="24.75" customHeight="1">
      <c r="B15" s="747" t="s">
        <v>341</v>
      </c>
      <c r="C15" s="748"/>
      <c r="D15" s="748"/>
      <c r="E15" s="748">
        <v>360000</v>
      </c>
      <c r="F15" s="749"/>
      <c r="G15" s="745"/>
      <c r="H15" s="771"/>
      <c r="I15" s="751"/>
      <c r="J15" s="752"/>
      <c r="K15" s="726"/>
    </row>
    <row r="16" spans="2:11" ht="33" customHeight="1">
      <c r="B16" s="747" t="s">
        <v>342</v>
      </c>
      <c r="C16" s="748"/>
      <c r="D16" s="757"/>
      <c r="E16" s="753">
        <v>6037948.92</v>
      </c>
      <c r="F16" s="749"/>
      <c r="G16" s="745"/>
      <c r="H16" s="754"/>
      <c r="I16" s="755"/>
      <c r="J16" s="756"/>
      <c r="K16" s="726"/>
    </row>
    <row r="17" spans="2:11" ht="34.5" customHeight="1">
      <c r="B17" s="747" t="s">
        <v>343</v>
      </c>
      <c r="C17" s="757">
        <v>2822000</v>
      </c>
      <c r="D17" s="757"/>
      <c r="E17" s="753"/>
      <c r="F17" s="749"/>
      <c r="G17" s="745"/>
      <c r="H17" s="754"/>
      <c r="I17" s="755"/>
      <c r="J17" s="756"/>
      <c r="K17" s="726"/>
    </row>
    <row r="18" spans="2:11" ht="22.5" customHeight="1">
      <c r="B18" s="758" t="s">
        <v>344</v>
      </c>
      <c r="C18" s="757">
        <f>16450000</f>
        <v>16450000</v>
      </c>
      <c r="D18" s="757"/>
      <c r="E18" s="753"/>
      <c r="F18" s="749"/>
      <c r="G18" s="745"/>
      <c r="H18" s="759"/>
      <c r="I18" s="755"/>
      <c r="J18" s="756"/>
      <c r="K18" s="726"/>
    </row>
    <row r="19" spans="2:11" ht="24.75" customHeight="1">
      <c r="B19" s="758" t="s">
        <v>345</v>
      </c>
      <c r="C19" s="757"/>
      <c r="D19" s="757"/>
      <c r="E19" s="757">
        <v>17187775.92</v>
      </c>
      <c r="F19" s="749"/>
      <c r="G19" s="745"/>
      <c r="H19" s="756"/>
      <c r="I19" s="724"/>
      <c r="J19" s="726"/>
      <c r="K19" s="726"/>
    </row>
    <row r="20" spans="2:11" ht="26.25" customHeight="1">
      <c r="B20" s="760"/>
      <c r="C20" s="750"/>
      <c r="D20" s="750"/>
      <c r="E20" s="761"/>
      <c r="F20" s="755"/>
      <c r="G20" s="725"/>
      <c r="H20" s="726"/>
      <c r="I20" s="724"/>
      <c r="J20" s="756"/>
      <c r="K20" s="726"/>
    </row>
    <row r="21" spans="10:20" ht="15.75">
      <c r="J21" s="762"/>
      <c r="K21" s="762"/>
      <c r="L21" s="762"/>
      <c r="M21" s="762"/>
      <c r="N21" s="762"/>
      <c r="O21" s="762"/>
      <c r="P21" s="762"/>
      <c r="Q21" s="762"/>
      <c r="R21" s="762"/>
      <c r="S21" s="762"/>
      <c r="T21" s="762"/>
    </row>
    <row r="22" spans="10:20" ht="15.75">
      <c r="J22" s="762"/>
      <c r="K22" s="762"/>
      <c r="L22" s="762"/>
      <c r="M22" s="762"/>
      <c r="N22" s="762"/>
      <c r="O22" s="762"/>
      <c r="P22" s="762"/>
      <c r="Q22" s="762"/>
      <c r="R22" s="762"/>
      <c r="S22" s="762"/>
      <c r="T22" s="762"/>
    </row>
    <row r="23" spans="10:20" ht="15.75">
      <c r="J23" s="762"/>
      <c r="K23" s="762"/>
      <c r="L23" s="762"/>
      <c r="M23" s="762"/>
      <c r="N23" s="762"/>
      <c r="O23" s="762"/>
      <c r="P23" s="762"/>
      <c r="Q23" s="762"/>
      <c r="R23" s="762"/>
      <c r="S23" s="762"/>
      <c r="T23" s="762"/>
    </row>
    <row r="24" spans="3:20" ht="15.75">
      <c r="C24" s="763"/>
      <c r="D24" s="763"/>
      <c r="E24" s="763"/>
      <c r="J24" s="762"/>
      <c r="K24" s="762"/>
      <c r="L24" s="762"/>
      <c r="M24" s="762"/>
      <c r="N24" s="762"/>
      <c r="O24" s="762"/>
      <c r="P24" s="762"/>
      <c r="Q24" s="762"/>
      <c r="R24" s="762"/>
      <c r="S24" s="762"/>
      <c r="T24" s="762"/>
    </row>
    <row r="25" spans="3:20" ht="15.75">
      <c r="C25" s="763"/>
      <c r="D25" s="763"/>
      <c r="E25" s="763"/>
      <c r="J25" s="762"/>
      <c r="K25" s="762"/>
      <c r="L25" s="762"/>
      <c r="M25" s="762"/>
      <c r="N25" s="762"/>
      <c r="O25" s="762"/>
      <c r="P25" s="762"/>
      <c r="Q25" s="762"/>
      <c r="R25" s="762"/>
      <c r="S25" s="762"/>
      <c r="T25" s="762"/>
    </row>
    <row r="26" spans="3:20" ht="15.75">
      <c r="C26" s="763"/>
      <c r="D26" s="763"/>
      <c r="E26" s="763"/>
      <c r="J26" s="762"/>
      <c r="K26" s="762"/>
      <c r="L26" s="762"/>
      <c r="M26" s="762"/>
      <c r="N26" s="762"/>
      <c r="O26" s="762"/>
      <c r="P26" s="762"/>
      <c r="Q26" s="762"/>
      <c r="R26" s="762"/>
      <c r="S26" s="762"/>
      <c r="T26" s="762"/>
    </row>
    <row r="27" spans="3:20" ht="15.75">
      <c r="C27" s="763"/>
      <c r="D27" s="763"/>
      <c r="E27" s="763"/>
      <c r="J27" s="762"/>
      <c r="K27" s="762"/>
      <c r="L27" s="762"/>
      <c r="M27" s="762"/>
      <c r="N27" s="762"/>
      <c r="O27" s="762"/>
      <c r="P27" s="762"/>
      <c r="Q27" s="762"/>
      <c r="R27" s="762"/>
      <c r="S27" s="762"/>
      <c r="T27" s="762"/>
    </row>
    <row r="28" spans="3:20" ht="15.75">
      <c r="C28" s="763"/>
      <c r="D28" s="763"/>
      <c r="E28" s="763"/>
      <c r="J28" s="762"/>
      <c r="K28" s="762"/>
      <c r="L28" s="762"/>
      <c r="M28" s="762"/>
      <c r="N28" s="762"/>
      <c r="O28" s="762"/>
      <c r="P28" s="762"/>
      <c r="Q28" s="762"/>
      <c r="R28" s="762"/>
      <c r="S28" s="762"/>
      <c r="T28" s="762"/>
    </row>
    <row r="29" spans="3:20" ht="15.75">
      <c r="C29" s="763"/>
      <c r="D29" s="763"/>
      <c r="E29" s="763"/>
      <c r="J29" s="762"/>
      <c r="K29" s="762"/>
      <c r="L29" s="762"/>
      <c r="M29" s="762"/>
      <c r="N29" s="762"/>
      <c r="O29" s="762"/>
      <c r="P29" s="762"/>
      <c r="Q29" s="762"/>
      <c r="R29" s="762"/>
      <c r="S29" s="762"/>
      <c r="T29" s="762"/>
    </row>
    <row r="30" spans="3:20" ht="15.75">
      <c r="C30" s="764"/>
      <c r="D30" s="764"/>
      <c r="E30" s="763"/>
      <c r="J30" s="762"/>
      <c r="K30" s="762"/>
      <c r="L30" s="762"/>
      <c r="M30" s="762"/>
      <c r="N30" s="762"/>
      <c r="O30" s="762"/>
      <c r="P30" s="762"/>
      <c r="Q30" s="762"/>
      <c r="R30" s="762"/>
      <c r="S30" s="762"/>
      <c r="T30" s="762"/>
    </row>
    <row r="31" spans="3:20" ht="15.75">
      <c r="C31" s="763"/>
      <c r="D31" s="763"/>
      <c r="E31" s="763"/>
      <c r="J31" s="762"/>
      <c r="K31" s="762"/>
      <c r="L31" s="762"/>
      <c r="M31" s="762"/>
      <c r="N31" s="762"/>
      <c r="O31" s="762"/>
      <c r="P31" s="762"/>
      <c r="Q31" s="762"/>
      <c r="R31" s="762"/>
      <c r="S31" s="762"/>
      <c r="T31" s="762"/>
    </row>
    <row r="32" spans="3:20" ht="15.75">
      <c r="C32" s="763"/>
      <c r="D32" s="763"/>
      <c r="E32" s="763"/>
      <c r="J32" s="762"/>
      <c r="K32" s="762"/>
      <c r="L32" s="762"/>
      <c r="M32" s="762"/>
      <c r="N32" s="762"/>
      <c r="O32" s="762"/>
      <c r="P32" s="762"/>
      <c r="Q32" s="762"/>
      <c r="R32" s="762"/>
      <c r="S32" s="762"/>
      <c r="T32" s="762"/>
    </row>
    <row r="33" spans="3:20" ht="15.75">
      <c r="C33" s="763"/>
      <c r="D33" s="763"/>
      <c r="E33" s="763"/>
      <c r="J33" s="762"/>
      <c r="K33" s="762"/>
      <c r="L33" s="762"/>
      <c r="M33" s="762"/>
      <c r="N33" s="762"/>
      <c r="O33" s="762"/>
      <c r="P33" s="762"/>
      <c r="Q33" s="762"/>
      <c r="R33" s="762"/>
      <c r="S33" s="762"/>
      <c r="T33" s="762"/>
    </row>
    <row r="34" spans="3:20" ht="15.75">
      <c r="C34" s="763"/>
      <c r="D34" s="763"/>
      <c r="E34" s="763"/>
      <c r="J34" s="762"/>
      <c r="K34" s="762"/>
      <c r="L34" s="762"/>
      <c r="M34" s="762"/>
      <c r="N34" s="762"/>
      <c r="O34" s="762"/>
      <c r="P34" s="762"/>
      <c r="Q34" s="762"/>
      <c r="R34" s="762"/>
      <c r="S34" s="762"/>
      <c r="T34" s="762"/>
    </row>
    <row r="35" spans="3:20" ht="15.75">
      <c r="C35" s="764"/>
      <c r="D35" s="764"/>
      <c r="E35" s="763"/>
      <c r="J35" s="762"/>
      <c r="K35" s="762"/>
      <c r="L35" s="762"/>
      <c r="M35" s="762"/>
      <c r="N35" s="762"/>
      <c r="O35" s="762"/>
      <c r="P35" s="762"/>
      <c r="Q35" s="762"/>
      <c r="R35" s="762"/>
      <c r="S35" s="762"/>
      <c r="T35" s="762"/>
    </row>
    <row r="36" spans="3:20" ht="15.75">
      <c r="C36" s="763"/>
      <c r="D36" s="763"/>
      <c r="E36" s="763"/>
      <c r="J36" s="762"/>
      <c r="K36" s="762"/>
      <c r="L36" s="762"/>
      <c r="M36" s="762"/>
      <c r="N36" s="762"/>
      <c r="O36" s="762"/>
      <c r="P36" s="762"/>
      <c r="Q36" s="762"/>
      <c r="R36" s="762"/>
      <c r="S36" s="762"/>
      <c r="T36" s="762"/>
    </row>
    <row r="37" spans="3:5" ht="15.75">
      <c r="C37" s="763"/>
      <c r="D37" s="763"/>
      <c r="E37" s="763"/>
    </row>
    <row r="38" spans="3:5" ht="15.75">
      <c r="C38" s="763"/>
      <c r="D38" s="763"/>
      <c r="E38" s="763"/>
    </row>
    <row r="39" spans="3:5" ht="15.75">
      <c r="C39" s="763"/>
      <c r="D39" s="763"/>
      <c r="E39" s="763"/>
    </row>
    <row r="40" spans="3:5" ht="15.75">
      <c r="C40" s="763"/>
      <c r="D40" s="763"/>
      <c r="E40" s="763"/>
    </row>
    <row r="41" spans="3:5" ht="15.75">
      <c r="C41" s="764"/>
      <c r="D41" s="764"/>
      <c r="E41" s="763"/>
    </row>
    <row r="42" spans="3:5" ht="15.75">
      <c r="C42" s="763"/>
      <c r="D42" s="763"/>
      <c r="E42" s="763"/>
    </row>
    <row r="43" spans="3:5" ht="15.75">
      <c r="C43" s="763"/>
      <c r="D43" s="763"/>
      <c r="E43" s="763"/>
    </row>
    <row r="44" spans="3:5" ht="15.75">
      <c r="C44" s="763"/>
      <c r="D44" s="763"/>
      <c r="E44" s="763"/>
    </row>
    <row r="45" spans="3:5" ht="15.75">
      <c r="C45" s="763"/>
      <c r="D45" s="763"/>
      <c r="E45" s="763"/>
    </row>
  </sheetData>
  <sheetProtection/>
  <mergeCells count="1">
    <mergeCell ref="B10:B11"/>
  </mergeCells>
  <printOptions/>
  <pageMargins left="0.3937007874015748" right="0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11"/>
  <sheetViews>
    <sheetView zoomScalePageLayoutView="0" workbookViewId="0" topLeftCell="A25">
      <selection activeCell="E29" sqref="E29"/>
    </sheetView>
  </sheetViews>
  <sheetFormatPr defaultColWidth="9.140625" defaultRowHeight="12.75"/>
  <cols>
    <col min="1" max="1" width="5.7109375" style="2" customWidth="1"/>
    <col min="2" max="2" width="38.57421875" style="2" customWidth="1"/>
    <col min="3" max="3" width="18.00390625" style="2" customWidth="1"/>
    <col min="4" max="4" width="8.7109375" style="2" customWidth="1"/>
    <col min="5" max="5" width="13.57421875" style="2" customWidth="1"/>
    <col min="6" max="6" width="15.140625" style="2" customWidth="1"/>
    <col min="7" max="7" width="13.57421875" style="543" customWidth="1"/>
    <col min="8" max="8" width="18.140625" style="543" customWidth="1"/>
    <col min="9" max="9" width="23.00390625" style="543" customWidth="1"/>
    <col min="10" max="10" width="20.28125" style="443" customWidth="1"/>
    <col min="11" max="11" width="18.140625" style="94" customWidth="1"/>
    <col min="12" max="12" width="15.7109375" style="94" customWidth="1"/>
    <col min="13" max="13" width="10.140625" style="94" bestFit="1" customWidth="1"/>
    <col min="14" max="14" width="9.140625" style="94" customWidth="1"/>
    <col min="15" max="16384" width="9.140625" style="2" customWidth="1"/>
  </cols>
  <sheetData>
    <row r="1" spans="3:4" ht="20.25">
      <c r="C1" s="222" t="s">
        <v>175</v>
      </c>
      <c r="D1" s="542"/>
    </row>
    <row r="2" spans="3:4" ht="18.75">
      <c r="C2" s="224" t="s">
        <v>313</v>
      </c>
      <c r="D2" s="542"/>
    </row>
    <row r="3" spans="3:4" ht="18.75">
      <c r="C3" s="224" t="s">
        <v>399</v>
      </c>
      <c r="D3" s="542"/>
    </row>
    <row r="4" spans="3:4" ht="18.75">
      <c r="C4" s="224" t="s">
        <v>314</v>
      </c>
      <c r="D4" s="542"/>
    </row>
    <row r="5" spans="3:4" ht="18.75">
      <c r="C5" s="542"/>
      <c r="D5" s="542"/>
    </row>
    <row r="6" spans="1:13" ht="18.75">
      <c r="A6" s="542"/>
      <c r="B6" s="542"/>
      <c r="C6" s="542"/>
      <c r="D6" s="542"/>
      <c r="E6" s="542"/>
      <c r="F6" s="542"/>
      <c r="G6" s="544"/>
      <c r="H6" s="544"/>
      <c r="I6" s="544"/>
      <c r="J6" s="545"/>
      <c r="K6" s="546"/>
      <c r="L6" s="546"/>
      <c r="M6" s="546"/>
    </row>
    <row r="7" spans="1:13" ht="20.25">
      <c r="A7" s="542"/>
      <c r="B7" s="547" t="s">
        <v>13</v>
      </c>
      <c r="C7" s="542"/>
      <c r="D7" s="542"/>
      <c r="E7" s="542"/>
      <c r="F7" s="542"/>
      <c r="G7" s="544"/>
      <c r="H7" s="544"/>
      <c r="I7" s="544"/>
      <c r="J7" s="545"/>
      <c r="K7" s="546"/>
      <c r="L7" s="546"/>
      <c r="M7" s="546"/>
    </row>
    <row r="8" spans="1:13" ht="20.25">
      <c r="A8" s="548"/>
      <c r="B8" s="547" t="s">
        <v>14</v>
      </c>
      <c r="C8" s="5"/>
      <c r="D8" s="6"/>
      <c r="E8" s="5"/>
      <c r="F8" s="5"/>
      <c r="G8" s="549"/>
      <c r="H8" s="549"/>
      <c r="I8" s="549"/>
      <c r="J8" s="550"/>
      <c r="K8" s="7"/>
      <c r="L8" s="546"/>
      <c r="M8" s="546"/>
    </row>
    <row r="9" spans="1:13" ht="20.25">
      <c r="A9" s="548"/>
      <c r="B9" s="547" t="s">
        <v>15</v>
      </c>
      <c r="C9" s="5"/>
      <c r="D9" s="6"/>
      <c r="E9" s="5"/>
      <c r="F9" s="5"/>
      <c r="G9" s="549"/>
      <c r="H9" s="549"/>
      <c r="I9" s="549"/>
      <c r="J9" s="550"/>
      <c r="K9" s="7"/>
      <c r="L9" s="546"/>
      <c r="M9" s="546"/>
    </row>
    <row r="10" spans="1:13" ht="18.75">
      <c r="A10" s="548"/>
      <c r="B10" s="23"/>
      <c r="C10" s="23"/>
      <c r="D10" s="551"/>
      <c r="E10" s="5"/>
      <c r="F10" s="5"/>
      <c r="G10" s="549"/>
      <c r="H10" s="549"/>
      <c r="I10" s="549"/>
      <c r="J10" s="550"/>
      <c r="K10" s="7"/>
      <c r="L10" s="546"/>
      <c r="M10" s="546"/>
    </row>
    <row r="11" spans="1:13" ht="18.75">
      <c r="A11" s="548"/>
      <c r="B11" s="5"/>
      <c r="C11" s="5"/>
      <c r="D11" s="6"/>
      <c r="E11" s="5"/>
      <c r="F11" s="552" t="s">
        <v>409</v>
      </c>
      <c r="G11" s="549"/>
      <c r="H11" s="549"/>
      <c r="I11" s="549"/>
      <c r="J11" s="550"/>
      <c r="K11" s="7"/>
      <c r="L11" s="546"/>
      <c r="M11" s="546"/>
    </row>
    <row r="12" spans="1:13" ht="29.25" customHeight="1">
      <c r="A12" s="553"/>
      <c r="B12" s="554"/>
      <c r="C12" s="554"/>
      <c r="D12" s="555"/>
      <c r="E12" s="556" t="s">
        <v>16</v>
      </c>
      <c r="F12" s="557"/>
      <c r="G12" s="549"/>
      <c r="H12" s="549"/>
      <c r="I12" s="549"/>
      <c r="J12" s="550"/>
      <c r="K12" s="7"/>
      <c r="L12" s="546"/>
      <c r="M12" s="546"/>
    </row>
    <row r="13" spans="1:14" s="569" customFormat="1" ht="41.25" customHeight="1">
      <c r="A13" s="558" t="s">
        <v>17</v>
      </c>
      <c r="B13" s="559" t="s">
        <v>18</v>
      </c>
      <c r="C13" s="560" t="s">
        <v>19</v>
      </c>
      <c r="D13" s="560" t="s">
        <v>20</v>
      </c>
      <c r="E13" s="561" t="s">
        <v>21</v>
      </c>
      <c r="F13" s="562" t="s">
        <v>22</v>
      </c>
      <c r="G13" s="563"/>
      <c r="H13" s="564"/>
      <c r="I13" s="565"/>
      <c r="J13" s="566"/>
      <c r="K13" s="7"/>
      <c r="L13" s="567"/>
      <c r="M13" s="567"/>
      <c r="N13" s="568"/>
    </row>
    <row r="14" spans="1:14" s="569" customFormat="1" ht="27.75" customHeight="1">
      <c r="A14" s="570" t="s">
        <v>23</v>
      </c>
      <c r="B14" s="571"/>
      <c r="C14" s="572"/>
      <c r="D14" s="572"/>
      <c r="E14" s="573">
        <f>E17+E20+E23+E26+E29+E35+E38+E41+E44+E47+E50+E53+E56+E59+E68</f>
        <v>800154.8700000001</v>
      </c>
      <c r="F14" s="773">
        <f>F17+F20+F23+F26+F29+F32+F35+F38+F41+F44+F47+F50+F53+F56+F59+F62+F65+F68</f>
        <v>6072617.27</v>
      </c>
      <c r="G14" s="563"/>
      <c r="H14" s="564"/>
      <c r="I14" s="564"/>
      <c r="J14" s="606"/>
      <c r="K14" s="7"/>
      <c r="L14" s="567"/>
      <c r="M14" s="567"/>
      <c r="N14" s="568"/>
    </row>
    <row r="15" spans="1:11" ht="42" customHeight="1">
      <c r="A15" s="574">
        <v>1</v>
      </c>
      <c r="B15" s="575" t="s">
        <v>24</v>
      </c>
      <c r="C15" s="576" t="s">
        <v>25</v>
      </c>
      <c r="D15" s="577"/>
      <c r="E15" s="578"/>
      <c r="F15" s="579"/>
      <c r="H15" s="831"/>
      <c r="I15" s="831"/>
      <c r="J15" s="832"/>
      <c r="K15" s="580"/>
    </row>
    <row r="16" spans="1:11" ht="36.75" customHeight="1">
      <c r="A16" s="581"/>
      <c r="B16" s="582" t="s">
        <v>26</v>
      </c>
      <c r="C16" s="583"/>
      <c r="D16" s="584"/>
      <c r="E16" s="585"/>
      <c r="F16" s="524"/>
      <c r="H16" s="564"/>
      <c r="I16" s="586"/>
      <c r="J16" s="221"/>
      <c r="K16" s="580"/>
    </row>
    <row r="17" spans="1:11" ht="79.5" customHeight="1">
      <c r="A17" s="581"/>
      <c r="B17" s="464" t="s">
        <v>27</v>
      </c>
      <c r="C17" s="587"/>
      <c r="D17" s="588" t="s">
        <v>593</v>
      </c>
      <c r="E17" s="585"/>
      <c r="F17" s="779">
        <f>250886+60195.44</f>
        <v>311081.44</v>
      </c>
      <c r="H17" s="564"/>
      <c r="I17" s="586"/>
      <c r="J17" s="221"/>
      <c r="K17" s="580"/>
    </row>
    <row r="18" spans="1:9" ht="41.25" customHeight="1">
      <c r="A18" s="589">
        <v>2</v>
      </c>
      <c r="B18" s="575" t="s">
        <v>24</v>
      </c>
      <c r="C18" s="590" t="s">
        <v>28</v>
      </c>
      <c r="D18" s="591"/>
      <c r="E18" s="472"/>
      <c r="F18" s="472"/>
      <c r="H18" s="592"/>
      <c r="I18" s="586"/>
    </row>
    <row r="19" spans="1:9" ht="37.5" customHeight="1">
      <c r="A19" s="581"/>
      <c r="B19" s="593" t="s">
        <v>29</v>
      </c>
      <c r="C19" s="594"/>
      <c r="D19" s="591"/>
      <c r="E19" s="524"/>
      <c r="F19" s="524"/>
      <c r="H19" s="592"/>
      <c r="I19" s="586"/>
    </row>
    <row r="20" spans="1:9" ht="72.75" customHeight="1">
      <c r="A20" s="595"/>
      <c r="B20" s="596" t="s">
        <v>30</v>
      </c>
      <c r="C20" s="597"/>
      <c r="D20" s="598" t="s">
        <v>593</v>
      </c>
      <c r="E20" s="480">
        <v>5382</v>
      </c>
      <c r="F20" s="776">
        <f>30498+19279.53</f>
        <v>49777.53</v>
      </c>
      <c r="H20" s="599"/>
      <c r="I20" s="600"/>
    </row>
    <row r="21" spans="1:13" s="50" customFormat="1" ht="56.25" customHeight="1">
      <c r="A21" s="589">
        <v>3</v>
      </c>
      <c r="B21" s="575" t="s">
        <v>24</v>
      </c>
      <c r="C21" s="601" t="s">
        <v>31</v>
      </c>
      <c r="D21" s="602"/>
      <c r="E21" s="603"/>
      <c r="F21" s="604"/>
      <c r="G21" s="605"/>
      <c r="H21" s="599"/>
      <c r="I21" s="600"/>
      <c r="J21" s="606"/>
      <c r="K21" s="607"/>
      <c r="L21" s="608"/>
      <c r="M21" s="608"/>
    </row>
    <row r="22" spans="1:13" s="50" customFormat="1" ht="39.75" customHeight="1">
      <c r="A22" s="581"/>
      <c r="B22" s="593" t="s">
        <v>29</v>
      </c>
      <c r="C22" s="587"/>
      <c r="D22" s="591"/>
      <c r="E22" s="609"/>
      <c r="F22" s="610"/>
      <c r="G22" s="605"/>
      <c r="H22" s="599"/>
      <c r="I22" s="600"/>
      <c r="J22" s="606"/>
      <c r="K22" s="607"/>
      <c r="L22" s="608"/>
      <c r="M22" s="608"/>
    </row>
    <row r="23" spans="1:13" s="50" customFormat="1" ht="56.25" customHeight="1">
      <c r="A23" s="581"/>
      <c r="B23" s="596" t="s">
        <v>32</v>
      </c>
      <c r="C23" s="587"/>
      <c r="D23" s="598" t="s">
        <v>33</v>
      </c>
      <c r="E23" s="611">
        <v>1540.61</v>
      </c>
      <c r="F23" s="612">
        <v>10459.39</v>
      </c>
      <c r="G23" s="605"/>
      <c r="H23" s="599"/>
      <c r="I23" s="600"/>
      <c r="J23" s="606"/>
      <c r="K23" s="607"/>
      <c r="L23" s="608"/>
      <c r="M23" s="608"/>
    </row>
    <row r="24" spans="1:13" s="50" customFormat="1" ht="44.25" customHeight="1">
      <c r="A24" s="589">
        <v>4</v>
      </c>
      <c r="B24" s="575" t="s">
        <v>24</v>
      </c>
      <c r="C24" s="613" t="s">
        <v>34</v>
      </c>
      <c r="D24" s="602"/>
      <c r="E24" s="614"/>
      <c r="F24" s="603"/>
      <c r="G24" s="605"/>
      <c r="H24" s="599"/>
      <c r="I24" s="600"/>
      <c r="J24" s="606"/>
      <c r="K24" s="607"/>
      <c r="L24" s="608"/>
      <c r="M24" s="608"/>
    </row>
    <row r="25" spans="1:13" s="50" customFormat="1" ht="77.25" customHeight="1">
      <c r="A25" s="581"/>
      <c r="B25" s="615" t="s">
        <v>62</v>
      </c>
      <c r="C25" s="583"/>
      <c r="D25" s="591"/>
      <c r="E25" s="616"/>
      <c r="F25" s="609"/>
      <c r="G25" s="605"/>
      <c r="H25" s="599"/>
      <c r="I25" s="600"/>
      <c r="J25" s="606"/>
      <c r="K25" s="607"/>
      <c r="L25" s="608"/>
      <c r="M25" s="608"/>
    </row>
    <row r="26" spans="1:13" s="50" customFormat="1" ht="39.75" customHeight="1">
      <c r="A26" s="581"/>
      <c r="B26" s="615" t="s">
        <v>63</v>
      </c>
      <c r="C26" s="617"/>
      <c r="D26" s="591" t="s">
        <v>33</v>
      </c>
      <c r="E26" s="679">
        <f>60546.79+9148.1</f>
        <v>69694.89</v>
      </c>
      <c r="F26" s="680">
        <f>343098.46+51839.22</f>
        <v>394937.68000000005</v>
      </c>
      <c r="G26" s="605"/>
      <c r="H26" s="599"/>
      <c r="I26" s="600"/>
      <c r="J26" s="606"/>
      <c r="K26" s="607"/>
      <c r="L26" s="608"/>
      <c r="M26" s="608"/>
    </row>
    <row r="27" spans="1:13" s="50" customFormat="1" ht="39" customHeight="1">
      <c r="A27" s="589">
        <v>5</v>
      </c>
      <c r="B27" s="575" t="s">
        <v>24</v>
      </c>
      <c r="C27" s="618" t="s">
        <v>34</v>
      </c>
      <c r="D27" s="602"/>
      <c r="E27" s="614"/>
      <c r="F27" s="603"/>
      <c r="G27" s="605"/>
      <c r="H27" s="599"/>
      <c r="I27" s="600"/>
      <c r="J27" s="606"/>
      <c r="K27" s="607"/>
      <c r="L27" s="608"/>
      <c r="M27" s="608"/>
    </row>
    <row r="28" spans="1:13" s="50" customFormat="1" ht="54.75" customHeight="1">
      <c r="A28" s="581"/>
      <c r="B28" s="615" t="s">
        <v>64</v>
      </c>
      <c r="C28" s="583"/>
      <c r="D28" s="591"/>
      <c r="E28" s="616"/>
      <c r="F28" s="609"/>
      <c r="G28" s="605"/>
      <c r="H28" s="599"/>
      <c r="I28" s="600"/>
      <c r="J28" s="606"/>
      <c r="K28" s="607"/>
      <c r="L28" s="608"/>
      <c r="M28" s="608"/>
    </row>
    <row r="29" spans="1:13" s="50" customFormat="1" ht="50.25" customHeight="1">
      <c r="A29" s="595"/>
      <c r="B29" s="615" t="s">
        <v>65</v>
      </c>
      <c r="C29" s="617"/>
      <c r="D29" s="598" t="s">
        <v>481</v>
      </c>
      <c r="E29" s="778">
        <f>32377.98+3176.74</f>
        <v>35554.72</v>
      </c>
      <c r="F29" s="681">
        <f>183475.22+18001.53</f>
        <v>201476.75</v>
      </c>
      <c r="G29" s="605"/>
      <c r="H29" s="599"/>
      <c r="I29" s="600"/>
      <c r="J29" s="606"/>
      <c r="K29" s="607"/>
      <c r="L29" s="608"/>
      <c r="M29" s="608"/>
    </row>
    <row r="30" spans="1:13" s="50" customFormat="1" ht="50.25" customHeight="1">
      <c r="A30" s="574">
        <v>6</v>
      </c>
      <c r="B30" s="575" t="s">
        <v>24</v>
      </c>
      <c r="C30" s="619" t="s">
        <v>66</v>
      </c>
      <c r="D30" s="620"/>
      <c r="E30" s="603"/>
      <c r="F30" s="603"/>
      <c r="G30" s="605"/>
      <c r="H30" s="599"/>
      <c r="I30" s="600"/>
      <c r="J30" s="606"/>
      <c r="K30" s="607"/>
      <c r="L30" s="608"/>
      <c r="M30" s="608"/>
    </row>
    <row r="31" spans="1:13" s="50" customFormat="1" ht="42.75" customHeight="1">
      <c r="A31" s="581"/>
      <c r="B31" s="596" t="s">
        <v>29</v>
      </c>
      <c r="C31" s="594"/>
      <c r="D31" s="621"/>
      <c r="E31" s="609"/>
      <c r="F31" s="609"/>
      <c r="G31" s="605"/>
      <c r="H31" s="599"/>
      <c r="I31" s="600"/>
      <c r="J31" s="606"/>
      <c r="K31" s="607"/>
      <c r="L31" s="608"/>
      <c r="M31" s="608"/>
    </row>
    <row r="32" spans="1:13" s="50" customFormat="1" ht="57" customHeight="1">
      <c r="A32" s="595"/>
      <c r="B32" s="596" t="s">
        <v>67</v>
      </c>
      <c r="C32" s="597"/>
      <c r="D32" s="598" t="s">
        <v>481</v>
      </c>
      <c r="E32" s="611" t="s">
        <v>68</v>
      </c>
      <c r="F32" s="681">
        <f>71940+5590.02</f>
        <v>77530.02</v>
      </c>
      <c r="G32" s="605"/>
      <c r="H32" s="599"/>
      <c r="I32" s="600"/>
      <c r="J32" s="606"/>
      <c r="K32" s="607"/>
      <c r="L32" s="608"/>
      <c r="M32" s="608"/>
    </row>
    <row r="33" spans="1:13" s="50" customFormat="1" ht="44.25" customHeight="1">
      <c r="A33" s="574">
        <v>7</v>
      </c>
      <c r="B33" s="575" t="s">
        <v>24</v>
      </c>
      <c r="C33" s="619" t="s">
        <v>69</v>
      </c>
      <c r="D33" s="620"/>
      <c r="E33" s="603"/>
      <c r="F33" s="603"/>
      <c r="G33" s="605"/>
      <c r="H33" s="599"/>
      <c r="I33" s="600"/>
      <c r="J33" s="606"/>
      <c r="K33" s="607"/>
      <c r="L33" s="608"/>
      <c r="M33" s="608"/>
    </row>
    <row r="34" spans="1:13" s="50" customFormat="1" ht="35.25" customHeight="1">
      <c r="A34" s="581"/>
      <c r="B34" s="596" t="s">
        <v>70</v>
      </c>
      <c r="C34" s="594"/>
      <c r="D34" s="621"/>
      <c r="E34" s="609"/>
      <c r="F34" s="609"/>
      <c r="G34" s="605"/>
      <c r="H34" s="599"/>
      <c r="I34" s="600"/>
      <c r="J34" s="606"/>
      <c r="K34" s="607"/>
      <c r="L34" s="608"/>
      <c r="M34" s="608"/>
    </row>
    <row r="35" spans="1:13" s="50" customFormat="1" ht="48" customHeight="1">
      <c r="A35" s="595"/>
      <c r="B35" s="596" t="s">
        <v>71</v>
      </c>
      <c r="C35" s="597"/>
      <c r="D35" s="591" t="s">
        <v>481</v>
      </c>
      <c r="E35" s="622">
        <v>400</v>
      </c>
      <c r="F35" s="680">
        <f>105742+1372.24</f>
        <v>107114.24</v>
      </c>
      <c r="G35" s="605"/>
      <c r="H35" s="599"/>
      <c r="I35" s="600"/>
      <c r="J35" s="606"/>
      <c r="K35" s="607"/>
      <c r="L35" s="608"/>
      <c r="M35" s="608"/>
    </row>
    <row r="36" spans="1:13" s="50" customFormat="1" ht="40.5" customHeight="1">
      <c r="A36" s="574">
        <v>8</v>
      </c>
      <c r="B36" s="575" t="s">
        <v>24</v>
      </c>
      <c r="C36" s="618" t="s">
        <v>34</v>
      </c>
      <c r="D36" s="620"/>
      <c r="E36" s="603"/>
      <c r="F36" s="603"/>
      <c r="G36" s="605"/>
      <c r="H36" s="599"/>
      <c r="I36" s="600"/>
      <c r="J36" s="606"/>
      <c r="K36" s="607"/>
      <c r="L36" s="608"/>
      <c r="M36" s="608"/>
    </row>
    <row r="37" spans="1:13" s="50" customFormat="1" ht="35.25" customHeight="1">
      <c r="A37" s="581"/>
      <c r="B37" s="596" t="s">
        <v>29</v>
      </c>
      <c r="C37" s="594"/>
      <c r="D37" s="621"/>
      <c r="E37" s="609"/>
      <c r="F37" s="609"/>
      <c r="G37" s="605"/>
      <c r="H37" s="599"/>
      <c r="I37" s="600"/>
      <c r="J37" s="606"/>
      <c r="K37" s="607"/>
      <c r="L37" s="608"/>
      <c r="M37" s="608"/>
    </row>
    <row r="38" spans="1:13" s="50" customFormat="1" ht="74.25" customHeight="1">
      <c r="A38" s="595"/>
      <c r="B38" s="596" t="s">
        <v>72</v>
      </c>
      <c r="C38" s="597"/>
      <c r="D38" s="591" t="s">
        <v>33</v>
      </c>
      <c r="E38" s="609">
        <v>68355</v>
      </c>
      <c r="F38" s="609">
        <v>387345</v>
      </c>
      <c r="G38" s="605"/>
      <c r="H38" s="599"/>
      <c r="I38" s="600"/>
      <c r="J38" s="606"/>
      <c r="K38" s="607"/>
      <c r="L38" s="608"/>
      <c r="M38" s="608"/>
    </row>
    <row r="39" spans="1:13" s="50" customFormat="1" ht="45" customHeight="1">
      <c r="A39" s="589">
        <v>9</v>
      </c>
      <c r="B39" s="575" t="s">
        <v>24</v>
      </c>
      <c r="C39" s="618" t="s">
        <v>34</v>
      </c>
      <c r="D39" s="577"/>
      <c r="E39" s="603"/>
      <c r="F39" s="603"/>
      <c r="G39" s="605"/>
      <c r="H39" s="599"/>
      <c r="I39" s="600"/>
      <c r="J39" s="606"/>
      <c r="K39" s="607"/>
      <c r="L39" s="608"/>
      <c r="M39" s="608"/>
    </row>
    <row r="40" spans="1:13" s="50" customFormat="1" ht="51" customHeight="1">
      <c r="A40" s="581"/>
      <c r="B40" s="615" t="s">
        <v>73</v>
      </c>
      <c r="C40" s="583"/>
      <c r="D40" s="584"/>
      <c r="E40" s="609"/>
      <c r="F40" s="609"/>
      <c r="G40" s="605"/>
      <c r="H40" s="599"/>
      <c r="I40" s="600"/>
      <c r="J40" s="606"/>
      <c r="K40" s="607"/>
      <c r="L40" s="608"/>
      <c r="M40" s="608"/>
    </row>
    <row r="41" spans="1:13" s="50" customFormat="1" ht="42" customHeight="1">
      <c r="A41" s="581"/>
      <c r="B41" s="615" t="s">
        <v>74</v>
      </c>
      <c r="C41" s="617"/>
      <c r="D41" s="588" t="s">
        <v>481</v>
      </c>
      <c r="E41" s="681">
        <f>89935.11+754.55</f>
        <v>90689.66</v>
      </c>
      <c r="F41" s="681">
        <f>509632.28+4275.76</f>
        <v>513908.04000000004</v>
      </c>
      <c r="G41" s="605"/>
      <c r="H41" s="599"/>
      <c r="I41" s="600"/>
      <c r="J41" s="606"/>
      <c r="K41" s="607"/>
      <c r="L41" s="608"/>
      <c r="M41" s="608"/>
    </row>
    <row r="42" spans="1:13" s="50" customFormat="1" ht="41.25" customHeight="1">
      <c r="A42" s="589">
        <v>10</v>
      </c>
      <c r="B42" s="575" t="s">
        <v>24</v>
      </c>
      <c r="C42" s="618" t="s">
        <v>34</v>
      </c>
      <c r="D42" s="577"/>
      <c r="E42" s="603"/>
      <c r="F42" s="603"/>
      <c r="G42" s="605"/>
      <c r="H42" s="599"/>
      <c r="I42" s="600"/>
      <c r="J42" s="606"/>
      <c r="K42" s="607"/>
      <c r="L42" s="608"/>
      <c r="M42" s="608"/>
    </row>
    <row r="43" spans="1:13" s="50" customFormat="1" ht="74.25" customHeight="1">
      <c r="A43" s="581"/>
      <c r="B43" s="615" t="s">
        <v>75</v>
      </c>
      <c r="C43" s="583"/>
      <c r="D43" s="584"/>
      <c r="E43" s="609"/>
      <c r="F43" s="609"/>
      <c r="G43" s="605"/>
      <c r="H43" s="599"/>
      <c r="I43" s="600"/>
      <c r="J43" s="606"/>
      <c r="K43" s="607"/>
      <c r="L43" s="608"/>
      <c r="M43" s="608"/>
    </row>
    <row r="44" spans="1:13" s="50" customFormat="1" ht="42" customHeight="1">
      <c r="A44" s="581"/>
      <c r="B44" s="615" t="s">
        <v>76</v>
      </c>
      <c r="C44" s="617"/>
      <c r="D44" s="588" t="s">
        <v>481</v>
      </c>
      <c r="E44" s="611">
        <f>130298.25+3685.52</f>
        <v>133983.77</v>
      </c>
      <c r="F44" s="611">
        <f>738356.75+20884.58</f>
        <v>759241.33</v>
      </c>
      <c r="G44" s="605"/>
      <c r="H44" s="599"/>
      <c r="I44" s="600"/>
      <c r="J44" s="606"/>
      <c r="K44" s="607"/>
      <c r="L44" s="608"/>
      <c r="M44" s="608"/>
    </row>
    <row r="45" spans="1:13" s="50" customFormat="1" ht="39" customHeight="1">
      <c r="A45" s="589">
        <v>11</v>
      </c>
      <c r="B45" s="575" t="s">
        <v>24</v>
      </c>
      <c r="C45" s="613" t="s">
        <v>34</v>
      </c>
      <c r="D45" s="584"/>
      <c r="E45" s="609"/>
      <c r="F45" s="609"/>
      <c r="G45" s="605"/>
      <c r="H45" s="599"/>
      <c r="I45" s="600"/>
      <c r="J45" s="606"/>
      <c r="K45" s="607"/>
      <c r="L45" s="608"/>
      <c r="M45" s="608"/>
    </row>
    <row r="46" spans="1:13" s="50" customFormat="1" ht="42" customHeight="1">
      <c r="A46" s="581"/>
      <c r="B46" s="615" t="s">
        <v>77</v>
      </c>
      <c r="C46" s="587"/>
      <c r="D46" s="584"/>
      <c r="E46" s="609"/>
      <c r="F46" s="609"/>
      <c r="G46" s="605"/>
      <c r="H46" s="599"/>
      <c r="I46" s="600"/>
      <c r="J46" s="606"/>
      <c r="K46" s="607"/>
      <c r="L46" s="608"/>
      <c r="M46" s="608"/>
    </row>
    <row r="47" spans="1:13" s="50" customFormat="1" ht="39" customHeight="1">
      <c r="A47" s="581"/>
      <c r="B47" s="623" t="s">
        <v>78</v>
      </c>
      <c r="C47" s="587"/>
      <c r="D47" s="588" t="s">
        <v>79</v>
      </c>
      <c r="E47" s="609">
        <v>25172.76</v>
      </c>
      <c r="F47" s="609">
        <v>142645.62</v>
      </c>
      <c r="G47" s="605"/>
      <c r="H47" s="599"/>
      <c r="I47" s="600"/>
      <c r="J47" s="606"/>
      <c r="K47" s="607"/>
      <c r="L47" s="608"/>
      <c r="M47" s="608"/>
    </row>
    <row r="48" spans="1:13" s="50" customFormat="1" ht="42" customHeight="1">
      <c r="A48" s="589">
        <v>12</v>
      </c>
      <c r="B48" s="575" t="s">
        <v>24</v>
      </c>
      <c r="C48" s="624" t="s">
        <v>34</v>
      </c>
      <c r="D48" s="602"/>
      <c r="E48" s="603"/>
      <c r="F48" s="625"/>
      <c r="G48" s="605"/>
      <c r="H48" s="599"/>
      <c r="I48" s="600"/>
      <c r="J48" s="606"/>
      <c r="K48" s="607"/>
      <c r="L48" s="608"/>
      <c r="M48" s="608"/>
    </row>
    <row r="49" spans="1:13" s="50" customFormat="1" ht="42" customHeight="1">
      <c r="A49" s="581"/>
      <c r="B49" s="615" t="s">
        <v>80</v>
      </c>
      <c r="C49" s="583"/>
      <c r="D49" s="591"/>
      <c r="E49" s="609"/>
      <c r="F49" s="626"/>
      <c r="G49" s="605"/>
      <c r="H49" s="599"/>
      <c r="I49" s="600"/>
      <c r="J49" s="606"/>
      <c r="K49" s="607"/>
      <c r="L49" s="608"/>
      <c r="M49" s="608"/>
    </row>
    <row r="50" spans="1:13" s="50" customFormat="1" ht="42" customHeight="1">
      <c r="A50" s="595"/>
      <c r="B50" s="615" t="s">
        <v>147</v>
      </c>
      <c r="C50" s="617"/>
      <c r="D50" s="588" t="s">
        <v>481</v>
      </c>
      <c r="E50" s="611">
        <v>133415.64</v>
      </c>
      <c r="F50" s="627">
        <v>756021.95</v>
      </c>
      <c r="G50" s="605"/>
      <c r="H50" s="599"/>
      <c r="I50" s="600"/>
      <c r="J50" s="606"/>
      <c r="K50" s="607"/>
      <c r="L50" s="608"/>
      <c r="M50" s="608"/>
    </row>
    <row r="51" spans="1:13" s="50" customFormat="1" ht="42.75" customHeight="1">
      <c r="A51" s="574">
        <v>13</v>
      </c>
      <c r="B51" s="575" t="s">
        <v>24</v>
      </c>
      <c r="C51" s="628" t="s">
        <v>148</v>
      </c>
      <c r="D51" s="584"/>
      <c r="E51" s="609"/>
      <c r="F51" s="609"/>
      <c r="G51" s="605"/>
      <c r="H51" s="599"/>
      <c r="I51" s="600"/>
      <c r="J51" s="606"/>
      <c r="K51" s="607"/>
      <c r="L51" s="608"/>
      <c r="M51" s="608"/>
    </row>
    <row r="52" spans="1:13" s="50" customFormat="1" ht="35.25" customHeight="1">
      <c r="A52" s="581"/>
      <c r="B52" s="629" t="s">
        <v>149</v>
      </c>
      <c r="C52" s="594"/>
      <c r="D52" s="630"/>
      <c r="E52" s="609"/>
      <c r="F52" s="609"/>
      <c r="G52" s="605"/>
      <c r="H52" s="599"/>
      <c r="I52" s="600"/>
      <c r="J52" s="606"/>
      <c r="K52" s="607"/>
      <c r="L52" s="608"/>
      <c r="M52" s="608"/>
    </row>
    <row r="53" spans="1:13" s="50" customFormat="1" ht="86.25" customHeight="1">
      <c r="A53" s="595"/>
      <c r="B53" s="629" t="s">
        <v>150</v>
      </c>
      <c r="C53" s="597"/>
      <c r="D53" s="631" t="s">
        <v>481</v>
      </c>
      <c r="E53" s="681">
        <f>1980.96+4.22</f>
        <v>1985.18</v>
      </c>
      <c r="F53" s="681">
        <f>298488.76+2979.61</f>
        <v>301468.37</v>
      </c>
      <c r="G53" s="605"/>
      <c r="H53" s="599"/>
      <c r="I53" s="600"/>
      <c r="J53" s="606"/>
      <c r="K53" s="607"/>
      <c r="L53" s="608"/>
      <c r="M53" s="608"/>
    </row>
    <row r="54" spans="1:13" s="50" customFormat="1" ht="54" customHeight="1">
      <c r="A54" s="589">
        <v>14</v>
      </c>
      <c r="B54" s="632" t="s">
        <v>151</v>
      </c>
      <c r="C54" s="619" t="s">
        <v>69</v>
      </c>
      <c r="D54" s="577"/>
      <c r="E54" s="603"/>
      <c r="F54" s="603"/>
      <c r="G54" s="605"/>
      <c r="H54" s="599"/>
      <c r="I54" s="600"/>
      <c r="J54" s="606"/>
      <c r="K54" s="607"/>
      <c r="L54" s="608"/>
      <c r="M54" s="608"/>
    </row>
    <row r="55" spans="1:13" s="50" customFormat="1" ht="52.5" customHeight="1">
      <c r="A55" s="581"/>
      <c r="B55" s="629" t="s">
        <v>152</v>
      </c>
      <c r="C55" s="594"/>
      <c r="D55" s="630"/>
      <c r="E55" s="609"/>
      <c r="F55" s="609"/>
      <c r="G55" s="605"/>
      <c r="H55" s="599"/>
      <c r="I55" s="600"/>
      <c r="J55" s="606"/>
      <c r="K55" s="607"/>
      <c r="L55" s="608"/>
      <c r="M55" s="608"/>
    </row>
    <row r="56" spans="1:13" s="50" customFormat="1" ht="58.5" customHeight="1">
      <c r="A56" s="595"/>
      <c r="B56" s="629" t="s">
        <v>153</v>
      </c>
      <c r="C56" s="597"/>
      <c r="D56" s="631" t="s">
        <v>481</v>
      </c>
      <c r="E56" s="611"/>
      <c r="F56" s="681">
        <f>45885+7262.01</f>
        <v>53147.01</v>
      </c>
      <c r="G56" s="605"/>
      <c r="H56" s="599"/>
      <c r="I56" s="633"/>
      <c r="J56" s="606"/>
      <c r="K56" s="607"/>
      <c r="L56" s="608"/>
      <c r="M56" s="608"/>
    </row>
    <row r="57" spans="1:13" s="50" customFormat="1" ht="39" customHeight="1">
      <c r="A57" s="574">
        <v>15</v>
      </c>
      <c r="B57" s="575" t="s">
        <v>24</v>
      </c>
      <c r="C57" s="619" t="s">
        <v>69</v>
      </c>
      <c r="D57" s="620"/>
      <c r="E57" s="603"/>
      <c r="F57" s="603"/>
      <c r="G57" s="605"/>
      <c r="H57" s="599"/>
      <c r="I57" s="633"/>
      <c r="J57" s="606"/>
      <c r="K57" s="607"/>
      <c r="L57" s="608"/>
      <c r="M57" s="608"/>
    </row>
    <row r="58" spans="1:13" s="50" customFormat="1" ht="75" customHeight="1">
      <c r="A58" s="581"/>
      <c r="B58" s="596" t="s">
        <v>154</v>
      </c>
      <c r="C58" s="594"/>
      <c r="D58" s="621"/>
      <c r="E58" s="609"/>
      <c r="F58" s="609"/>
      <c r="G58" s="605"/>
      <c r="H58" s="599"/>
      <c r="I58" s="633"/>
      <c r="J58" s="606"/>
      <c r="K58" s="607"/>
      <c r="L58" s="608"/>
      <c r="M58" s="608"/>
    </row>
    <row r="59" spans="1:13" s="50" customFormat="1" ht="35.25" customHeight="1">
      <c r="A59" s="595"/>
      <c r="B59" s="596" t="s">
        <v>155</v>
      </c>
      <c r="C59" s="597"/>
      <c r="D59" s="598" t="s">
        <v>481</v>
      </c>
      <c r="E59" s="681">
        <f>26400+40.04</f>
        <v>26440.04</v>
      </c>
      <c r="F59" s="611">
        <f>77240+107215</f>
        <v>184455</v>
      </c>
      <c r="G59" s="605"/>
      <c r="H59" s="599"/>
      <c r="I59" s="633"/>
      <c r="J59" s="606"/>
      <c r="K59" s="607"/>
      <c r="L59" s="608"/>
      <c r="M59" s="608"/>
    </row>
    <row r="60" spans="1:13" s="50" customFormat="1" ht="56.25" customHeight="1">
      <c r="A60" s="589">
        <v>16</v>
      </c>
      <c r="B60" s="575" t="s">
        <v>24</v>
      </c>
      <c r="C60" s="634" t="s">
        <v>156</v>
      </c>
      <c r="D60" s="602"/>
      <c r="E60" s="603"/>
      <c r="F60" s="603"/>
      <c r="G60" s="605"/>
      <c r="H60" s="599"/>
      <c r="I60" s="633"/>
      <c r="J60" s="606"/>
      <c r="K60" s="607"/>
      <c r="L60" s="608"/>
      <c r="M60" s="608"/>
    </row>
    <row r="61" spans="1:13" s="50" customFormat="1" ht="60.75" customHeight="1">
      <c r="A61" s="581"/>
      <c r="B61" s="596" t="s">
        <v>157</v>
      </c>
      <c r="C61" s="583"/>
      <c r="D61" s="591"/>
      <c r="E61" s="609"/>
      <c r="F61" s="609"/>
      <c r="G61" s="605"/>
      <c r="H61" s="599"/>
      <c r="I61" s="633"/>
      <c r="J61" s="606"/>
      <c r="K61" s="607"/>
      <c r="L61" s="608"/>
      <c r="M61" s="608"/>
    </row>
    <row r="62" spans="1:13" s="50" customFormat="1" ht="38.25" customHeight="1">
      <c r="A62" s="595"/>
      <c r="B62" s="596" t="s">
        <v>158</v>
      </c>
      <c r="C62" s="617"/>
      <c r="D62" s="591" t="s">
        <v>159</v>
      </c>
      <c r="E62" s="609" t="s">
        <v>68</v>
      </c>
      <c r="F62" s="609">
        <v>392366.5</v>
      </c>
      <c r="G62" s="605"/>
      <c r="H62" s="564"/>
      <c r="I62" s="633"/>
      <c r="J62" s="606"/>
      <c r="K62" s="607"/>
      <c r="L62" s="608"/>
      <c r="M62" s="608"/>
    </row>
    <row r="63" spans="1:13" s="50" customFormat="1" ht="38.25" customHeight="1">
      <c r="A63" s="589">
        <v>17</v>
      </c>
      <c r="B63" s="575" t="s">
        <v>24</v>
      </c>
      <c r="C63" s="634" t="s">
        <v>176</v>
      </c>
      <c r="D63" s="602"/>
      <c r="E63" s="614"/>
      <c r="F63" s="603"/>
      <c r="G63" s="605"/>
      <c r="H63" s="564"/>
      <c r="I63" s="633"/>
      <c r="J63" s="606"/>
      <c r="K63" s="607"/>
      <c r="L63" s="608"/>
      <c r="M63" s="608"/>
    </row>
    <row r="64" spans="1:13" s="50" customFormat="1" ht="91.5" customHeight="1">
      <c r="A64" s="581"/>
      <c r="B64" s="596" t="s">
        <v>185</v>
      </c>
      <c r="C64" s="583"/>
      <c r="D64" s="591"/>
      <c r="E64" s="616"/>
      <c r="F64" s="609"/>
      <c r="G64" s="605"/>
      <c r="H64" s="564"/>
      <c r="I64" s="633"/>
      <c r="J64" s="606"/>
      <c r="K64" s="607"/>
      <c r="L64" s="608"/>
      <c r="M64" s="608"/>
    </row>
    <row r="65" spans="1:13" s="50" customFormat="1" ht="38.25" customHeight="1">
      <c r="A65" s="595"/>
      <c r="B65" s="596" t="s">
        <v>177</v>
      </c>
      <c r="C65" s="617"/>
      <c r="D65" s="598"/>
      <c r="E65" s="611" t="s">
        <v>68</v>
      </c>
      <c r="F65" s="774">
        <v>253578</v>
      </c>
      <c r="G65" s="605"/>
      <c r="H65" s="564"/>
      <c r="I65" s="633"/>
      <c r="J65" s="606"/>
      <c r="K65" s="607"/>
      <c r="L65" s="608"/>
      <c r="M65" s="608"/>
    </row>
    <row r="66" spans="1:13" s="50" customFormat="1" ht="56.25" customHeight="1">
      <c r="A66" s="589">
        <v>18</v>
      </c>
      <c r="B66" s="780" t="s">
        <v>24</v>
      </c>
      <c r="C66" s="624" t="s">
        <v>178</v>
      </c>
      <c r="D66" s="602"/>
      <c r="E66" s="614"/>
      <c r="F66" s="603"/>
      <c r="G66" s="605"/>
      <c r="H66" s="781"/>
      <c r="I66" s="600"/>
      <c r="J66" s="606"/>
      <c r="K66" s="607"/>
      <c r="L66" s="608"/>
      <c r="M66" s="608"/>
    </row>
    <row r="67" spans="1:13" s="50" customFormat="1" ht="42" customHeight="1">
      <c r="A67" s="581"/>
      <c r="B67" s="596" t="s">
        <v>179</v>
      </c>
      <c r="C67" s="583"/>
      <c r="D67" s="591"/>
      <c r="E67" s="616"/>
      <c r="F67" s="609"/>
      <c r="G67" s="605"/>
      <c r="H67" s="781"/>
      <c r="I67" s="600"/>
      <c r="J67" s="606"/>
      <c r="K67" s="607"/>
      <c r="L67" s="608"/>
      <c r="M67" s="608"/>
    </row>
    <row r="68" spans="1:13" s="50" customFormat="1" ht="66" customHeight="1">
      <c r="A68" s="595"/>
      <c r="B68" s="785" t="s">
        <v>180</v>
      </c>
      <c r="C68" s="617"/>
      <c r="D68" s="598">
        <v>2013</v>
      </c>
      <c r="E68" s="778">
        <f>62262.18+145278.42</f>
        <v>207540.6</v>
      </c>
      <c r="F68" s="681">
        <v>1176063.4</v>
      </c>
      <c r="G68" s="605"/>
      <c r="H68" s="781"/>
      <c r="I68" s="600"/>
      <c r="J68" s="606"/>
      <c r="K68" s="607"/>
      <c r="L68" s="608"/>
      <c r="M68" s="608"/>
    </row>
    <row r="69" spans="1:11" ht="32.25" customHeight="1">
      <c r="A69" s="635" t="s">
        <v>160</v>
      </c>
      <c r="B69" s="636"/>
      <c r="C69" s="676"/>
      <c r="D69" s="677"/>
      <c r="E69" s="678">
        <f>E72+E75+E78+E81+E84</f>
        <v>67657.86</v>
      </c>
      <c r="F69" s="678">
        <f>F72+F75+F78+F81+F84+F87</f>
        <v>1333075.03</v>
      </c>
      <c r="H69" s="564"/>
      <c r="I69" s="637"/>
      <c r="J69" s="420"/>
      <c r="K69" s="638"/>
    </row>
    <row r="70" spans="1:10" ht="51">
      <c r="A70" s="589">
        <v>1</v>
      </c>
      <c r="B70" s="575" t="s">
        <v>161</v>
      </c>
      <c r="C70" s="601" t="s">
        <v>162</v>
      </c>
      <c r="D70" s="639"/>
      <c r="E70" s="640"/>
      <c r="F70" s="640"/>
      <c r="H70" s="641"/>
      <c r="I70" s="641"/>
      <c r="J70" s="685"/>
    </row>
    <row r="71" spans="1:10" ht="34.5" customHeight="1">
      <c r="A71" s="581"/>
      <c r="B71" s="642" t="s">
        <v>29</v>
      </c>
      <c r="C71" s="643"/>
      <c r="D71" s="644"/>
      <c r="E71" s="645"/>
      <c r="F71" s="646"/>
      <c r="H71" s="647"/>
      <c r="I71" s="600"/>
      <c r="J71" s="221"/>
    </row>
    <row r="72" spans="1:10" ht="60" customHeight="1">
      <c r="A72" s="595"/>
      <c r="B72" s="648" t="s">
        <v>163</v>
      </c>
      <c r="C72" s="649"/>
      <c r="D72" s="650" t="s">
        <v>593</v>
      </c>
      <c r="E72" s="651">
        <v>35403.08</v>
      </c>
      <c r="F72" s="775">
        <f>200617.54+30295.19</f>
        <v>230912.73</v>
      </c>
      <c r="H72" s="647"/>
      <c r="I72" s="600"/>
      <c r="J72" s="221"/>
    </row>
    <row r="73" spans="1:8" ht="36.75" customHeight="1">
      <c r="A73" s="574">
        <v>2</v>
      </c>
      <c r="B73" s="575" t="s">
        <v>161</v>
      </c>
      <c r="C73" s="653" t="s">
        <v>164</v>
      </c>
      <c r="D73" s="654" t="s">
        <v>439</v>
      </c>
      <c r="E73" s="472"/>
      <c r="F73" s="655"/>
      <c r="H73" s="599"/>
    </row>
    <row r="74" spans="1:9" ht="37.5" customHeight="1">
      <c r="A74" s="581"/>
      <c r="B74" s="642" t="s">
        <v>29</v>
      </c>
      <c r="C74" s="656"/>
      <c r="D74" s="657"/>
      <c r="E74" s="658"/>
      <c r="F74" s="659"/>
      <c r="H74" s="599"/>
      <c r="I74" s="660"/>
    </row>
    <row r="75" spans="1:8" ht="27" customHeight="1">
      <c r="A75" s="595"/>
      <c r="B75" s="661" t="s">
        <v>165</v>
      </c>
      <c r="C75" s="662"/>
      <c r="D75" s="663"/>
      <c r="E75" s="664"/>
      <c r="F75" s="776">
        <f>673470-48000+7466.42</f>
        <v>632936.42</v>
      </c>
      <c r="H75" s="599"/>
    </row>
    <row r="76" spans="1:9" ht="45" customHeight="1">
      <c r="A76" s="574">
        <v>3</v>
      </c>
      <c r="B76" s="914" t="s">
        <v>151</v>
      </c>
      <c r="C76" s="665" t="s">
        <v>166</v>
      </c>
      <c r="D76" s="577"/>
      <c r="E76" s="579"/>
      <c r="F76" s="578"/>
      <c r="H76" s="599"/>
      <c r="I76" s="600"/>
    </row>
    <row r="77" spans="1:9" ht="45" customHeight="1">
      <c r="A77" s="581"/>
      <c r="B77" s="596" t="s">
        <v>167</v>
      </c>
      <c r="C77" s="594"/>
      <c r="D77" s="584"/>
      <c r="E77" s="666"/>
      <c r="F77" s="585"/>
      <c r="H77" s="599"/>
      <c r="I77" s="600"/>
    </row>
    <row r="78" spans="1:10" ht="36" customHeight="1">
      <c r="A78" s="595"/>
      <c r="B78" s="596" t="s">
        <v>168</v>
      </c>
      <c r="C78" s="597"/>
      <c r="D78" s="588" t="s">
        <v>445</v>
      </c>
      <c r="E78" s="651"/>
      <c r="F78" s="777">
        <f>62610.4-2148.8+306.52</f>
        <v>60768.119999999995</v>
      </c>
      <c r="H78" s="599"/>
      <c r="I78" s="600"/>
      <c r="J78" s="667"/>
    </row>
    <row r="79" spans="1:8" ht="42" customHeight="1">
      <c r="A79" s="574">
        <v>4</v>
      </c>
      <c r="B79" s="575" t="s">
        <v>161</v>
      </c>
      <c r="C79" s="653" t="s">
        <v>164</v>
      </c>
      <c r="D79" s="654"/>
      <c r="E79" s="472"/>
      <c r="F79" s="655"/>
      <c r="H79" s="599"/>
    </row>
    <row r="80" spans="1:9" ht="36.75" customHeight="1">
      <c r="A80" s="581"/>
      <c r="B80" s="642" t="s">
        <v>169</v>
      </c>
      <c r="C80" s="656"/>
      <c r="D80" s="657"/>
      <c r="E80" s="658"/>
      <c r="F80" s="659"/>
      <c r="H80" s="599"/>
      <c r="I80" s="660"/>
    </row>
    <row r="81" spans="1:9" ht="36" customHeight="1">
      <c r="A81" s="595"/>
      <c r="B81" s="661" t="s">
        <v>170</v>
      </c>
      <c r="C81" s="662"/>
      <c r="D81" s="588" t="s">
        <v>445</v>
      </c>
      <c r="E81" s="776">
        <f>12190.75+170.31-10106.28</f>
        <v>2254.779999999999</v>
      </c>
      <c r="F81" s="776">
        <f>7029.69+397439.25+2913.82</f>
        <v>407382.76</v>
      </c>
      <c r="H81" s="599"/>
      <c r="I81" s="660"/>
    </row>
    <row r="82" spans="1:10" ht="39" customHeight="1">
      <c r="A82" s="574">
        <v>5</v>
      </c>
      <c r="B82" s="575" t="s">
        <v>171</v>
      </c>
      <c r="C82" s="613" t="s">
        <v>34</v>
      </c>
      <c r="D82" s="654"/>
      <c r="E82" s="472"/>
      <c r="F82" s="655"/>
      <c r="H82" s="599"/>
      <c r="I82" s="660"/>
      <c r="J82" s="667"/>
    </row>
    <row r="83" spans="1:8" ht="60.75" customHeight="1">
      <c r="A83" s="581"/>
      <c r="B83" s="642" t="s">
        <v>172</v>
      </c>
      <c r="C83" s="656"/>
      <c r="D83" s="657"/>
      <c r="E83" s="658"/>
      <c r="F83" s="659"/>
      <c r="H83" s="599"/>
    </row>
    <row r="84" spans="1:8" ht="46.5" customHeight="1">
      <c r="A84" s="595"/>
      <c r="B84" s="642" t="s">
        <v>173</v>
      </c>
      <c r="C84" s="662"/>
      <c r="D84" s="588" t="s">
        <v>445</v>
      </c>
      <c r="E84" s="664">
        <v>30000</v>
      </c>
      <c r="F84" s="664"/>
      <c r="H84" s="599"/>
    </row>
    <row r="85" spans="1:11" ht="51">
      <c r="A85" s="371">
        <v>6</v>
      </c>
      <c r="B85" s="575" t="s">
        <v>161</v>
      </c>
      <c r="C85" s="601" t="s">
        <v>162</v>
      </c>
      <c r="D85" s="639"/>
      <c r="E85" s="640"/>
      <c r="F85" s="640"/>
      <c r="H85" s="599"/>
      <c r="I85" s="660"/>
      <c r="K85" s="668"/>
    </row>
    <row r="86" spans="1:11" ht="34.5" customHeight="1">
      <c r="A86" s="669"/>
      <c r="B86" s="642" t="s">
        <v>29</v>
      </c>
      <c r="C86" s="643"/>
      <c r="D86" s="644"/>
      <c r="E86" s="645"/>
      <c r="F86" s="646"/>
      <c r="H86" s="599"/>
      <c r="I86" s="670"/>
      <c r="K86" s="638"/>
    </row>
    <row r="87" spans="1:11" ht="51" customHeight="1">
      <c r="A87" s="649"/>
      <c r="B87" s="648" t="s">
        <v>174</v>
      </c>
      <c r="C87" s="649"/>
      <c r="D87" s="650" t="s">
        <v>593</v>
      </c>
      <c r="E87" s="651"/>
      <c r="F87" s="652">
        <v>1075</v>
      </c>
      <c r="H87" s="599"/>
      <c r="K87" s="671"/>
    </row>
    <row r="88" spans="4:6" ht="18.75">
      <c r="D88" s="672"/>
      <c r="E88" s="1"/>
      <c r="F88" s="1"/>
    </row>
    <row r="89" spans="4:11" ht="18.75">
      <c r="D89" s="672"/>
      <c r="E89" s="1"/>
      <c r="F89" s="1"/>
      <c r="K89" s="671"/>
    </row>
    <row r="90" spans="4:6" ht="18.75">
      <c r="D90" s="672"/>
      <c r="E90" s="28"/>
      <c r="F90" s="1"/>
    </row>
    <row r="91" spans="4:6" ht="18.75">
      <c r="D91" s="672"/>
      <c r="E91" s="28"/>
      <c r="F91" s="1"/>
    </row>
    <row r="92" spans="4:6" ht="18.75">
      <c r="D92" s="672"/>
      <c r="E92" s="1"/>
      <c r="F92" s="1"/>
    </row>
    <row r="93" spans="4:6" ht="18.75">
      <c r="D93" s="672"/>
      <c r="E93" s="1"/>
      <c r="F93" s="1"/>
    </row>
    <row r="94" spans="4:6" ht="18.75">
      <c r="D94" s="672"/>
      <c r="E94" s="1"/>
      <c r="F94" s="1"/>
    </row>
    <row r="95" spans="4:6" ht="18.75">
      <c r="D95" s="672"/>
      <c r="E95" s="1"/>
      <c r="F95" s="1"/>
    </row>
    <row r="96" spans="4:6" ht="18.75">
      <c r="D96" s="672"/>
      <c r="E96" s="1"/>
      <c r="F96" s="1"/>
    </row>
    <row r="97" spans="4:11" ht="18.75">
      <c r="D97" s="672"/>
      <c r="E97" s="28"/>
      <c r="F97" s="1"/>
      <c r="K97" s="671"/>
    </row>
    <row r="98" spans="4:6" ht="18.75">
      <c r="D98" s="672"/>
      <c r="E98" s="28"/>
      <c r="F98" s="1"/>
    </row>
    <row r="99" spans="4:6" ht="18.75">
      <c r="D99" s="672"/>
      <c r="E99" s="28"/>
      <c r="F99" s="1"/>
    </row>
    <row r="100" spans="4:6" ht="18.75">
      <c r="D100" s="672"/>
      <c r="E100" s="28"/>
      <c r="F100" s="1"/>
    </row>
    <row r="101" spans="5:6" ht="18.75">
      <c r="E101" s="673"/>
      <c r="F101" s="1"/>
    </row>
    <row r="102" spans="4:6" ht="18.75">
      <c r="D102" s="674"/>
      <c r="E102" s="1"/>
      <c r="F102" s="28"/>
    </row>
    <row r="103" spans="5:6" ht="18.75">
      <c r="E103" s="1"/>
      <c r="F103" s="28"/>
    </row>
    <row r="104" spans="3:6" ht="18.75">
      <c r="C104" s="4"/>
      <c r="D104" s="4"/>
      <c r="E104" s="673"/>
      <c r="F104" s="28"/>
    </row>
    <row r="105" spans="3:6" ht="18.75">
      <c r="C105" s="4"/>
      <c r="D105" s="4"/>
      <c r="E105" s="673"/>
      <c r="F105" s="28"/>
    </row>
    <row r="106" spans="3:11" ht="18.75">
      <c r="C106" s="4"/>
      <c r="D106" s="4"/>
      <c r="E106" s="673"/>
      <c r="F106" s="28"/>
      <c r="K106" s="671"/>
    </row>
    <row r="107" spans="3:6" ht="18.75">
      <c r="C107" s="4"/>
      <c r="D107" s="4"/>
      <c r="E107" s="73"/>
      <c r="F107" s="675"/>
    </row>
    <row r="108" spans="3:6" ht="18.75">
      <c r="C108" s="4"/>
      <c r="D108" s="4"/>
      <c r="E108" s="73"/>
      <c r="F108" s="675"/>
    </row>
    <row r="109" spans="3:6" ht="18.75">
      <c r="C109" s="4"/>
      <c r="D109" s="4"/>
      <c r="E109" s="28"/>
      <c r="F109" s="28"/>
    </row>
    <row r="110" spans="3:6" ht="18.75">
      <c r="C110" s="4"/>
      <c r="D110" s="4"/>
      <c r="E110" s="73"/>
      <c r="F110" s="675"/>
    </row>
    <row r="111" spans="3:6" ht="18.75">
      <c r="C111" s="4"/>
      <c r="D111" s="4"/>
      <c r="E111" s="28"/>
      <c r="F111" s="28"/>
    </row>
    <row r="112" spans="3:6" ht="18.75">
      <c r="C112" s="4"/>
      <c r="D112" s="4"/>
      <c r="E112" s="28"/>
      <c r="F112" s="28"/>
    </row>
    <row r="113" spans="3:6" ht="18.75">
      <c r="C113" s="4"/>
      <c r="D113" s="4"/>
      <c r="E113" s="28"/>
      <c r="F113" s="28"/>
    </row>
    <row r="114" spans="3:6" ht="18.75">
      <c r="C114" s="4"/>
      <c r="D114" s="4"/>
      <c r="E114" s="28"/>
      <c r="F114" s="28"/>
    </row>
    <row r="115" spans="3:6" ht="18.75">
      <c r="C115" s="4"/>
      <c r="D115" s="4"/>
      <c r="E115" s="28"/>
      <c r="F115" s="28"/>
    </row>
    <row r="116" spans="3:6" ht="18.75">
      <c r="C116" s="4"/>
      <c r="D116" s="4"/>
      <c r="E116" s="28"/>
      <c r="F116" s="28"/>
    </row>
    <row r="117" spans="3:6" ht="18.75">
      <c r="C117" s="4"/>
      <c r="D117" s="4"/>
      <c r="E117" s="28"/>
      <c r="F117" s="28"/>
    </row>
    <row r="118" spans="3:6" ht="18.75">
      <c r="C118" s="4"/>
      <c r="D118" s="4"/>
      <c r="E118" s="28"/>
      <c r="F118" s="28"/>
    </row>
    <row r="119" spans="5:6" ht="18.75">
      <c r="E119" s="28"/>
      <c r="F119" s="28"/>
    </row>
    <row r="120" spans="5:6" ht="18.75">
      <c r="E120" s="28"/>
      <c r="F120" s="28"/>
    </row>
    <row r="121" spans="5:6" ht="18.75">
      <c r="E121" s="28"/>
      <c r="F121" s="28"/>
    </row>
    <row r="122" spans="5:6" ht="18.75">
      <c r="E122" s="28"/>
      <c r="F122" s="28"/>
    </row>
    <row r="123" spans="5:6" ht="18.75">
      <c r="E123" s="28"/>
      <c r="F123" s="28"/>
    </row>
    <row r="124" spans="5:6" ht="18.75">
      <c r="E124" s="28"/>
      <c r="F124" s="28"/>
    </row>
    <row r="125" spans="5:6" ht="18.75">
      <c r="E125" s="28"/>
      <c r="F125" s="28"/>
    </row>
    <row r="126" spans="5:6" ht="18.75">
      <c r="E126" s="28"/>
      <c r="F126" s="28"/>
    </row>
    <row r="127" spans="5:6" ht="18.75">
      <c r="E127" s="28"/>
      <c r="F127" s="28"/>
    </row>
    <row r="128" spans="5:6" ht="18.75">
      <c r="E128" s="28"/>
      <c r="F128" s="28"/>
    </row>
    <row r="129" spans="5:6" ht="18.75">
      <c r="E129" s="28"/>
      <c r="F129" s="28"/>
    </row>
    <row r="130" spans="5:6" ht="18.75">
      <c r="E130" s="28"/>
      <c r="F130" s="28"/>
    </row>
    <row r="131" spans="5:6" ht="18.75">
      <c r="E131" s="28"/>
      <c r="F131" s="28"/>
    </row>
    <row r="132" spans="5:6" ht="18.75">
      <c r="E132" s="28"/>
      <c r="F132" s="28"/>
    </row>
    <row r="133" spans="5:6" ht="18.75">
      <c r="E133" s="28"/>
      <c r="F133" s="28"/>
    </row>
    <row r="134" spans="5:6" ht="18.75">
      <c r="E134" s="28"/>
      <c r="F134" s="28"/>
    </row>
    <row r="135" spans="5:6" ht="18.75">
      <c r="E135" s="28"/>
      <c r="F135" s="28"/>
    </row>
    <row r="136" spans="5:6" ht="18.75">
      <c r="E136" s="28"/>
      <c r="F136" s="28"/>
    </row>
    <row r="137" spans="5:6" ht="18.75">
      <c r="E137" s="28"/>
      <c r="F137" s="28"/>
    </row>
    <row r="138" spans="5:6" ht="18.75">
      <c r="E138" s="28"/>
      <c r="F138" s="28"/>
    </row>
    <row r="139" spans="5:6" ht="18.75">
      <c r="E139" s="28"/>
      <c r="F139" s="28"/>
    </row>
    <row r="140" spans="5:6" ht="18.75">
      <c r="E140" s="28"/>
      <c r="F140" s="28"/>
    </row>
    <row r="141" spans="5:6" ht="18.75">
      <c r="E141" s="28"/>
      <c r="F141" s="28"/>
    </row>
    <row r="142" spans="5:6" ht="18.75">
      <c r="E142" s="28"/>
      <c r="F142" s="28"/>
    </row>
    <row r="143" spans="5:6" ht="18.75">
      <c r="E143" s="28"/>
      <c r="F143" s="28"/>
    </row>
    <row r="144" spans="5:6" ht="18.75">
      <c r="E144" s="28"/>
      <c r="F144" s="28"/>
    </row>
    <row r="145" spans="5:6" ht="18.75">
      <c r="E145" s="28"/>
      <c r="F145" s="28"/>
    </row>
    <row r="146" spans="5:6" ht="18.75">
      <c r="E146" s="28"/>
      <c r="F146" s="28"/>
    </row>
    <row r="147" spans="5:6" ht="18.75">
      <c r="E147" s="28"/>
      <c r="F147" s="28"/>
    </row>
    <row r="148" spans="5:6" ht="18.75">
      <c r="E148" s="28"/>
      <c r="F148" s="28"/>
    </row>
    <row r="149" spans="5:6" ht="18.75">
      <c r="E149" s="28"/>
      <c r="F149" s="28"/>
    </row>
    <row r="150" spans="5:6" ht="18.75">
      <c r="E150" s="28"/>
      <c r="F150" s="28"/>
    </row>
    <row r="151" spans="5:6" ht="18.75">
      <c r="E151" s="28"/>
      <c r="F151" s="28"/>
    </row>
    <row r="152" spans="5:6" ht="18.75">
      <c r="E152" s="28"/>
      <c r="F152" s="28"/>
    </row>
    <row r="153" spans="5:6" ht="18.75">
      <c r="E153" s="28"/>
      <c r="F153" s="28"/>
    </row>
    <row r="154" spans="5:6" ht="18.75">
      <c r="E154" s="28"/>
      <c r="F154" s="28"/>
    </row>
    <row r="155" spans="5:6" ht="18.75">
      <c r="E155" s="28"/>
      <c r="F155" s="28"/>
    </row>
    <row r="156" spans="5:6" ht="18.75">
      <c r="E156" s="28"/>
      <c r="F156" s="28"/>
    </row>
    <row r="157" spans="5:6" ht="18.75">
      <c r="E157" s="28"/>
      <c r="F157" s="28"/>
    </row>
    <row r="158" spans="5:6" ht="18.75">
      <c r="E158" s="28"/>
      <c r="F158" s="28"/>
    </row>
    <row r="159" spans="5:6" ht="18.75">
      <c r="E159" s="28"/>
      <c r="F159" s="28"/>
    </row>
    <row r="160" spans="5:6" ht="18.75">
      <c r="E160" s="28"/>
      <c r="F160" s="28"/>
    </row>
    <row r="161" spans="5:6" ht="18.75">
      <c r="E161" s="28"/>
      <c r="F161" s="28"/>
    </row>
    <row r="162" spans="5:6" ht="18.75">
      <c r="E162" s="28"/>
      <c r="F162" s="28"/>
    </row>
    <row r="163" spans="5:6" ht="18.75">
      <c r="E163" s="28"/>
      <c r="F163" s="28"/>
    </row>
    <row r="164" spans="5:6" ht="18.75">
      <c r="E164" s="28"/>
      <c r="F164" s="28"/>
    </row>
    <row r="165" spans="5:6" ht="18.75">
      <c r="E165" s="28"/>
      <c r="F165" s="28"/>
    </row>
    <row r="166" spans="5:6" ht="18.75">
      <c r="E166" s="28"/>
      <c r="F166" s="28"/>
    </row>
    <row r="167" spans="5:6" ht="18.75">
      <c r="E167" s="28"/>
      <c r="F167" s="28"/>
    </row>
    <row r="168" spans="5:6" ht="18.75">
      <c r="E168" s="28"/>
      <c r="F168" s="28"/>
    </row>
    <row r="169" spans="5:6" ht="18.75">
      <c r="E169" s="28"/>
      <c r="F169" s="28"/>
    </row>
    <row r="170" spans="5:6" ht="18.75">
      <c r="E170" s="28"/>
      <c r="F170" s="28"/>
    </row>
    <row r="171" spans="5:6" ht="18.75">
      <c r="E171" s="28"/>
      <c r="F171" s="28"/>
    </row>
    <row r="172" spans="5:6" ht="18.75">
      <c r="E172" s="28"/>
      <c r="F172" s="28"/>
    </row>
    <row r="173" spans="5:6" ht="18.75">
      <c r="E173" s="28"/>
      <c r="F173" s="28"/>
    </row>
    <row r="174" spans="5:6" ht="18.75">
      <c r="E174" s="28"/>
      <c r="F174" s="28"/>
    </row>
    <row r="175" spans="5:6" ht="18.75">
      <c r="E175" s="28"/>
      <c r="F175" s="28"/>
    </row>
    <row r="176" spans="5:6" ht="18.75">
      <c r="E176" s="28"/>
      <c r="F176" s="28"/>
    </row>
    <row r="177" spans="5:6" ht="18.75">
      <c r="E177" s="28"/>
      <c r="F177" s="28"/>
    </row>
    <row r="178" spans="5:6" ht="18.75">
      <c r="E178" s="28"/>
      <c r="F178" s="28"/>
    </row>
    <row r="179" spans="5:6" ht="18.75">
      <c r="E179" s="28"/>
      <c r="F179" s="28"/>
    </row>
    <row r="180" spans="5:6" ht="18.75">
      <c r="E180" s="28"/>
      <c r="F180" s="28"/>
    </row>
    <row r="181" spans="5:6" ht="18.75">
      <c r="E181" s="28"/>
      <c r="F181" s="28"/>
    </row>
    <row r="182" spans="5:6" ht="18.75">
      <c r="E182" s="28"/>
      <c r="F182" s="28"/>
    </row>
    <row r="183" spans="5:6" ht="18.75">
      <c r="E183" s="28"/>
      <c r="F183" s="28"/>
    </row>
    <row r="184" spans="5:6" ht="18.75">
      <c r="E184" s="28"/>
      <c r="F184" s="28"/>
    </row>
    <row r="185" spans="5:6" ht="18.75">
      <c r="E185" s="28"/>
      <c r="F185" s="28"/>
    </row>
    <row r="186" spans="5:6" ht="18.75">
      <c r="E186" s="28"/>
      <c r="F186" s="28"/>
    </row>
    <row r="187" spans="5:6" ht="18.75">
      <c r="E187" s="28"/>
      <c r="F187" s="28"/>
    </row>
    <row r="188" spans="5:6" ht="18.75">
      <c r="E188" s="28"/>
      <c r="F188" s="28"/>
    </row>
    <row r="189" spans="5:6" ht="18.75">
      <c r="E189" s="28"/>
      <c r="F189" s="28"/>
    </row>
    <row r="190" spans="5:6" ht="18.75">
      <c r="E190" s="28"/>
      <c r="F190" s="28"/>
    </row>
    <row r="191" spans="5:6" ht="18.75">
      <c r="E191" s="28"/>
      <c r="F191" s="28"/>
    </row>
    <row r="192" spans="5:6" ht="18.75">
      <c r="E192" s="28"/>
      <c r="F192" s="28"/>
    </row>
    <row r="193" spans="5:6" ht="18.75">
      <c r="E193" s="28"/>
      <c r="F193" s="28"/>
    </row>
    <row r="194" spans="5:6" ht="18.75">
      <c r="E194" s="28"/>
      <c r="F194" s="28"/>
    </row>
    <row r="195" spans="5:6" ht="18.75">
      <c r="E195" s="28"/>
      <c r="F195" s="28"/>
    </row>
    <row r="196" spans="5:6" ht="18.75">
      <c r="E196" s="28"/>
      <c r="F196" s="28"/>
    </row>
    <row r="197" spans="5:6" ht="18.75">
      <c r="E197" s="28"/>
      <c r="F197" s="28"/>
    </row>
    <row r="198" spans="5:6" ht="18.75">
      <c r="E198" s="28"/>
      <c r="F198" s="28"/>
    </row>
    <row r="199" spans="5:6" ht="18.75">
      <c r="E199" s="28"/>
      <c r="F199" s="28"/>
    </row>
    <row r="200" spans="5:6" ht="18.75">
      <c r="E200" s="28"/>
      <c r="F200" s="28"/>
    </row>
    <row r="201" spans="5:6" ht="18.75">
      <c r="E201" s="28"/>
      <c r="F201" s="28"/>
    </row>
    <row r="202" spans="5:6" ht="18.75">
      <c r="E202" s="28"/>
      <c r="F202" s="28"/>
    </row>
    <row r="203" spans="5:6" ht="18.75">
      <c r="E203" s="28"/>
      <c r="F203" s="28"/>
    </row>
    <row r="204" spans="5:6" ht="18.75">
      <c r="E204" s="28"/>
      <c r="F204" s="28"/>
    </row>
    <row r="205" spans="5:6" ht="18.75">
      <c r="E205" s="28"/>
      <c r="F205" s="28"/>
    </row>
    <row r="206" spans="5:6" ht="18.75">
      <c r="E206" s="28"/>
      <c r="F206" s="28"/>
    </row>
    <row r="207" spans="5:6" ht="18.75">
      <c r="E207" s="28"/>
      <c r="F207" s="28"/>
    </row>
    <row r="208" spans="5:6" ht="18.75">
      <c r="E208" s="28"/>
      <c r="F208" s="28"/>
    </row>
    <row r="209" spans="5:6" ht="18.75">
      <c r="E209" s="28"/>
      <c r="F209" s="28"/>
    </row>
    <row r="210" spans="5:6" ht="18.75">
      <c r="E210" s="28"/>
      <c r="F210" s="28"/>
    </row>
    <row r="211" spans="5:6" ht="18.75">
      <c r="E211" s="28"/>
      <c r="F211" s="28"/>
    </row>
  </sheetData>
  <sheetProtection/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12"/>
  <sheetViews>
    <sheetView zoomScalePageLayoutView="0" workbookViewId="0" topLeftCell="A52">
      <selection activeCell="F68" sqref="F68"/>
    </sheetView>
  </sheetViews>
  <sheetFormatPr defaultColWidth="9.140625" defaultRowHeight="12.75"/>
  <cols>
    <col min="1" max="1" width="4.57421875" style="2" customWidth="1"/>
    <col min="2" max="2" width="24.7109375" style="2" customWidth="1"/>
    <col min="3" max="3" width="45.8515625" style="443" customWidth="1"/>
    <col min="4" max="4" width="20.57421875" style="2" customWidth="1"/>
    <col min="5" max="5" width="12.7109375" style="4" customWidth="1"/>
    <col min="6" max="6" width="19.7109375" style="2" customWidth="1"/>
    <col min="7" max="7" width="18.00390625" style="2" customWidth="1"/>
    <col min="8" max="16384" width="9.140625" style="2" customWidth="1"/>
  </cols>
  <sheetData>
    <row r="1" ht="19.5" customHeight="1">
      <c r="C1" s="222" t="s">
        <v>257</v>
      </c>
    </row>
    <row r="2" ht="19.5" customHeight="1">
      <c r="C2" s="224" t="s">
        <v>99</v>
      </c>
    </row>
    <row r="3" ht="19.5" customHeight="1">
      <c r="C3" s="224" t="s">
        <v>399</v>
      </c>
    </row>
    <row r="4" ht="19.5" customHeight="1">
      <c r="C4" s="224" t="s">
        <v>314</v>
      </c>
    </row>
    <row r="5" ht="15" customHeight="1"/>
    <row r="6" ht="14.25" customHeight="1"/>
    <row r="7" spans="1:5" s="26" customFormat="1" ht="19.5" customHeight="1">
      <c r="A7" s="444" t="s">
        <v>670</v>
      </c>
      <c r="B7" s="445"/>
      <c r="C7" s="221"/>
      <c r="D7" s="2"/>
      <c r="E7" s="4"/>
    </row>
    <row r="8" spans="1:5" s="26" customFormat="1" ht="19.5" customHeight="1">
      <c r="A8" s="444" t="s">
        <v>671</v>
      </c>
      <c r="B8" s="445"/>
      <c r="C8" s="221"/>
      <c r="D8" s="2"/>
      <c r="E8" s="4"/>
    </row>
    <row r="9" spans="1:3" ht="18.75" customHeight="1">
      <c r="A9" s="444"/>
      <c r="B9" s="50"/>
      <c r="C9" s="221"/>
    </row>
    <row r="10" spans="1:2" ht="13.5">
      <c r="A10" s="116" t="s">
        <v>352</v>
      </c>
      <c r="B10" s="446"/>
    </row>
    <row r="11" spans="3:4" ht="11.25" customHeight="1">
      <c r="C11" s="447"/>
      <c r="D11" s="448" t="s">
        <v>409</v>
      </c>
    </row>
    <row r="12" spans="1:6" ht="42.75" customHeight="1">
      <c r="A12" s="307" t="s">
        <v>412</v>
      </c>
      <c r="B12" s="307" t="s">
        <v>672</v>
      </c>
      <c r="C12" s="290" t="s">
        <v>673</v>
      </c>
      <c r="D12" s="449" t="s">
        <v>674</v>
      </c>
      <c r="F12" s="450"/>
    </row>
    <row r="13" spans="1:7" s="50" customFormat="1" ht="22.5" customHeight="1">
      <c r="A13" s="451" t="s">
        <v>675</v>
      </c>
      <c r="B13" s="452"/>
      <c r="C13" s="453"/>
      <c r="D13" s="454">
        <f>D14+D28</f>
        <v>9004462.07</v>
      </c>
      <c r="E13" s="3"/>
      <c r="F13" s="455"/>
      <c r="G13" s="3"/>
    </row>
    <row r="14" spans="1:7" s="50" customFormat="1" ht="24.75" customHeight="1">
      <c r="A14" s="456" t="s">
        <v>676</v>
      </c>
      <c r="B14" s="457"/>
      <c r="C14" s="458"/>
      <c r="D14" s="454">
        <f>D15</f>
        <v>2023158</v>
      </c>
      <c r="E14" s="461"/>
      <c r="F14" s="3"/>
      <c r="G14" s="3"/>
    </row>
    <row r="15" spans="1:7" s="50" customFormat="1" ht="30" customHeight="1">
      <c r="A15" s="462">
        <v>801</v>
      </c>
      <c r="B15" s="463" t="s">
        <v>492</v>
      </c>
      <c r="C15" s="464"/>
      <c r="D15" s="465">
        <f>SUM(D16:D27)</f>
        <v>2023158</v>
      </c>
      <c r="E15" s="466"/>
      <c r="G15" s="3"/>
    </row>
    <row r="16" spans="1:5" s="50" customFormat="1" ht="25.5" customHeight="1">
      <c r="A16" s="462"/>
      <c r="B16" s="467"/>
      <c r="C16" s="464" t="s">
        <v>677</v>
      </c>
      <c r="D16" s="468">
        <v>40000</v>
      </c>
      <c r="E16" s="466"/>
    </row>
    <row r="17" spans="1:5" s="50" customFormat="1" ht="17.25" customHeight="1">
      <c r="A17" s="469"/>
      <c r="B17" s="467"/>
      <c r="C17" s="294" t="s">
        <v>678</v>
      </c>
      <c r="D17" s="468">
        <f>325260-20000</f>
        <v>305260</v>
      </c>
      <c r="E17" s="3"/>
    </row>
    <row r="18" spans="1:5" s="50" customFormat="1" ht="18.75" customHeight="1">
      <c r="A18" s="469"/>
      <c r="B18" s="470"/>
      <c r="C18" s="294" t="s">
        <v>679</v>
      </c>
      <c r="D18" s="471">
        <f>587136-20000</f>
        <v>567136</v>
      </c>
      <c r="E18" s="3"/>
    </row>
    <row r="19" spans="1:5" s="50" customFormat="1" ht="18.75" customHeight="1">
      <c r="A19" s="469"/>
      <c r="B19" s="470"/>
      <c r="C19" s="294" t="s">
        <v>680</v>
      </c>
      <c r="D19" s="471">
        <f>66720-15000</f>
        <v>51720</v>
      </c>
      <c r="E19" s="3"/>
    </row>
    <row r="20" spans="1:5" s="50" customFormat="1" ht="18.75" customHeight="1">
      <c r="A20" s="469"/>
      <c r="B20" s="470"/>
      <c r="C20" s="294" t="s">
        <v>681</v>
      </c>
      <c r="D20" s="471">
        <f>108982-90000</f>
        <v>18982</v>
      </c>
      <c r="E20" s="3"/>
    </row>
    <row r="21" spans="1:5" s="50" customFormat="1" ht="18.75" customHeight="1">
      <c r="A21" s="469"/>
      <c r="B21" s="470"/>
      <c r="C21" s="294" t="s">
        <v>682</v>
      </c>
      <c r="D21" s="471">
        <v>70060</v>
      </c>
      <c r="E21" s="3"/>
    </row>
    <row r="22" spans="1:5" s="50" customFormat="1" ht="18.75" customHeight="1">
      <c r="A22" s="469"/>
      <c r="B22" s="470"/>
      <c r="C22" s="294" t="s">
        <v>683</v>
      </c>
      <c r="D22" s="471">
        <v>570172</v>
      </c>
      <c r="E22" s="3"/>
    </row>
    <row r="23" spans="1:6" s="50" customFormat="1" ht="21.75" customHeight="1">
      <c r="A23" s="469"/>
      <c r="B23" s="470"/>
      <c r="C23" s="294" t="s">
        <v>684</v>
      </c>
      <c r="D23" s="471">
        <f>80880-30000</f>
        <v>50880</v>
      </c>
      <c r="E23" s="3"/>
      <c r="F23" s="3"/>
    </row>
    <row r="24" spans="1:5" s="50" customFormat="1" ht="18.75" customHeight="1">
      <c r="A24" s="469"/>
      <c r="B24" s="470"/>
      <c r="C24" s="294" t="s">
        <v>685</v>
      </c>
      <c r="D24" s="471">
        <v>133548</v>
      </c>
      <c r="E24" s="3"/>
    </row>
    <row r="25" spans="1:5" s="50" customFormat="1" ht="21" customHeight="1">
      <c r="A25" s="469"/>
      <c r="B25" s="470"/>
      <c r="C25" s="294" t="s">
        <v>686</v>
      </c>
      <c r="D25" s="471">
        <v>60312</v>
      </c>
      <c r="E25" s="3"/>
    </row>
    <row r="26" spans="1:5" s="50" customFormat="1" ht="21" customHeight="1">
      <c r="A26" s="469"/>
      <c r="B26" s="470"/>
      <c r="C26" s="294" t="s">
        <v>687</v>
      </c>
      <c r="D26" s="472">
        <v>103392</v>
      </c>
      <c r="E26" s="3"/>
    </row>
    <row r="27" spans="1:5" s="50" customFormat="1" ht="21" customHeight="1">
      <c r="A27" s="469"/>
      <c r="B27" s="470"/>
      <c r="C27" s="299" t="s">
        <v>690</v>
      </c>
      <c r="D27" s="472">
        <v>51696</v>
      </c>
      <c r="E27" s="3"/>
    </row>
    <row r="28" spans="1:5" s="50" customFormat="1" ht="24.75" customHeight="1">
      <c r="A28" s="456" t="s">
        <v>691</v>
      </c>
      <c r="B28" s="457"/>
      <c r="C28" s="458"/>
      <c r="D28" s="473">
        <f>D29+D40+D44+D50+D54+D58</f>
        <v>6981304.07</v>
      </c>
      <c r="E28" s="3"/>
    </row>
    <row r="29" spans="1:5" s="50" customFormat="1" ht="21.75" customHeight="1">
      <c r="A29" s="311">
        <v>851</v>
      </c>
      <c r="B29" s="474" t="s">
        <v>529</v>
      </c>
      <c r="C29" s="475"/>
      <c r="D29" s="476">
        <f>SUM(D30:D39)</f>
        <v>979000</v>
      </c>
      <c r="E29" s="466"/>
    </row>
    <row r="30" spans="1:5" s="50" customFormat="1" ht="35.25" customHeight="1">
      <c r="A30" s="371"/>
      <c r="B30" s="477"/>
      <c r="C30" s="294" t="s">
        <v>692</v>
      </c>
      <c r="D30" s="468">
        <v>95000</v>
      </c>
      <c r="E30" s="3"/>
    </row>
    <row r="31" spans="1:5" s="50" customFormat="1" ht="27.75" customHeight="1">
      <c r="A31" s="343"/>
      <c r="B31" s="478"/>
      <c r="C31" s="294" t="s">
        <v>693</v>
      </c>
      <c r="D31" s="468">
        <v>440000</v>
      </c>
      <c r="E31" s="3"/>
    </row>
    <row r="32" spans="1:5" s="50" customFormat="1" ht="48" customHeight="1">
      <c r="A32" s="343"/>
      <c r="B32" s="478"/>
      <c r="C32" s="294" t="s">
        <v>694</v>
      </c>
      <c r="D32" s="468">
        <v>50000</v>
      </c>
      <c r="E32" s="3"/>
    </row>
    <row r="33" spans="1:5" s="50" customFormat="1" ht="27.75" customHeight="1">
      <c r="A33" s="343"/>
      <c r="B33" s="478"/>
      <c r="C33" s="294" t="s">
        <v>695</v>
      </c>
      <c r="D33" s="468">
        <v>10000</v>
      </c>
      <c r="E33" s="3"/>
    </row>
    <row r="34" spans="1:5" s="50" customFormat="1" ht="48.75" customHeight="1">
      <c r="A34" s="343"/>
      <c r="B34" s="478"/>
      <c r="C34" s="294" t="s">
        <v>696</v>
      </c>
      <c r="D34" s="468">
        <f>35000+67000</f>
        <v>102000</v>
      </c>
      <c r="E34" s="3"/>
    </row>
    <row r="35" spans="1:5" s="50" customFormat="1" ht="30.75" customHeight="1">
      <c r="A35" s="343"/>
      <c r="B35" s="478"/>
      <c r="C35" s="294" t="s">
        <v>697</v>
      </c>
      <c r="D35" s="468">
        <v>60000</v>
      </c>
      <c r="E35" s="3"/>
    </row>
    <row r="36" spans="1:5" s="50" customFormat="1" ht="27.75" customHeight="1">
      <c r="A36" s="343"/>
      <c r="B36" s="478"/>
      <c r="C36" s="294" t="s">
        <v>698</v>
      </c>
      <c r="D36" s="468">
        <v>101000</v>
      </c>
      <c r="E36" s="3"/>
    </row>
    <row r="37" spans="1:5" s="50" customFormat="1" ht="31.5" customHeight="1">
      <c r="A37" s="343"/>
      <c r="B37" s="478"/>
      <c r="C37" s="294" t="s">
        <v>699</v>
      </c>
      <c r="D37" s="468">
        <v>90000</v>
      </c>
      <c r="E37" s="3"/>
    </row>
    <row r="38" spans="1:5" s="50" customFormat="1" ht="25.5" customHeight="1">
      <c r="A38" s="343"/>
      <c r="B38" s="478"/>
      <c r="C38" s="294" t="s">
        <v>700</v>
      </c>
      <c r="D38" s="468">
        <v>25000</v>
      </c>
      <c r="E38" s="3"/>
    </row>
    <row r="39" spans="1:5" s="50" customFormat="1" ht="23.25" customHeight="1">
      <c r="A39" s="343"/>
      <c r="B39" s="478"/>
      <c r="C39" s="479" t="s">
        <v>701</v>
      </c>
      <c r="D39" s="480">
        <v>6000</v>
      </c>
      <c r="E39" s="3"/>
    </row>
    <row r="40" spans="1:6" s="50" customFormat="1" ht="21" customHeight="1">
      <c r="A40" s="371">
        <v>852</v>
      </c>
      <c r="B40" s="481" t="s">
        <v>637</v>
      </c>
      <c r="C40" s="475"/>
      <c r="D40" s="482">
        <f>SUM(D41:D43)</f>
        <v>1485000</v>
      </c>
      <c r="E40" s="3"/>
      <c r="F40" s="3"/>
    </row>
    <row r="41" spans="1:6" s="50" customFormat="1" ht="27" customHeight="1">
      <c r="A41" s="483"/>
      <c r="B41" s="481"/>
      <c r="C41" s="484" t="s">
        <v>702</v>
      </c>
      <c r="D41" s="468">
        <v>1200000</v>
      </c>
      <c r="E41" s="3"/>
      <c r="F41" s="3"/>
    </row>
    <row r="42" spans="1:6" s="50" customFormat="1" ht="26.25" customHeight="1">
      <c r="A42" s="350"/>
      <c r="B42" s="485"/>
      <c r="C42" s="486" t="s">
        <v>703</v>
      </c>
      <c r="D42" s="468">
        <f>200000</f>
        <v>200000</v>
      </c>
      <c r="E42" s="3"/>
      <c r="F42" s="3"/>
    </row>
    <row r="43" spans="1:6" s="50" customFormat="1" ht="32.25" customHeight="1">
      <c r="A43" s="350"/>
      <c r="B43" s="485"/>
      <c r="C43" s="486" t="s">
        <v>704</v>
      </c>
      <c r="D43" s="468">
        <v>85000</v>
      </c>
      <c r="E43" s="3"/>
      <c r="F43" s="3"/>
    </row>
    <row r="44" spans="1:6" s="50" customFormat="1" ht="39" customHeight="1">
      <c r="A44" s="279">
        <v>853</v>
      </c>
      <c r="B44" s="487" t="s">
        <v>534</v>
      </c>
      <c r="C44" s="488"/>
      <c r="D44" s="465">
        <f>SUM(D45:D49)</f>
        <v>2073304.07</v>
      </c>
      <c r="E44" s="3"/>
      <c r="F44" s="3"/>
    </row>
    <row r="45" spans="1:6" s="50" customFormat="1" ht="28.5" customHeight="1">
      <c r="A45" s="350"/>
      <c r="B45" s="485"/>
      <c r="C45" s="488" t="s">
        <v>705</v>
      </c>
      <c r="D45" s="468">
        <v>168000</v>
      </c>
      <c r="E45" s="3"/>
      <c r="F45" s="3"/>
    </row>
    <row r="46" spans="1:6" s="50" customFormat="1" ht="36" customHeight="1">
      <c r="A46" s="350"/>
      <c r="B46" s="485"/>
      <c r="C46" s="486" t="s">
        <v>706</v>
      </c>
      <c r="D46" s="468">
        <v>9000</v>
      </c>
      <c r="E46" s="3"/>
      <c r="F46" s="3"/>
    </row>
    <row r="47" spans="1:6" s="50" customFormat="1" ht="40.5" customHeight="1">
      <c r="A47" s="350"/>
      <c r="B47" s="485"/>
      <c r="C47" s="486" t="s">
        <v>707</v>
      </c>
      <c r="D47" s="468">
        <f>1360000+240000</f>
        <v>1600000</v>
      </c>
      <c r="E47" s="3"/>
      <c r="F47" s="3"/>
    </row>
    <row r="48" spans="1:6" s="50" customFormat="1" ht="40.5" customHeight="1">
      <c r="A48" s="350"/>
      <c r="B48" s="485"/>
      <c r="C48" s="486" t="s">
        <v>708</v>
      </c>
      <c r="D48" s="468">
        <v>221000</v>
      </c>
      <c r="E48" s="3"/>
      <c r="F48" s="3"/>
    </row>
    <row r="49" spans="1:5" s="50" customFormat="1" ht="42.75" customHeight="1">
      <c r="A49" s="350"/>
      <c r="B49" s="485"/>
      <c r="C49" s="486" t="s">
        <v>709</v>
      </c>
      <c r="D49" s="541">
        <f>58174.85+10266.15+5833.61+1029.46</f>
        <v>75304.07</v>
      </c>
      <c r="E49" s="3"/>
    </row>
    <row r="50" spans="1:5" s="50" customFormat="1" ht="37.5" customHeight="1">
      <c r="A50" s="371">
        <v>900</v>
      </c>
      <c r="B50" s="489" t="s">
        <v>710</v>
      </c>
      <c r="C50" s="490"/>
      <c r="D50" s="454">
        <f>SUM(D51:D53)</f>
        <v>450000</v>
      </c>
      <c r="E50" s="3"/>
    </row>
    <row r="51" spans="1:5" s="50" customFormat="1" ht="62.25" customHeight="1">
      <c r="A51" s="391"/>
      <c r="B51" s="491"/>
      <c r="C51" s="492" t="s">
        <v>711</v>
      </c>
      <c r="D51" s="468">
        <v>270000</v>
      </c>
      <c r="E51" s="3"/>
    </row>
    <row r="52" spans="1:5" s="496" customFormat="1" ht="42.75" customHeight="1">
      <c r="A52" s="376"/>
      <c r="B52" s="493"/>
      <c r="C52" s="494" t="s">
        <v>712</v>
      </c>
      <c r="D52" s="495">
        <v>30000</v>
      </c>
      <c r="E52" s="466"/>
    </row>
    <row r="53" spans="1:5" s="50" customFormat="1" ht="37.5" customHeight="1">
      <c r="A53" s="497"/>
      <c r="B53" s="498"/>
      <c r="C53" s="494" t="s">
        <v>713</v>
      </c>
      <c r="D53" s="541">
        <f>50000+100000</f>
        <v>150000</v>
      </c>
      <c r="E53" s="3"/>
    </row>
    <row r="54" spans="1:5" s="50" customFormat="1" ht="39" customHeight="1">
      <c r="A54" s="279">
        <v>921</v>
      </c>
      <c r="B54" s="499" t="s">
        <v>714</v>
      </c>
      <c r="C54" s="487"/>
      <c r="D54" s="454">
        <f>SUM(D55:D57)</f>
        <v>173000</v>
      </c>
      <c r="E54" s="3"/>
    </row>
    <row r="55" spans="1:5" s="50" customFormat="1" ht="31.5" customHeight="1">
      <c r="A55" s="376"/>
      <c r="B55" s="493"/>
      <c r="C55" s="500" t="s">
        <v>715</v>
      </c>
      <c r="D55" s="541">
        <f>60000+40000</f>
        <v>100000</v>
      </c>
      <c r="E55" s="3"/>
    </row>
    <row r="56" spans="1:5" s="50" customFormat="1" ht="31.5" customHeight="1">
      <c r="A56" s="376"/>
      <c r="B56" s="493"/>
      <c r="C56" s="830" t="s">
        <v>100</v>
      </c>
      <c r="D56" s="541">
        <v>45000</v>
      </c>
      <c r="E56" s="3"/>
    </row>
    <row r="57" spans="1:5" s="50" customFormat="1" ht="28.5" customHeight="1">
      <c r="A57" s="497"/>
      <c r="B57" s="498"/>
      <c r="C57" s="501" t="s">
        <v>716</v>
      </c>
      <c r="D57" s="471">
        <v>28000</v>
      </c>
      <c r="E57" s="3"/>
    </row>
    <row r="58" spans="1:10" s="50" customFormat="1" ht="29.25" customHeight="1">
      <c r="A58" s="311">
        <v>926</v>
      </c>
      <c r="B58" s="502" t="s">
        <v>717</v>
      </c>
      <c r="C58" s="490"/>
      <c r="D58" s="454">
        <f>SUM(D59:D61)</f>
        <v>1821000</v>
      </c>
      <c r="E58" s="3"/>
      <c r="F58" s="393"/>
      <c r="G58" s="393"/>
      <c r="H58" s="393"/>
      <c r="I58" s="393"/>
      <c r="J58" s="393"/>
    </row>
    <row r="59" spans="1:10" s="425" customFormat="1" ht="69.75" customHeight="1">
      <c r="A59" s="391"/>
      <c r="B59" s="242"/>
      <c r="C59" s="501" t="s">
        <v>718</v>
      </c>
      <c r="D59" s="503">
        <v>1700000</v>
      </c>
      <c r="E59" s="3"/>
      <c r="F59" s="504"/>
      <c r="G59" s="504"/>
      <c r="H59" s="504"/>
      <c r="I59" s="504"/>
      <c r="J59" s="504"/>
    </row>
    <row r="60" spans="1:10" s="425" customFormat="1" ht="33" customHeight="1">
      <c r="A60" s="505"/>
      <c r="B60" s="330"/>
      <c r="C60" s="506" t="s">
        <v>719</v>
      </c>
      <c r="D60" s="503">
        <f>115000-19000</f>
        <v>96000</v>
      </c>
      <c r="E60" s="3"/>
      <c r="F60" s="504"/>
      <c r="G60" s="504"/>
      <c r="H60" s="504"/>
      <c r="I60" s="504"/>
      <c r="J60" s="504"/>
    </row>
    <row r="61" spans="1:10" s="50" customFormat="1" ht="33.75" customHeight="1">
      <c r="A61" s="505"/>
      <c r="B61" s="330"/>
      <c r="C61" s="501" t="s">
        <v>720</v>
      </c>
      <c r="D61" s="468">
        <v>25000</v>
      </c>
      <c r="E61" s="3"/>
      <c r="F61" s="450"/>
      <c r="G61" s="426"/>
      <c r="H61" s="393"/>
      <c r="I61" s="393"/>
      <c r="J61" s="393"/>
    </row>
    <row r="62" spans="1:10" s="50" customFormat="1" ht="30" customHeight="1">
      <c r="A62" s="507" t="s">
        <v>721</v>
      </c>
      <c r="B62" s="508"/>
      <c r="C62" s="509"/>
      <c r="D62" s="482">
        <f>D63+D86</f>
        <v>11076223</v>
      </c>
      <c r="E62" s="3"/>
      <c r="F62" s="510"/>
      <c r="G62" s="426"/>
      <c r="H62" s="393"/>
      <c r="I62" s="393"/>
      <c r="J62" s="393"/>
    </row>
    <row r="63" spans="1:10" s="50" customFormat="1" ht="27" customHeight="1">
      <c r="A63" s="511" t="s">
        <v>676</v>
      </c>
      <c r="B63" s="512"/>
      <c r="C63" s="513"/>
      <c r="D63" s="514">
        <f>D64+D82+D84</f>
        <v>9786223</v>
      </c>
      <c r="E63" s="3"/>
      <c r="F63" s="426"/>
      <c r="G63" s="426"/>
      <c r="H63" s="393"/>
      <c r="I63" s="393"/>
      <c r="J63" s="393"/>
    </row>
    <row r="64" spans="1:10" s="50" customFormat="1" ht="19.5" customHeight="1">
      <c r="A64" s="462">
        <v>801</v>
      </c>
      <c r="B64" s="515" t="s">
        <v>492</v>
      </c>
      <c r="C64" s="294"/>
      <c r="D64" s="465">
        <f>SUM(D65:D81)</f>
        <v>8128118</v>
      </c>
      <c r="E64" s="3"/>
      <c r="F64" s="393"/>
      <c r="G64" s="426"/>
      <c r="H64" s="393"/>
      <c r="I64" s="393"/>
      <c r="J64" s="393"/>
    </row>
    <row r="65" spans="1:10" s="50" customFormat="1" ht="30" customHeight="1">
      <c r="A65" s="516"/>
      <c r="B65" s="346"/>
      <c r="C65" s="517" t="s">
        <v>722</v>
      </c>
      <c r="D65" s="471">
        <f>460000+956468</f>
        <v>1416468</v>
      </c>
      <c r="E65" s="3"/>
      <c r="F65" s="393"/>
      <c r="G65" s="393"/>
      <c r="H65" s="393"/>
      <c r="I65" s="393"/>
      <c r="J65" s="393"/>
    </row>
    <row r="66" spans="1:10" s="50" customFormat="1" ht="26.25" customHeight="1">
      <c r="A66" s="518"/>
      <c r="B66" s="340"/>
      <c r="C66" s="294" t="s">
        <v>723</v>
      </c>
      <c r="D66" s="471">
        <f>200000+400000-183350</f>
        <v>416650</v>
      </c>
      <c r="E66" s="3"/>
      <c r="F66" s="393"/>
      <c r="G66" s="393"/>
      <c r="H66" s="393"/>
      <c r="I66" s="393"/>
      <c r="J66" s="393"/>
    </row>
    <row r="67" spans="1:10" s="50" customFormat="1" ht="25.5" customHeight="1">
      <c r="A67" s="518"/>
      <c r="B67" s="340"/>
      <c r="C67" s="517" t="s">
        <v>724</v>
      </c>
      <c r="D67" s="471">
        <f>400000</f>
        <v>400000</v>
      </c>
      <c r="E67" s="3"/>
      <c r="F67" s="393"/>
      <c r="G67" s="393"/>
      <c r="H67" s="393"/>
      <c r="I67" s="393"/>
      <c r="J67" s="393"/>
    </row>
    <row r="68" spans="1:10" s="50" customFormat="1" ht="25.5" customHeight="1">
      <c r="A68" s="518"/>
      <c r="B68" s="340"/>
      <c r="C68" s="519" t="s">
        <v>725</v>
      </c>
      <c r="D68" s="471">
        <v>670000</v>
      </c>
      <c r="E68" s="3"/>
      <c r="F68" s="393"/>
      <c r="G68" s="393"/>
      <c r="H68" s="393"/>
      <c r="I68" s="393"/>
      <c r="J68" s="393"/>
    </row>
    <row r="69" spans="1:10" s="50" customFormat="1" ht="25.5" customHeight="1">
      <c r="A69" s="518"/>
      <c r="B69" s="340"/>
      <c r="C69" s="519" t="s">
        <v>678</v>
      </c>
      <c r="D69" s="471">
        <f>350000+175000+300000</f>
        <v>825000</v>
      </c>
      <c r="E69" s="3"/>
      <c r="F69" s="393"/>
      <c r="G69" s="393"/>
      <c r="H69" s="393"/>
      <c r="I69" s="393"/>
      <c r="J69" s="393"/>
    </row>
    <row r="70" spans="1:10" s="50" customFormat="1" ht="29.25" customHeight="1">
      <c r="A70" s="518"/>
      <c r="B70" s="340"/>
      <c r="C70" s="519" t="s">
        <v>726</v>
      </c>
      <c r="D70" s="471">
        <f>700000+200000</f>
        <v>900000</v>
      </c>
      <c r="E70" s="3"/>
      <c r="F70" s="393"/>
      <c r="G70" s="393"/>
      <c r="H70" s="393"/>
      <c r="I70" s="393"/>
      <c r="J70" s="393"/>
    </row>
    <row r="71" spans="1:10" s="50" customFormat="1" ht="24.75" customHeight="1">
      <c r="A71" s="518"/>
      <c r="B71" s="340"/>
      <c r="C71" s="520" t="s">
        <v>727</v>
      </c>
      <c r="D71" s="471">
        <f>350000+800000</f>
        <v>1150000</v>
      </c>
      <c r="E71" s="3"/>
      <c r="F71" s="393"/>
      <c r="G71" s="393"/>
      <c r="H71" s="393"/>
      <c r="I71" s="393"/>
      <c r="J71" s="393"/>
    </row>
    <row r="72" spans="1:10" s="50" customFormat="1" ht="30.75" customHeight="1">
      <c r="A72" s="518"/>
      <c r="B72" s="340"/>
      <c r="C72" s="519" t="s">
        <v>728</v>
      </c>
      <c r="D72" s="471">
        <v>170000</v>
      </c>
      <c r="E72" s="3"/>
      <c r="F72" s="393"/>
      <c r="G72" s="393"/>
      <c r="H72" s="393"/>
      <c r="I72" s="393"/>
      <c r="J72" s="393"/>
    </row>
    <row r="73" spans="1:10" s="50" customFormat="1" ht="23.25" customHeight="1">
      <c r="A73" s="518"/>
      <c r="B73" s="340"/>
      <c r="C73" s="520" t="s">
        <v>729</v>
      </c>
      <c r="D73" s="471">
        <f>200000+500000</f>
        <v>700000</v>
      </c>
      <c r="E73" s="3"/>
      <c r="F73" s="393"/>
      <c r="G73" s="393"/>
      <c r="H73" s="393"/>
      <c r="I73" s="393"/>
      <c r="J73" s="393"/>
    </row>
    <row r="74" spans="1:10" s="50" customFormat="1" ht="27" customHeight="1">
      <c r="A74" s="518"/>
      <c r="B74" s="340"/>
      <c r="C74" s="520" t="s">
        <v>730</v>
      </c>
      <c r="D74" s="471">
        <f>70000+100000</f>
        <v>170000</v>
      </c>
      <c r="E74" s="3"/>
      <c r="F74" s="393"/>
      <c r="G74" s="393"/>
      <c r="H74" s="393"/>
      <c r="I74" s="393"/>
      <c r="J74" s="393"/>
    </row>
    <row r="75" spans="1:10" s="50" customFormat="1" ht="23.25" customHeight="1">
      <c r="A75" s="518"/>
      <c r="B75" s="340"/>
      <c r="C75" s="520" t="s">
        <v>731</v>
      </c>
      <c r="D75" s="471">
        <f>20000+60000</f>
        <v>80000</v>
      </c>
      <c r="E75" s="3"/>
      <c r="F75" s="393"/>
      <c r="G75" s="393"/>
      <c r="H75" s="393"/>
      <c r="I75" s="393"/>
      <c r="J75" s="393"/>
    </row>
    <row r="76" spans="1:10" s="50" customFormat="1" ht="24" customHeight="1">
      <c r="A76" s="518"/>
      <c r="B76" s="340"/>
      <c r="C76" s="520" t="s">
        <v>732</v>
      </c>
      <c r="D76" s="471">
        <v>100000</v>
      </c>
      <c r="E76" s="3"/>
      <c r="F76" s="393"/>
      <c r="G76" s="393"/>
      <c r="H76" s="393"/>
      <c r="I76" s="393"/>
      <c r="J76" s="393"/>
    </row>
    <row r="77" spans="1:10" s="50" customFormat="1" ht="27" customHeight="1">
      <c r="A77" s="518"/>
      <c r="B77" s="340"/>
      <c r="C77" s="520" t="s">
        <v>733</v>
      </c>
      <c r="D77" s="471">
        <f>50000</f>
        <v>50000</v>
      </c>
      <c r="E77" s="3"/>
      <c r="F77" s="393"/>
      <c r="G77" s="393"/>
      <c r="H77" s="393"/>
      <c r="I77" s="393"/>
      <c r="J77" s="393"/>
    </row>
    <row r="78" spans="1:10" s="50" customFormat="1" ht="24.75" customHeight="1">
      <c r="A78" s="518"/>
      <c r="B78" s="340"/>
      <c r="C78" s="519" t="s">
        <v>734</v>
      </c>
      <c r="D78" s="471">
        <f>50000+50000</f>
        <v>100000</v>
      </c>
      <c r="E78" s="3"/>
      <c r="F78" s="393"/>
      <c r="G78" s="393"/>
      <c r="H78" s="393"/>
      <c r="I78" s="393"/>
      <c r="J78" s="393"/>
    </row>
    <row r="79" spans="1:10" s="50" customFormat="1" ht="28.5" customHeight="1">
      <c r="A79" s="518"/>
      <c r="B79" s="340"/>
      <c r="C79" s="519" t="s">
        <v>735</v>
      </c>
      <c r="D79" s="495">
        <f>130000</f>
        <v>130000</v>
      </c>
      <c r="E79" s="3"/>
      <c r="F79" s="393"/>
      <c r="G79" s="393"/>
      <c r="H79" s="393"/>
      <c r="I79" s="393"/>
      <c r="J79" s="393"/>
    </row>
    <row r="80" spans="1:10" s="50" customFormat="1" ht="24.75" customHeight="1">
      <c r="A80" s="518"/>
      <c r="B80" s="340"/>
      <c r="C80" s="521" t="s">
        <v>736</v>
      </c>
      <c r="D80" s="468">
        <v>600000</v>
      </c>
      <c r="E80" s="3"/>
      <c r="F80" s="393"/>
      <c r="G80" s="393"/>
      <c r="H80" s="393"/>
      <c r="I80" s="393"/>
      <c r="J80" s="393"/>
    </row>
    <row r="81" spans="1:10" s="50" customFormat="1" ht="28.5" customHeight="1">
      <c r="A81" s="522"/>
      <c r="B81" s="523"/>
      <c r="C81" s="519" t="s">
        <v>737</v>
      </c>
      <c r="D81" s="524">
        <v>250000</v>
      </c>
      <c r="E81" s="3"/>
      <c r="F81" s="393"/>
      <c r="G81" s="393"/>
      <c r="H81" s="393"/>
      <c r="I81" s="393"/>
      <c r="J81" s="393"/>
    </row>
    <row r="82" spans="1:10" s="50" customFormat="1" ht="37.5" customHeight="1">
      <c r="A82" s="371">
        <v>853</v>
      </c>
      <c r="B82" s="515" t="s">
        <v>534</v>
      </c>
      <c r="C82" s="506"/>
      <c r="D82" s="454">
        <f>SUM(D83:D83)</f>
        <v>308105</v>
      </c>
      <c r="E82" s="3"/>
      <c r="F82" s="393"/>
      <c r="G82" s="393"/>
      <c r="H82" s="393"/>
      <c r="I82" s="393"/>
      <c r="J82" s="393"/>
    </row>
    <row r="83" spans="1:10" s="224" customFormat="1" ht="36" customHeight="1">
      <c r="A83" s="483"/>
      <c r="B83" s="515"/>
      <c r="C83" s="525" t="s">
        <v>738</v>
      </c>
      <c r="D83" s="495">
        <v>308105</v>
      </c>
      <c r="E83" s="3"/>
      <c r="F83" s="526"/>
      <c r="G83" s="526"/>
      <c r="H83" s="526"/>
      <c r="I83" s="526"/>
      <c r="J83" s="526"/>
    </row>
    <row r="84" spans="1:10" s="50" customFormat="1" ht="33.75" customHeight="1">
      <c r="A84" s="527">
        <v>854</v>
      </c>
      <c r="B84" s="463" t="s">
        <v>739</v>
      </c>
      <c r="C84" s="294"/>
      <c r="D84" s="528">
        <f>D85</f>
        <v>1350000</v>
      </c>
      <c r="E84" s="466"/>
      <c r="F84" s="426"/>
      <c r="G84" s="393"/>
      <c r="H84" s="393"/>
      <c r="I84" s="393"/>
      <c r="J84" s="393"/>
    </row>
    <row r="85" spans="1:10" s="50" customFormat="1" ht="37.5" customHeight="1">
      <c r="A85" s="529"/>
      <c r="B85" s="530"/>
      <c r="C85" s="294" t="s">
        <v>740</v>
      </c>
      <c r="D85" s="468">
        <v>1350000</v>
      </c>
      <c r="E85" s="3"/>
      <c r="F85" s="393"/>
      <c r="G85" s="393"/>
      <c r="H85" s="393"/>
      <c r="I85" s="393"/>
      <c r="J85" s="393"/>
    </row>
    <row r="86" spans="1:10" s="50" customFormat="1" ht="26.25" customHeight="1">
      <c r="A86" s="456" t="s">
        <v>691</v>
      </c>
      <c r="B86" s="531"/>
      <c r="C86" s="532"/>
      <c r="D86" s="533">
        <f>D87+D90+D92</f>
        <v>1290000</v>
      </c>
      <c r="E86" s="3"/>
      <c r="F86" s="393"/>
      <c r="G86" s="393"/>
      <c r="H86" s="393"/>
      <c r="I86" s="393"/>
      <c r="J86" s="393"/>
    </row>
    <row r="87" spans="1:10" s="50" customFormat="1" ht="28.5" customHeight="1">
      <c r="A87" s="343">
        <v>630</v>
      </c>
      <c r="B87" s="534" t="s">
        <v>741</v>
      </c>
      <c r="C87" s="517" t="s">
        <v>352</v>
      </c>
      <c r="D87" s="454">
        <f>SUM(D88:D89)</f>
        <v>90000</v>
      </c>
      <c r="E87" s="3"/>
      <c r="F87" s="393"/>
      <c r="G87" s="393"/>
      <c r="H87" s="393"/>
      <c r="I87" s="393"/>
      <c r="J87" s="393"/>
    </row>
    <row r="88" spans="1:10" s="50" customFormat="1" ht="35.25" customHeight="1">
      <c r="A88" s="483"/>
      <c r="B88" s="535"/>
      <c r="C88" s="536" t="s">
        <v>742</v>
      </c>
      <c r="D88" s="495">
        <f>30000+30000</f>
        <v>60000</v>
      </c>
      <c r="E88" s="3"/>
      <c r="F88" s="426"/>
      <c r="G88" s="393"/>
      <c r="H88" s="393"/>
      <c r="I88" s="393"/>
      <c r="J88" s="393"/>
    </row>
    <row r="89" spans="1:10" s="50" customFormat="1" ht="30" customHeight="1">
      <c r="A89" s="376"/>
      <c r="B89" s="537"/>
      <c r="C89" s="492" t="s">
        <v>743</v>
      </c>
      <c r="D89" s="468">
        <v>30000</v>
      </c>
      <c r="E89" s="3"/>
      <c r="F89" s="393"/>
      <c r="G89" s="393"/>
      <c r="H89" s="393"/>
      <c r="I89" s="393"/>
      <c r="J89" s="393"/>
    </row>
    <row r="90" spans="1:10" s="50" customFormat="1" ht="26.25" customHeight="1">
      <c r="A90" s="279">
        <v>852</v>
      </c>
      <c r="B90" s="538" t="s">
        <v>637</v>
      </c>
      <c r="C90" s="506"/>
      <c r="D90" s="454">
        <f>SUM(D91:D91)</f>
        <v>200000</v>
      </c>
      <c r="E90" s="3"/>
      <c r="F90" s="393"/>
      <c r="G90" s="393"/>
      <c r="H90" s="393"/>
      <c r="I90" s="393"/>
      <c r="J90" s="393"/>
    </row>
    <row r="91" spans="1:5" s="50" customFormat="1" ht="29.25" customHeight="1">
      <c r="A91" s="330"/>
      <c r="B91" s="330"/>
      <c r="C91" s="525" t="s">
        <v>0</v>
      </c>
      <c r="D91" s="468">
        <v>200000</v>
      </c>
      <c r="E91" s="461"/>
    </row>
    <row r="92" spans="1:5" s="50" customFormat="1" ht="32.25" customHeight="1">
      <c r="A92" s="371">
        <v>853</v>
      </c>
      <c r="B92" s="515" t="s">
        <v>534</v>
      </c>
      <c r="C92" s="525"/>
      <c r="D92" s="465">
        <f>D93</f>
        <v>1000000</v>
      </c>
      <c r="E92" s="461"/>
    </row>
    <row r="93" spans="1:6" s="50" customFormat="1" ht="33.75" customHeight="1">
      <c r="A93" s="539"/>
      <c r="B93" s="539"/>
      <c r="C93" s="525" t="s">
        <v>1</v>
      </c>
      <c r="D93" s="468">
        <v>1000000</v>
      </c>
      <c r="E93" s="461"/>
      <c r="F93" s="450"/>
    </row>
    <row r="94" spans="1:6" s="50" customFormat="1" ht="29.25" customHeight="1">
      <c r="A94" s="923" t="s">
        <v>2</v>
      </c>
      <c r="B94" s="924"/>
      <c r="C94" s="925"/>
      <c r="D94" s="540">
        <f>D13+D62</f>
        <v>20080685.07</v>
      </c>
      <c r="E94" s="461"/>
      <c r="F94" s="455"/>
    </row>
    <row r="95" spans="3:6" s="50" customFormat="1" ht="12.75">
      <c r="C95" s="221"/>
      <c r="E95" s="461"/>
      <c r="F95" s="3"/>
    </row>
    <row r="96" spans="3:5" s="50" customFormat="1" ht="12.75">
      <c r="C96" s="221"/>
      <c r="E96" s="3"/>
    </row>
    <row r="97" spans="3:5" s="50" customFormat="1" ht="12.75">
      <c r="C97" s="221"/>
      <c r="E97" s="3"/>
    </row>
    <row r="98" spans="3:5" s="50" customFormat="1" ht="12.75">
      <c r="C98" s="221"/>
      <c r="E98" s="3"/>
    </row>
    <row r="99" spans="3:5" s="50" customFormat="1" ht="12.75">
      <c r="C99" s="221"/>
      <c r="E99" s="3"/>
    </row>
    <row r="100" spans="3:5" s="50" customFormat="1" ht="12.75">
      <c r="C100" s="221"/>
      <c r="E100" s="3"/>
    </row>
    <row r="101" spans="3:5" s="50" customFormat="1" ht="12.75">
      <c r="C101" s="221"/>
      <c r="E101" s="3"/>
    </row>
    <row r="102" spans="3:5" s="50" customFormat="1" ht="12.75">
      <c r="C102" s="221"/>
      <c r="E102" s="3"/>
    </row>
    <row r="103" spans="3:5" s="50" customFormat="1" ht="12.75">
      <c r="C103" s="221"/>
      <c r="E103" s="3"/>
    </row>
    <row r="104" spans="3:5" s="50" customFormat="1" ht="12.75">
      <c r="C104" s="221"/>
      <c r="E104" s="3"/>
    </row>
    <row r="105" spans="3:5" s="50" customFormat="1" ht="12.75">
      <c r="C105" s="221"/>
      <c r="E105" s="3"/>
    </row>
    <row r="106" spans="3:5" s="50" customFormat="1" ht="12.75">
      <c r="C106" s="221"/>
      <c r="E106" s="3"/>
    </row>
    <row r="107" spans="3:5" s="50" customFormat="1" ht="12.75">
      <c r="C107" s="221"/>
      <c r="E107" s="3"/>
    </row>
    <row r="108" spans="3:5" s="50" customFormat="1" ht="12.75">
      <c r="C108" s="221"/>
      <c r="E108" s="3"/>
    </row>
    <row r="109" spans="3:5" s="50" customFormat="1" ht="12.75">
      <c r="C109" s="221"/>
      <c r="E109" s="3"/>
    </row>
    <row r="110" spans="3:5" s="50" customFormat="1" ht="12.75">
      <c r="C110" s="221"/>
      <c r="E110" s="3"/>
    </row>
    <row r="111" spans="3:5" s="50" customFormat="1" ht="12.75">
      <c r="C111" s="221"/>
      <c r="E111" s="3"/>
    </row>
    <row r="112" spans="3:5" s="50" customFormat="1" ht="12.75">
      <c r="C112" s="221"/>
      <c r="E112" s="3"/>
    </row>
  </sheetData>
  <sheetProtection/>
  <mergeCells count="1">
    <mergeCell ref="A94:C94"/>
  </mergeCells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5.421875" style="2" customWidth="1"/>
    <col min="2" max="2" width="30.7109375" style="2" customWidth="1"/>
    <col min="3" max="3" width="33.57421875" style="2" customWidth="1"/>
    <col min="4" max="4" width="19.7109375" style="2" customWidth="1"/>
    <col min="5" max="5" width="17.8515625" style="4" customWidth="1"/>
    <col min="6" max="6" width="24.7109375" style="2" customWidth="1"/>
    <col min="7" max="7" width="9.140625" style="2" customWidth="1"/>
    <col min="8" max="8" width="8.8515625" style="2" customWidth="1"/>
    <col min="9" max="16384" width="9.140625" style="2" customWidth="1"/>
  </cols>
  <sheetData>
    <row r="1" spans="3:6" ht="19.5" customHeight="1">
      <c r="C1" s="788" t="s">
        <v>94</v>
      </c>
      <c r="F1" s="788"/>
    </row>
    <row r="2" spans="3:6" ht="23.25" customHeight="1">
      <c r="C2" s="580" t="s">
        <v>313</v>
      </c>
      <c r="F2" s="580"/>
    </row>
    <row r="3" spans="3:6" ht="21.75" customHeight="1">
      <c r="C3" s="580" t="s">
        <v>399</v>
      </c>
      <c r="F3" s="580"/>
    </row>
    <row r="4" spans="3:6" ht="21" customHeight="1">
      <c r="C4" s="580" t="s">
        <v>95</v>
      </c>
      <c r="F4" s="580"/>
    </row>
    <row r="5" spans="3:6" ht="21" customHeight="1">
      <c r="C5" s="580"/>
      <c r="F5" s="580"/>
    </row>
    <row r="6" ht="18" customHeight="1">
      <c r="C6" s="789"/>
    </row>
    <row r="7" spans="1:5" s="26" customFormat="1" ht="17.25" customHeight="1">
      <c r="A7" s="444" t="s">
        <v>81</v>
      </c>
      <c r="B7" s="444"/>
      <c r="C7" s="790"/>
      <c r="D7" s="2"/>
      <c r="E7" s="791"/>
    </row>
    <row r="8" spans="1:5" s="26" customFormat="1" ht="17.25" customHeight="1">
      <c r="A8" s="444" t="s">
        <v>82</v>
      </c>
      <c r="B8" s="444"/>
      <c r="C8" s="790"/>
      <c r="D8" s="2"/>
      <c r="E8" s="791"/>
    </row>
    <row r="9" spans="1:3" ht="17.25" customHeight="1">
      <c r="A9" s="444" t="s">
        <v>83</v>
      </c>
      <c r="B9" s="444"/>
      <c r="C9" s="790"/>
    </row>
    <row r="10" spans="1:3" ht="17.25" customHeight="1">
      <c r="A10" s="444"/>
      <c r="B10" s="444"/>
      <c r="C10" s="790"/>
    </row>
    <row r="11" spans="1:2" ht="13.5">
      <c r="A11" s="116" t="s">
        <v>352</v>
      </c>
      <c r="B11" s="446"/>
    </row>
    <row r="12" spans="3:4" ht="11.25" customHeight="1">
      <c r="C12" s="792"/>
      <c r="D12" s="793" t="s">
        <v>409</v>
      </c>
    </row>
    <row r="13" spans="1:4" ht="29.25" customHeight="1">
      <c r="A13" s="307" t="s">
        <v>412</v>
      </c>
      <c r="B13" s="307" t="s">
        <v>672</v>
      </c>
      <c r="C13" s="307" t="s">
        <v>673</v>
      </c>
      <c r="D13" s="449" t="s">
        <v>674</v>
      </c>
    </row>
    <row r="14" spans="1:4" ht="24" customHeight="1">
      <c r="A14" s="507" t="s">
        <v>675</v>
      </c>
      <c r="B14" s="794"/>
      <c r="C14" s="795"/>
      <c r="D14" s="796">
        <f>D15+D19+D22</f>
        <v>15992992.22</v>
      </c>
    </row>
    <row r="15" spans="1:5" s="703" customFormat="1" ht="24" customHeight="1">
      <c r="A15" s="511" t="s">
        <v>84</v>
      </c>
      <c r="B15" s="797"/>
      <c r="C15" s="798"/>
      <c r="D15" s="799">
        <f>D16</f>
        <v>4885000</v>
      </c>
      <c r="E15" s="86"/>
    </row>
    <row r="16" spans="1:6" ht="37.5" customHeight="1">
      <c r="A16" s="800">
        <v>921</v>
      </c>
      <c r="B16" s="489" t="s">
        <v>714</v>
      </c>
      <c r="C16" s="801"/>
      <c r="D16" s="796">
        <f>D17+D18</f>
        <v>4885000</v>
      </c>
      <c r="F16" s="802"/>
    </row>
    <row r="17" spans="1:6" ht="22.5" customHeight="1">
      <c r="A17" s="803"/>
      <c r="B17" s="804"/>
      <c r="C17" s="805" t="s">
        <v>85</v>
      </c>
      <c r="D17" s="541">
        <f>3496900+10000+15000</f>
        <v>3521900</v>
      </c>
      <c r="F17" s="802"/>
    </row>
    <row r="18" spans="1:6" ht="22.5" customHeight="1">
      <c r="A18" s="782"/>
      <c r="B18" s="783"/>
      <c r="C18" s="805" t="s">
        <v>86</v>
      </c>
      <c r="D18" s="776">
        <f>1253100+50000+60000</f>
        <v>1363100</v>
      </c>
      <c r="F18" s="802"/>
    </row>
    <row r="19" spans="1:6" ht="29.25" customHeight="1">
      <c r="A19" s="511" t="s">
        <v>87</v>
      </c>
      <c r="B19" s="784"/>
      <c r="C19" s="805"/>
      <c r="D19" s="799">
        <f>D20</f>
        <v>10995992.22</v>
      </c>
      <c r="F19" s="802"/>
    </row>
    <row r="20" spans="1:6" ht="27" customHeight="1">
      <c r="A20" s="806">
        <v>600</v>
      </c>
      <c r="B20" s="538" t="s">
        <v>422</v>
      </c>
      <c r="C20" s="805"/>
      <c r="D20" s="796">
        <f>D21</f>
        <v>10995992.22</v>
      </c>
      <c r="F20" s="802"/>
    </row>
    <row r="21" spans="1:6" ht="30.75" customHeight="1">
      <c r="A21" s="807"/>
      <c r="B21" s="808"/>
      <c r="C21" s="492" t="s">
        <v>88</v>
      </c>
      <c r="D21" s="471">
        <v>10995992.22</v>
      </c>
      <c r="F21" s="802"/>
    </row>
    <row r="22" spans="1:6" ht="29.25" customHeight="1">
      <c r="A22" s="456" t="s">
        <v>691</v>
      </c>
      <c r="B22" s="809"/>
      <c r="C22" s="801"/>
      <c r="D22" s="799">
        <f>D23+D25</f>
        <v>112000</v>
      </c>
      <c r="F22" s="802"/>
    </row>
    <row r="23" spans="1:6" ht="29.25" customHeight="1">
      <c r="A23" s="279">
        <v>851</v>
      </c>
      <c r="B23" s="829" t="s">
        <v>529</v>
      </c>
      <c r="C23" s="826"/>
      <c r="D23" s="796">
        <f>D24</f>
        <v>100000</v>
      </c>
      <c r="F23" s="802"/>
    </row>
    <row r="24" spans="1:6" ht="57.75" customHeight="1">
      <c r="A24" s="827"/>
      <c r="B24" s="826"/>
      <c r="C24" s="506" t="s">
        <v>98</v>
      </c>
      <c r="D24" s="828">
        <v>100000</v>
      </c>
      <c r="F24" s="802"/>
    </row>
    <row r="25" spans="1:6" ht="34.5" customHeight="1">
      <c r="A25" s="343">
        <v>900</v>
      </c>
      <c r="B25" s="810" t="s">
        <v>89</v>
      </c>
      <c r="C25" s="805"/>
      <c r="D25" s="678">
        <f>D26</f>
        <v>12000</v>
      </c>
      <c r="F25" s="802"/>
    </row>
    <row r="26" spans="1:10" ht="42.75" customHeight="1">
      <c r="A26" s="803"/>
      <c r="B26" s="811"/>
      <c r="C26" s="437" t="s">
        <v>712</v>
      </c>
      <c r="D26" s="503">
        <v>12000</v>
      </c>
      <c r="E26" s="1"/>
      <c r="F26" s="63"/>
      <c r="G26" s="63"/>
      <c r="H26" s="63"/>
      <c r="I26" s="63"/>
      <c r="J26" s="63"/>
    </row>
    <row r="27" spans="1:10" ht="30.75" customHeight="1">
      <c r="A27" s="507" t="s">
        <v>721</v>
      </c>
      <c r="B27" s="812"/>
      <c r="C27" s="813"/>
      <c r="D27" s="482">
        <f>D28+D31</f>
        <v>4725000</v>
      </c>
      <c r="E27" s="814"/>
      <c r="F27" s="63"/>
      <c r="G27" s="63"/>
      <c r="H27" s="63"/>
      <c r="I27" s="63"/>
      <c r="J27" s="63"/>
    </row>
    <row r="28" spans="1:10" ht="33" customHeight="1">
      <c r="A28" s="815" t="s">
        <v>84</v>
      </c>
      <c r="B28" s="816"/>
      <c r="C28" s="817"/>
      <c r="D28" s="818">
        <f>D29</f>
        <v>2610000</v>
      </c>
      <c r="E28" s="814"/>
      <c r="F28" s="63"/>
      <c r="G28" s="63"/>
      <c r="H28" s="63"/>
      <c r="I28" s="63"/>
      <c r="J28" s="63"/>
    </row>
    <row r="29" spans="1:5" ht="33.75" customHeight="1">
      <c r="A29" s="806">
        <v>921</v>
      </c>
      <c r="B29" s="489" t="s">
        <v>714</v>
      </c>
      <c r="C29" s="509"/>
      <c r="D29" s="819">
        <f>D30</f>
        <v>2610000</v>
      </c>
      <c r="E29" s="86"/>
    </row>
    <row r="30" spans="1:5" ht="26.25" customHeight="1">
      <c r="A30" s="820"/>
      <c r="B30" s="490"/>
      <c r="C30" s="492" t="s">
        <v>90</v>
      </c>
      <c r="D30" s="468">
        <v>2610000</v>
      </c>
      <c r="E30" s="73"/>
    </row>
    <row r="31" spans="1:5" ht="30.75" customHeight="1">
      <c r="A31" s="456" t="s">
        <v>691</v>
      </c>
      <c r="B31" s="821"/>
      <c r="C31" s="492"/>
      <c r="D31" s="533">
        <f>D32+D35</f>
        <v>2115000</v>
      </c>
      <c r="E31" s="73"/>
    </row>
    <row r="32" spans="1:5" ht="21" customHeight="1">
      <c r="A32" s="811">
        <v>852</v>
      </c>
      <c r="B32" s="535" t="s">
        <v>637</v>
      </c>
      <c r="C32" s="506"/>
      <c r="D32" s="454">
        <f>D33+D34</f>
        <v>965000</v>
      </c>
      <c r="E32" s="73"/>
    </row>
    <row r="33" spans="1:5" ht="39.75" customHeight="1">
      <c r="A33" s="804"/>
      <c r="B33" s="822"/>
      <c r="C33" s="525" t="s">
        <v>91</v>
      </c>
      <c r="D33" s="468">
        <v>558000</v>
      </c>
      <c r="E33" s="73"/>
    </row>
    <row r="34" spans="1:5" ht="36">
      <c r="A34" s="783"/>
      <c r="B34" s="823"/>
      <c r="C34" s="525" t="s">
        <v>92</v>
      </c>
      <c r="D34" s="468">
        <v>407000</v>
      </c>
      <c r="E34" s="1"/>
    </row>
    <row r="35" spans="1:5" ht="30" customHeight="1">
      <c r="A35" s="824">
        <v>853</v>
      </c>
      <c r="B35" s="825" t="s">
        <v>534</v>
      </c>
      <c r="C35" s="525"/>
      <c r="D35" s="454">
        <f>D36</f>
        <v>1150000</v>
      </c>
      <c r="E35" s="1"/>
    </row>
    <row r="36" spans="1:5" ht="30.75" customHeight="1">
      <c r="A36" s="826"/>
      <c r="B36" s="358"/>
      <c r="C36" s="525" t="s">
        <v>93</v>
      </c>
      <c r="D36" s="468">
        <v>1150000</v>
      </c>
      <c r="E36" s="1"/>
    </row>
    <row r="37" spans="1:5" ht="27.75" customHeight="1">
      <c r="A37" s="926" t="s">
        <v>2</v>
      </c>
      <c r="B37" s="927"/>
      <c r="C37" s="925"/>
      <c r="D37" s="540">
        <f>D14+D27</f>
        <v>20717992.22</v>
      </c>
      <c r="E37" s="1"/>
    </row>
    <row r="38" spans="4:5" ht="15.75">
      <c r="D38" s="1"/>
      <c r="E38" s="1"/>
    </row>
    <row r="39" ht="15.75">
      <c r="D39" s="1"/>
    </row>
    <row r="40" ht="12.75">
      <c r="D40" s="4"/>
    </row>
    <row r="41" ht="12.75">
      <c r="D41" s="4"/>
    </row>
    <row r="42" ht="12.75">
      <c r="D42" s="4"/>
    </row>
    <row r="43" ht="12.75">
      <c r="D43" s="4"/>
    </row>
    <row r="44" ht="12.75">
      <c r="D44" s="4"/>
    </row>
    <row r="45" ht="12.75">
      <c r="D45" s="4"/>
    </row>
  </sheetData>
  <sheetProtection/>
  <mergeCells count="1">
    <mergeCell ref="A37:C37"/>
  </mergeCells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17.8515625" style="0" customWidth="1"/>
    <col min="2" max="2" width="20.140625" style="0" customWidth="1"/>
    <col min="3" max="3" width="23.140625" style="0" customWidth="1"/>
    <col min="4" max="4" width="17.00390625" style="0" customWidth="1"/>
    <col min="5" max="5" width="12.7109375" style="0" customWidth="1"/>
    <col min="6" max="6" width="16.28125" style="427" customWidth="1"/>
    <col min="7" max="7" width="14.28125" style="0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IKawalkiewicz</dc:creator>
  <cp:keywords/>
  <dc:description/>
  <cp:lastModifiedBy>UM Konin</cp:lastModifiedBy>
  <cp:lastPrinted>2013-04-17T11:58:26Z</cp:lastPrinted>
  <dcterms:created xsi:type="dcterms:W3CDTF">2009-03-04T08:33:11Z</dcterms:created>
  <dcterms:modified xsi:type="dcterms:W3CDTF">2013-04-17T12:19:57Z</dcterms:modified>
  <cp:category/>
  <cp:version/>
  <cp:contentType/>
  <cp:contentStatus/>
</cp:coreProperties>
</file>