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470" windowHeight="7650" tabRatio="601" activeTab="0"/>
  </bookViews>
  <sheets>
    <sheet name="Tabela nr 1" sheetId="1" r:id="rId1"/>
    <sheet name="Tabela nr 2" sheetId="2" r:id="rId2"/>
    <sheet name="Tabela nr 3" sheetId="3" r:id="rId3"/>
    <sheet name="Tabela nr 4" sheetId="4" r:id="rId4"/>
    <sheet name="Tabela nr 5" sheetId="5" r:id="rId5"/>
    <sheet name="Tabela nr 6" sheetId="6" r:id="rId6"/>
    <sheet name="Tabela nr 7" sheetId="7" r:id="rId7"/>
    <sheet name="Tabela nr 8" sheetId="8" r:id="rId8"/>
    <sheet name="Tabela nr 9" sheetId="9" r:id="rId9"/>
    <sheet name="Tabela nr 10" sheetId="10" r:id="rId10"/>
    <sheet name="Tabela nr 11" sheetId="11" r:id="rId11"/>
    <sheet name="Tabela nr 12" sheetId="12" r:id="rId12"/>
    <sheet name="Oświata " sheetId="13" r:id="rId13"/>
    <sheet name="Wolny" sheetId="14" r:id="rId14"/>
  </sheets>
  <definedNames>
    <definedName name="_xlnm.Print_Titles" localSheetId="12">'Oświata '!$5:$6</definedName>
    <definedName name="_xlnm.Print_Titles" localSheetId="0">'Tabela nr 1'!$9:$11</definedName>
    <definedName name="_xlnm.Print_Titles" localSheetId="9">'Tabela nr 10'!$9:$9</definedName>
    <definedName name="_xlnm.Print_Titles" localSheetId="11">'Tabela nr 12'!$5:$7</definedName>
    <definedName name="_xlnm.Print_Titles" localSheetId="1">'Tabela nr 2'!$8:$10</definedName>
    <definedName name="_xlnm.Print_Titles" localSheetId="2">'Tabela nr 3'!$9:$11</definedName>
    <definedName name="_xlnm.Print_Titles" localSheetId="3">'Tabela nr 4'!$10:$10</definedName>
    <definedName name="_xlnm.Print_Titles" localSheetId="4">'Tabela nr 5'!$12:$12</definedName>
    <definedName name="_xlnm.Print_Titles" localSheetId="8">'Tabela nr 9'!$10:$10</definedName>
  </definedNames>
  <calcPr fullCalcOnLoad="1"/>
</workbook>
</file>

<file path=xl/sharedStrings.xml><?xml version="1.0" encoding="utf-8"?>
<sst xmlns="http://schemas.openxmlformats.org/spreadsheetml/2006/main" count="3065" uniqueCount="986">
  <si>
    <t xml:space="preserve">Wniesienie wkładu pieniężnego na budowę kanalizacji sanitarnej i wodociągu w ul. Regionalnej
</t>
  </si>
  <si>
    <t>wybudowano kanalizację sanitarną i wodociąg  w ramach wniesionego wkładu pieniężnego do PWiK na realizację zadania</t>
  </si>
  <si>
    <t xml:space="preserve">Wniesienie wkładu pieniężnego na opracowanie dokumentacji projektowej na budowę kanalizacji sanitarnej i wodociągu w rejonie  ul. Gajowej
</t>
  </si>
  <si>
    <t>środki w wysokości 108.700,00 zł przeniesiono na wydatki niewygasające</t>
  </si>
  <si>
    <t>Wniesienie wkładu pieniężnego na kapitał zakładowy spółki Geotermia Konin Spółka z o.o. w Koninie</t>
  </si>
  <si>
    <t>wniesiono wkład pieniężny na kapitał zakładowy spółki</t>
  </si>
  <si>
    <t>Dokumentacja projektowa na budowę kanalizacji deszczowej  w rejonie ul. Gajowej</t>
  </si>
  <si>
    <t>zawarto umowę na opracowanie dokumentacji projektowej</t>
  </si>
  <si>
    <t>środki w wysokości 50.000,00 zł przeniesiono na wydatki niewygasające</t>
  </si>
  <si>
    <t>Odwodnienie terenu przyległego do boisk ORLIK 2012 przy Gimnazjum Nr 3 na os. Chorzeń</t>
  </si>
  <si>
    <t>wykonano odwodnienie terenu w rejonie boisk ORLIK 2012 na os. Chorzeń</t>
  </si>
  <si>
    <t>Wykonanie przejścia dla osób niepełnosprawnych łączącego Centrum miasta z osiedlem Zatorze (tunel PKP)</t>
  </si>
  <si>
    <t xml:space="preserve">zakupiono oraz zamontowano dwie platformy dla osób niepełnosprawnych  </t>
  </si>
  <si>
    <t>Przygotowanie terenów inwestycyjnych w obrębie Konin - Międzylesie</t>
  </si>
  <si>
    <t>zrealizowano I etap prac studyjno-koncepcyjnych, trwają prace przygotowawcze do przetargu na II etap - opracowanie dokumentacji projektowo-kosztorysowej</t>
  </si>
  <si>
    <t>2011/2013</t>
  </si>
  <si>
    <t>Budowa przyłączy kanalizacyjnych i przyłączenie nieruchomości do miejskiej sieci kanalizacyjnej</t>
  </si>
  <si>
    <t>przekazano dotacje celowe na budowę przyłączy kanalizacyjnych i przyłączenie 153 nieruchomości  do miejskiej sieci kanalizacyjnej</t>
  </si>
  <si>
    <t>Modernizacja drzwi zewnetrznych do budynku KDK - zakup z montażem urządzeń  antypanicznych</t>
  </si>
  <si>
    <t>przekazano dotację na modernizację drzwi oraz na zakup i montaż urządzeń antypanicznych</t>
  </si>
  <si>
    <t>Zakup komputera do montażu i kamery HD</t>
  </si>
  <si>
    <t>przekazano dotację na zakup komputera do montażu i kamery HD</t>
  </si>
  <si>
    <t>Dotacja celowa  do Samorządu Województwa Wielkopolskiego   na zakup ekranu multimedialnego  do Muzeum Okręgowego w Koninie</t>
  </si>
  <si>
    <t xml:space="preserve">przekazano dotację celową  na zakup ekranu multimedialnego </t>
  </si>
  <si>
    <t>Opracowanie dokumentacji projektowej na  wykonanie piłkochwytów przyboisku ORLIK 2012 przy Gimnazjum nr 3 na os. Chorzeń"</t>
  </si>
  <si>
    <t>Budowa kompleksu boisk sportowych na Osiedlu Wilków w ramach programu "MOJE BOISKO-ORLIK 2012"</t>
  </si>
  <si>
    <t xml:space="preserve">wybudowano kompleks boisk sportowych </t>
  </si>
  <si>
    <t xml:space="preserve">Instytucje kultury fizycznej </t>
  </si>
  <si>
    <t>Wykonanie pomostu pływającego na Bulwarach Nadwarciańskich</t>
  </si>
  <si>
    <t>wykonano pomost pływający</t>
  </si>
  <si>
    <t>Zakup i montaż monitoringu na boisku osiedlowym Orlik - Wilków</t>
  </si>
  <si>
    <t>zakupiono i zamontowano monitoring</t>
  </si>
  <si>
    <t>Zaprojektowanie i wykonanie hali namiotowej do pokrycia kortu tenisowego przy ul. Paderewskiego</t>
  </si>
  <si>
    <t>zaprojektowano i częściowo wykonanano halę namiotową do pokrycia kortu tenisowego przy ul. Paderewskiego</t>
  </si>
  <si>
    <t>środki w wysokości 113.652,00 zł przeniesiono na wydatki niewygasające</t>
  </si>
  <si>
    <t>RAZEM POWIAT</t>
  </si>
  <si>
    <t>Dokumentacje przyszłościowe na budowę i przebudowę ulic wraz z obiektami inżynierskimi</t>
  </si>
  <si>
    <t>opracowano dokumentacje projektowe dotyczące Trasy Warszawskiej</t>
  </si>
  <si>
    <t>środki w wysokości 303.810,00 zł przeniesiono na wydatki niewygasające</t>
  </si>
  <si>
    <t>Przebudowa skrzyżowania ulic: Jana Pawła II - Wyzwolenia - Popiełuszki</t>
  </si>
  <si>
    <t xml:space="preserve">wykonano dwa ronda turbinowe, dwie jezdnie dwu-pasowe między rondami, chodniki, ścieżki rowerowe, dwie zatoki autobusowe, kanalizację deszczową, oświetlenie uliczne, zieleń z nawodnieniem </t>
  </si>
  <si>
    <t>Przebudowa Wiaduktu Briańskiego wraz ze skrzyżowaniem ulic Kleczewska-Fryderyka Chopina</t>
  </si>
  <si>
    <t>wykonanano roboty rozbiórkowe, część robót mostowych, drogowych, I i II etap kanalizacji deszczowej i część oświetlenia ulicznego na skrzyżowaniu</t>
  </si>
  <si>
    <t>środki w wysokości 12.960.657,73 zł przeniesiono na wydatki niewygasające, 2012-2013</t>
  </si>
  <si>
    <t>Aktualizacja dokumentacji projektowej na II etap nowego przebiegu drogi krajowej Nr 25</t>
  </si>
  <si>
    <t xml:space="preserve">zawarto umowę z wykonawcą,  w dniu 21.12.2012 r. wykonawca odstąpił od umowy </t>
  </si>
  <si>
    <t xml:space="preserve">Wykonanie dokumentacji przyszłościowej na przebudowę obiektu mostowego w ciągu ulicy Bernardynka w Koninie </t>
  </si>
  <si>
    <t>częściowo opracowano dokumentację projektową</t>
  </si>
  <si>
    <t>środki w wysokości 17.822,70 zł przeniesiono na wydatki niewygasające</t>
  </si>
  <si>
    <t>Dokumentacje przyszłościowe</t>
  </si>
  <si>
    <t>częściowo opracowano dokumentacje projektowe w zakresie budowy łącznika ulic Poznańska - Rumiankowa - Zakładowa - Kleczewska oraz przebudowy ulicy Warszawskiej z ulicą Kolską</t>
  </si>
  <si>
    <t>środki w wysokości 119.400,00 zł przeniesiono na wydatki niewygasające</t>
  </si>
  <si>
    <t>Dokumentacja przyszłościowa na przebudowę ulicy Stanisława Staszica</t>
  </si>
  <si>
    <t>Dokumentacja przyszłościowa na przebudowę ulicy Romana Dmowskiego</t>
  </si>
  <si>
    <t xml:space="preserve">Przebudowa Wiaduktu Briańskiego wraz ze skrzyżowaniami
 ulic Kleczewska- Aleje 1 Maja-Spółdzielców i Kleczewska-F.Chopina  
</t>
  </si>
  <si>
    <t xml:space="preserve">opracowano dokumentację projektową, uzyskano pozwolenie na budowę </t>
  </si>
  <si>
    <t xml:space="preserve">Dokumentacja projektowa na przebudowę  ulicy Kościuszki </t>
  </si>
  <si>
    <t xml:space="preserve">zakupiono 1 licencję oprogramowania Geo-Info, 2 stanowiiska komputerowe, kserokopiarkę, skaner, drukarkę </t>
  </si>
  <si>
    <t>Komendy powiatowe policji</t>
  </si>
  <si>
    <t xml:space="preserve">Dofinansowanie zakupu  2 samochodów  dla KMP w Koninie </t>
  </si>
  <si>
    <t xml:space="preserve">przekazano dotację na Fundusz Wsparcia  na zakup dwóch samochodów dla KMP w Koninie </t>
  </si>
  <si>
    <t>Zakup ciężkiego samochodu ratowniczo-gaśniczego z możliwością usuwania skutków zanieczyszczeń chemiczno-ekologicznych dla KM PSP w Koninie</t>
  </si>
  <si>
    <t xml:space="preserve">zakupiono ciężki samochód ratowniczo-gaśniczy z możliwością usuwania skutków zanieczyszczeń chemiczno-ekologicznych  dla KM PSP w Koninie </t>
  </si>
  <si>
    <t xml:space="preserve">przekazano dotację na Fundusz Wsparcia na zakup ciężkiego samochodu ratowniczo-gaśniczego z możliwością usuwania skutków zanieczyszczeń chemiczno-ekologicznych  dla KM PSP w Koninie </t>
  </si>
  <si>
    <t>Budowa placu zabaw w ramach programu rządowego "Radosna Szkoła" przy Specjalnym Ośrodku Szkolno -Wychowawczym</t>
  </si>
  <si>
    <t>wybudowano mały plac zabaw</t>
  </si>
  <si>
    <t>Zakup serwera dla ZS im. M. Kopernika</t>
  </si>
  <si>
    <t>zakupiono serwer</t>
  </si>
  <si>
    <t>Licea profilowane</t>
  </si>
  <si>
    <t>Zakup instrumentów muzycznych i umundurowania dla Młodzieżowej Orkiestry Dętej</t>
  </si>
  <si>
    <t>zakupiono instrumenty i umundurowanie</t>
  </si>
  <si>
    <t>Zakup wyposażenia dodatkowych miejsc pracy dla osob niepełnosprawnych Zakładu Aktywności Zawodowej w Posadzie</t>
  </si>
  <si>
    <t>zakupiono wyposażenie dodatkowych miejsc pracy dla osob niepełnosprawnych Zakładu Aktywności Zawodowej w Posadzie</t>
  </si>
  <si>
    <t>Wykonanie na 31 grudnia 2012 roku</t>
  </si>
  <si>
    <t>Odsetki od samorządowych papierów wartościowych lub zaciągniętych przez jednostkę samorządu terytorialnego kredytów i  pożyczek</t>
  </si>
  <si>
    <t>Różne rozliczenia finansowe</t>
  </si>
  <si>
    <t>O840</t>
  </si>
  <si>
    <t>Wpływy ze sprzedaży wyrobów</t>
  </si>
  <si>
    <t>Komisje egzaminacyjne</t>
  </si>
  <si>
    <t>Stołówki szkolne i przedszkolne</t>
  </si>
  <si>
    <t>% wykon.</t>
  </si>
  <si>
    <t>Dochody od osób prawnych, od osób fizycznych i od innych jednostek nieposiadających osobowości prawnej oraz wydatki związane z ich poborem</t>
  </si>
  <si>
    <t>Ochrona zdrowia</t>
  </si>
  <si>
    <t xml:space="preserve"> </t>
  </si>
  <si>
    <t>w złotych</t>
  </si>
  <si>
    <t>Dział</t>
  </si>
  <si>
    <t>Rozdz.</t>
  </si>
  <si>
    <t>Transport i łączność</t>
  </si>
  <si>
    <t>Lokalny transport zbiorowy</t>
  </si>
  <si>
    <t>Gospodarka mieszkaniowa</t>
  </si>
  <si>
    <t>Licea ogólnokształcące</t>
  </si>
  <si>
    <t>Szkoły zawodowe</t>
  </si>
  <si>
    <t>Opłaty na rzecz budżetów jednostek samorządu terytorialnego</t>
  </si>
  <si>
    <t>Szkolenia pracowników niebędących członkami korpusu służby cywilnej</t>
  </si>
  <si>
    <t>Wpłaty jednostek samorządu terytorialnego do budżetu państwa</t>
  </si>
  <si>
    <t>rezerwa  ogólna</t>
  </si>
  <si>
    <t>Wykonanie na 31.12.2012 rok</t>
  </si>
  <si>
    <t>Dotacje celowe otrzymane z gminy na zadania bieżące realizowane na podstawie porozumień (umów) między jednostkami samorządu terytorialnego</t>
  </si>
  <si>
    <t>Dotacje celowe otrzymane z powiatu na zadania bieżące realizowane na podstawie porozumień, (umów)  między jednostkami samorządu terytorialnego</t>
  </si>
  <si>
    <t>Razem zadania gminy</t>
  </si>
  <si>
    <t>Pozostał zadania w zakresie polityki społecznej</t>
  </si>
  <si>
    <t>Kultura i ochrona dziedzictwa narodowego</t>
  </si>
  <si>
    <t xml:space="preserve">POROZUMIEŃ MIĘDZY JEDNOSTKAMI SAMORZĄDU TERYTORIALNEGO </t>
  </si>
  <si>
    <t xml:space="preserve">ZA 2012 ROK-  ZADANIA WŁASNE </t>
  </si>
  <si>
    <t xml:space="preserve">ZADAŃ Z ZAKRESU ADMINISTRACJI RZĄDOWEJ ZA 2012 ROK  </t>
  </si>
  <si>
    <t>Pozostałe zadania   w zakresie polityki społecznej</t>
  </si>
  <si>
    <t xml:space="preserve">      OGÓŁEM </t>
  </si>
  <si>
    <t xml:space="preserve">WYKONANIE DOTACJI DLA PODMIOTÓW ZALICZANYCH DO SEKTORA FINANSÓW </t>
  </si>
  <si>
    <t>PUBLICZNYCH NA CELE PUBLICZNE ZWIĄZANE Z REALIZACJĄ ZADAŃ MIASTA  ZA 2012 ROK</t>
  </si>
  <si>
    <t>Wyszczególnienie</t>
  </si>
  <si>
    <t xml:space="preserve">Określenie zadań </t>
  </si>
  <si>
    <t>Plan na 2012 rok</t>
  </si>
  <si>
    <t>Dotacje podmiotowe</t>
  </si>
  <si>
    <t>Koniński Dom Kultury</t>
  </si>
  <si>
    <t>Młodzieżowy Dom Kultury</t>
  </si>
  <si>
    <t>Dotacje przedmiotowe</t>
  </si>
  <si>
    <t>do kosztów utrzymania zbiorowej komunikacji miejskiej</t>
  </si>
  <si>
    <t>Dotacje celowe</t>
  </si>
  <si>
    <t>Dotacja celowa na zakupy inwestycyjne dla WSZ w Koninie (zakup zestawu do ćwiczeń siłowych dla Oddziału Leczenia Uzależnień)</t>
  </si>
  <si>
    <t>Dotacja celowa dla WSZ w Koninie na dofinansowanie zakupu mikroskopu typu OLYMPUS dla potrzeb Pododdziału Hematologii Oddziału Onkologicznego</t>
  </si>
  <si>
    <t>Dotacja celowa dla WSZ w Koninie na zakup zestawów komputerowych dla Zakładu Diagnostyki</t>
  </si>
  <si>
    <t>Gospodarka komunalna  i ochrona środowiska</t>
  </si>
  <si>
    <t xml:space="preserve">usuwanie wyrobów zawierających azbest z nieruchomości położonych na terenie miasta Konina </t>
  </si>
  <si>
    <t>na współorganizację: koncertów z cyklu ,,Muzyka w Ratuszu, Prezydent zaprasza" (KDK)</t>
  </si>
  <si>
    <t>na współorganizację Finału WOŚP (KDK)</t>
  </si>
  <si>
    <t>na współorganizację: Spotkanie pod gwiazdami (sylwester) (KDK)</t>
  </si>
  <si>
    <t>na zakup komputera do montażu i kamery HD (KDK)</t>
  </si>
  <si>
    <t>Modernizacja drzwi zewnętrznych do budynku KDK - zakup z montażem urządzeń antypanicznych (KDK)</t>
  </si>
  <si>
    <t>dotacja celowa do Samorządu Województwa Wielkopolskiego na zakup ekranu multimedialnego do Muzeum Okregowego w Koninie</t>
  </si>
  <si>
    <t xml:space="preserve">Razem zadania powiatu </t>
  </si>
  <si>
    <t>Miejska Biblioteka Publiczna</t>
  </si>
  <si>
    <t>koszty utrzymania dzieci  z miasta Konina umieszczonych w placówkach opiekuńczych na terenie kraju</t>
  </si>
  <si>
    <t>koszty utrzymania dzieci  z miasta Konina umieszczonych w rodzinach zastępczych na terenie kraju</t>
  </si>
  <si>
    <t>prowadzenie działalności Powiatowego Urzędu Pracy</t>
  </si>
  <si>
    <t>TABELA nr  10</t>
  </si>
  <si>
    <t xml:space="preserve">WYKONANIE DOTACJI DLA PODMIOTÓW NIE ZALICZANYCH DO SEKTORA FINANSÓW </t>
  </si>
  <si>
    <t xml:space="preserve">PUBLICZNYCH NA CELE PUBLICZNE ZWIĄZANE Z REALIZACJĄ ZADAŃ MIASTA  </t>
  </si>
  <si>
    <t>ZA 2012 ROK</t>
  </si>
  <si>
    <t xml:space="preserve">Dotacje podmiotowe </t>
  </si>
  <si>
    <t>Prywatna Szkoła Podstawowa Zespół Edukacji Wiedza</t>
  </si>
  <si>
    <t xml:space="preserve">Centrum Szkoleniowe „WIEDZA” </t>
  </si>
  <si>
    <t xml:space="preserve">KCE Prywatne Gimnazjum    </t>
  </si>
  <si>
    <t xml:space="preserve">Gimnazjum Towarzystwa Salezjańskiego </t>
  </si>
  <si>
    <t>Gimnazjum Edukacji Innowacyjnej</t>
  </si>
  <si>
    <t xml:space="preserve">Punkt przedszkolny „Bajkowa kraina”  </t>
  </si>
  <si>
    <t xml:space="preserve">Przedszkole „Bajkolandia”  </t>
  </si>
  <si>
    <t xml:space="preserve">Punkt przedszkolny „Misiowa kraina”  </t>
  </si>
  <si>
    <t>Punkt przedszkolny "Mały Artysta"</t>
  </si>
  <si>
    <t>Punkt przedszkolny "Akademia Smyka"</t>
  </si>
  <si>
    <t>prowadzenie Punktu Konsultacyjnego dla osób i rodzin dotkniętych problemem narkotykowym</t>
  </si>
  <si>
    <t>dla</t>
  </si>
  <si>
    <t>Stowarzyszenia MONAR</t>
  </si>
  <si>
    <t>prowadzenie świetlic środowiskowych z dożywianiem</t>
  </si>
  <si>
    <t>Towarzystwa Przyjaciół Dzieci (2 świetlice)</t>
  </si>
  <si>
    <t>Polskiego Czerwonego Krzyża (2 świetlice)</t>
  </si>
  <si>
    <t>Towarzystwa Inicjatyw Obywatelskich</t>
  </si>
  <si>
    <t>Stowarzyszenia "Teraz Młodzież"</t>
  </si>
  <si>
    <t>Konińskiego Stowarzyszenia Abstynentów "Szansa"</t>
  </si>
  <si>
    <t>Towarzystwa Walki z Kalectwem</t>
  </si>
  <si>
    <t>Stowarzyszenia Aktywności Lokalnej "Młodzi - Aktywni"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</si>
  <si>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</si>
  <si>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</si>
  <si>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Stowarzyszenie Integracji Społecznej "Razem"</t>
  </si>
  <si>
    <t>organizacja półkolonii letnich i zimowych z programem profilaktycznym, z dożywianiem i zajęciami sportowymi dla dzieci z rodzin dysfunkcyjnych</t>
  </si>
  <si>
    <t>Towarzystwa Przyjaciół Dzieci (2 półkolonie zimowe)</t>
  </si>
  <si>
    <t>Towarzystwa Inicjatyw Obywatelskich                (2 półkolonie zimowe)</t>
  </si>
  <si>
    <t>Stowarzyszenia Aktywności Lokalnej "Młodzi - Aktywni" (półkolonie zimowe)</t>
  </si>
  <si>
    <t>Towarzystwa Walki z Kalectwem  (półkolonie zimowe)</t>
  </si>
  <si>
    <t>Towarzystwa Przyjaciół Dzieci (2 półkolonie letnie)</t>
  </si>
  <si>
    <t>Towarzystwa Inicjatyw Obywatelskich                (2 półkolonie letnie)</t>
  </si>
  <si>
    <t>Stowarzyszenia Aktywności Lokalnej "Młodzi - Aktywni" (półkolonie letnie)</t>
  </si>
  <si>
    <t>Towarzystwa Walki z Kalectwem  (półkolonie letnie)</t>
  </si>
  <si>
    <t>organizacja imprez przedświątecznych połączonych z oddziaływaniem profilaktycznym dla dzieci i młodzieży z rodzin dysfunkcyjnych</t>
  </si>
  <si>
    <t>Stowarzyszenie Aktywności Lokalnej "Młodzi Aktywni"</t>
  </si>
  <si>
    <t>pomoc żywnościowa dla rodzin dysfunkcyjnych</t>
  </si>
  <si>
    <t>Związek Stowarzyszeń Bank Żywności w Koninie</t>
  </si>
  <si>
    <t>olimpiada wiedzy nt. uzależnień</t>
  </si>
  <si>
    <t>świadczenie usług opiekuńczych w domu podopiecznego na terenie miasta Konina</t>
  </si>
  <si>
    <t>Oddziału Rejonowego Polskiego Czerwonego Krzyża</t>
  </si>
  <si>
    <t>prowadzenie noclegowni i schroniska dla bezdomnych</t>
  </si>
  <si>
    <t>Oddziału Rejonowego Polskiego Czerwonego Krzyża w Koninie</t>
  </si>
  <si>
    <t>prowadzenie Ośrodka Rehabilitacyjno-Edukacyjno-Wychowawczego i Punktu Rehabilitacyjnego w Koninie</t>
  </si>
  <si>
    <t>Ośrodka Rehabilitacyjno-Edukacyjno-Wychowawczego Polskiego Stowarzyszenia na rzecz Osób z Upośledzeniem Umysłowym</t>
  </si>
  <si>
    <t>dotacja celowa dla prywatnych żłobków</t>
  </si>
  <si>
    <t>dotacja celowa dla klubów dziecięcych</t>
  </si>
  <si>
    <t>"Dobry pomysł na firmę" wspomagamy przesiębiorczość w Koninie - w ramach programu POKL (dotacja celowa)</t>
  </si>
  <si>
    <t xml:space="preserve">„PI  Wsparcie rozwoju narzędzi związanych z kontraktowaniem usług społecznych w Koninie” w ramach programu POKL (dotacja celowa)  </t>
  </si>
  <si>
    <t>Liceum Policyjne Centrum Szkoleniowe Wiedza - wyprawka szkolna</t>
  </si>
  <si>
    <t>Liceum Ogólnokształcące Konińskie Centrum Edukacyjne - wyprawka szkolna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</si>
  <si>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</si>
  <si>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</si>
  <si>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>budowa przyłączy kanalizacyjnych i przyłączenie nieruchomości do miejskiej sieci kanalizacyjnej</t>
  </si>
  <si>
    <t>remont ołtarzy bocznych w kościele pw. św. Marii Magdaleny w Klasztorze oo Franciszkanów w Koninie</t>
  </si>
  <si>
    <t>remont okien i witraży w kościele pw. św. Andrzeja Apostoła w Koninie-Gosławicach</t>
  </si>
  <si>
    <t>remont ołtarza głównego w kościele pw. św. Bartłomieja w Koninie</t>
  </si>
  <si>
    <t>organizacja imprez kulturalnych dla mieszkańców m. Konina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</si>
  <si>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</si>
  <si>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</t>
  </si>
  <si>
    <t>Koniński Klub Szermierczy</t>
  </si>
  <si>
    <t>Konińskie Ludowe Towarzystwo Cyklistów</t>
  </si>
  <si>
    <t>Koniński Klub Piłkarstwa Kobiecego "Medyk"</t>
  </si>
  <si>
    <t>Klub Sportowy "Avans Górnik"</t>
  </si>
  <si>
    <t>MKS MOS - koszykówka kobiet i mężczyzn</t>
  </si>
  <si>
    <t>Klub Bokserski "Zagłębie" Konin - pięściarstwo</t>
  </si>
  <si>
    <t>Cukrowniczy Klub Sportowy "Sparta"</t>
  </si>
  <si>
    <t>Uczniowski Klub Sportowy  "Smecz"</t>
  </si>
  <si>
    <t>Koniński Klub Tenisowy</t>
  </si>
  <si>
    <t>Stow. Sportu, Rekreacji i Rehabilitacji "Start"</t>
  </si>
  <si>
    <t>Konińskie Towarzystwo Piłki Siatkowej</t>
  </si>
  <si>
    <t>Aeroklub Koniński</t>
  </si>
  <si>
    <t>COPACABANA Konin</t>
  </si>
  <si>
    <t>UKS "Górnik" - judo</t>
  </si>
  <si>
    <t>organizacja imprez sportowo-rekreacyjnych dla mieszkańców Konina</t>
  </si>
  <si>
    <t>Ognisko TKKF "Korty"</t>
  </si>
  <si>
    <t>Zarząd Konińskiego TKKF</t>
  </si>
  <si>
    <t>UKS "Smecz" - tenis stołowy</t>
  </si>
  <si>
    <t>Copacabana</t>
  </si>
  <si>
    <t>Koniński Okręgowy Związek Źeglarski</t>
  </si>
  <si>
    <t>KKS Centrum</t>
  </si>
  <si>
    <t>Regionalny Klub Karate Kyokushin</t>
  </si>
  <si>
    <t>Ognisko TKKF "Starówka"</t>
  </si>
  <si>
    <t>Fundacja im. Piotra Janaszka "Podaj Dalej"</t>
  </si>
  <si>
    <t>Klub Biegacza "Aktywni Konin"</t>
  </si>
  <si>
    <t>organizacja imprez sportowo-rekreacyjnych dla osób niepełnosprawnych</t>
  </si>
  <si>
    <t>Oddział Regionalny Olimpiady Specjalne Polska</t>
  </si>
  <si>
    <t>Koniński Klub Amazonki</t>
  </si>
  <si>
    <t>Fundacja "Podaj dalej" - turniej koszykówki</t>
  </si>
  <si>
    <t>Centrum Nauki i Biznesu „Żak</t>
  </si>
  <si>
    <t>Europejskie Centrum Kształcenia "PASCAL"</t>
  </si>
  <si>
    <t xml:space="preserve">Zespół Edukacji „WIEDZA”    </t>
  </si>
  <si>
    <t xml:space="preserve">Technikum Uzupełniające Michał Lewandowski  </t>
  </si>
  <si>
    <t>Zakład Doskonalenia Zawodowego Centrum Kształcenia</t>
  </si>
  <si>
    <t xml:space="preserve">COSINUS     </t>
  </si>
  <si>
    <t>Niepubliczne Policealne Studium Zawodowe Michał Lewandowski</t>
  </si>
  <si>
    <t xml:space="preserve">AP EDUKACJA            </t>
  </si>
  <si>
    <t xml:space="preserve">Elitarne Studium Służb Ochrony „DELTA”  </t>
  </si>
  <si>
    <t xml:space="preserve">  Liceum Ogólnokształcące w Konińskim Centrum Edukacyjnym</t>
  </si>
  <si>
    <t>Liceum Ogólnokształcące dla Dorosłych Michał Lewandowski</t>
  </si>
  <si>
    <t>prowadzenie warsztatów terapii zajęciowej, rehabilitacja zawodowa i społeczna</t>
  </si>
  <si>
    <t>Towarzystwa Przyjaciół Dzieci</t>
  </si>
  <si>
    <t xml:space="preserve">Polskiego Stowarzyszenia na Rzecz Osób z Upośledzeniem Umysłowym </t>
  </si>
  <si>
    <t>Stowarzyszenie na Rzecz Pomocy Osobom Chorym Psychicznie</t>
  </si>
  <si>
    <t>Funadcji Mielnica</t>
  </si>
  <si>
    <t>promocja turystyczna miasta Konina oraz udzielanie o nim informacji turystycznej</t>
  </si>
  <si>
    <t>LOT MARINA</t>
  </si>
  <si>
    <t>wspieranie organizacji imprez turystycznych dla mieszkańców Konina, utrzymanie szlaków turystycznych w mieście</t>
  </si>
  <si>
    <t>PTTK O/Konin</t>
  </si>
  <si>
    <t>zapewnienie bezpieczeństwa osobom przebywającym nad wodami w Koninie</t>
  </si>
  <si>
    <t>WOPR Konin</t>
  </si>
  <si>
    <t>prowadzenie Środowiskowych Ognisk Wychowawczych</t>
  </si>
  <si>
    <t>prowadzenie  Świetlic Socjoterapeutycznych</t>
  </si>
  <si>
    <t>prowadzenie placówki opiekuńczo - wychowawczej typu rodzinnego -  Rodzinny Dom Dziecka</t>
  </si>
  <si>
    <t>Stowarzyszenia "Prom"</t>
  </si>
  <si>
    <t xml:space="preserve">    WYKONANIE  PRZYCHODÓW  I  WYDATKÓW SAMORZĄDOWEGO ZAKŁADU BUDŻETOWEGO </t>
  </si>
  <si>
    <t xml:space="preserve">w złotych </t>
  </si>
  <si>
    <t>PLAN</t>
  </si>
  <si>
    <t>W Y K O N A N I E</t>
  </si>
  <si>
    <t>stan środków obrotowych</t>
  </si>
  <si>
    <t xml:space="preserve">w tym: </t>
  </si>
  <si>
    <t>Lp.</t>
  </si>
  <si>
    <t>TREŚĆ</t>
  </si>
  <si>
    <t>na początek okresu</t>
  </si>
  <si>
    <t>PRZYCHODY</t>
  </si>
  <si>
    <t>kwota otrzymanych dotacji z budżetu miasta</t>
  </si>
  <si>
    <t>zakres dotacji</t>
  </si>
  <si>
    <t>WYDATKI</t>
  </si>
  <si>
    <t>wpłata do budżetu</t>
  </si>
  <si>
    <t>na koniec okresu</t>
  </si>
  <si>
    <t>rozdział</t>
  </si>
  <si>
    <t>sprawozdawczego</t>
  </si>
  <si>
    <t xml:space="preserve">  w tym:</t>
  </si>
  <si>
    <t>1.</t>
  </si>
  <si>
    <t>Miejski Zakład Komunikacji</t>
  </si>
  <si>
    <t>a) dotacja przedmiotowa</t>
  </si>
  <si>
    <t>dotacja przedmiotowa do kosztów utrzymania zbiorowej komunikacji miejskiej</t>
  </si>
  <si>
    <t xml:space="preserve">       w tym:</t>
  </si>
  <si>
    <t>porozumienia międzygminne</t>
  </si>
  <si>
    <t>TABELA NR 11</t>
  </si>
  <si>
    <t>Dotacja podmiotowa z budżetu dla niepublicznej  jednostki systemu oświaty</t>
  </si>
  <si>
    <t>Pomoc społeczna</t>
  </si>
  <si>
    <t>Zakup usług obejmujących tłumaczenia</t>
  </si>
  <si>
    <t>Urzędy gmin (miast i miast na prawach powiatu)</t>
  </si>
  <si>
    <t>Urzędy naczelnych organów władzy państwowej, kontroli i ochrony prawa oraz sądownictwa</t>
  </si>
  <si>
    <t xml:space="preserve">Urzędy naczelnych organów władzy państwowej, kontroli i ochrony prawa </t>
  </si>
  <si>
    <t>Kary i odszkodowania wypłacane na rzecz osób prawnych i innych jednostek organizacyjnych</t>
  </si>
  <si>
    <t>Wydatki  inwestycyjne jednostek budżetowych</t>
  </si>
  <si>
    <t xml:space="preserve">Gospodarka gruntami i nieruchomościami   </t>
  </si>
  <si>
    <t xml:space="preserve">Zakup usług pozostałych </t>
  </si>
  <si>
    <t>Różne opłaty i składki</t>
  </si>
  <si>
    <t>Dotacje celowe z budżetu na finansowanie lub dofinansowanie kosztów realizacji inwestycji i zakupów inwestycyjnych innych jednostek sektora finansów publicznych</t>
  </si>
  <si>
    <t>Domy i ośrodki kultury, świetlice i kluby</t>
  </si>
  <si>
    <t>O10</t>
  </si>
  <si>
    <t>Rolnictwo i łowiectwo</t>
  </si>
  <si>
    <t>O1095</t>
  </si>
  <si>
    <t xml:space="preserve">§ </t>
  </si>
  <si>
    <t>NAZWA</t>
  </si>
  <si>
    <t>ogółem</t>
  </si>
  <si>
    <t>zadania z zakresu administracji rządowej</t>
  </si>
  <si>
    <t>Pozostałe odsetki</t>
  </si>
  <si>
    <t>Obrona narodowa</t>
  </si>
  <si>
    <t>Pozostałe wydatki obronne</t>
  </si>
  <si>
    <t>zarządzanie kryzysowe</t>
  </si>
  <si>
    <t>Rehabilitacja zawodowa i społeczna osób niepełnosprawnych</t>
  </si>
  <si>
    <t>Dotacja podmiotowa z budżetu dla jednostek niezaliczanych do sektora finansów publicznych</t>
  </si>
  <si>
    <t>Zarządzanie kryzysowe</t>
  </si>
  <si>
    <t>Izby wytrzeźwień</t>
  </si>
  <si>
    <t>Podatek od nieruchomości</t>
  </si>
  <si>
    <t>Zasiłki i pomoc w naturze oraz składki na ubezpieczenia emerytalne i rentowe</t>
  </si>
  <si>
    <t>Ośrodki pomocy społecznej</t>
  </si>
  <si>
    <t>Edukacyjna opieka wychowawcza</t>
  </si>
  <si>
    <t>Komendy powiatowe Państwowej Straży Pożarnej</t>
  </si>
  <si>
    <t>Pozostałe podatki na rzecz budżetów jednostek samorządu terytorialnego</t>
  </si>
  <si>
    <t>Gospodarka odpadami</t>
  </si>
  <si>
    <t>Utrzymanie zieleni w miastach i gminach</t>
  </si>
  <si>
    <t>Składki na ubezpieczenie zdrowotne oraz świadczenia dla osób nieobjętych obowiązkiem ubezpieczenia zdrowotnego</t>
  </si>
  <si>
    <t>Rodziny zastępcze</t>
  </si>
  <si>
    <t>Powiatowe urzędy pracy</t>
  </si>
  <si>
    <t>Dotacje celowe otrzymane z gminy  na zadania bieżące realizowane na podstawie porozumień (umów) między jednostkami samorządu terytorialnego</t>
  </si>
  <si>
    <t>Grzywny, mandaty i inne kary pieniężne od osób fizycznych</t>
  </si>
  <si>
    <t>Wpływy z podatku dochodowego od osób fizycznych</t>
  </si>
  <si>
    <t>O350</t>
  </si>
  <si>
    <t>Podatek od działalności gospodarczej osób fizycznych, opłacany w  formie karty podatkowej</t>
  </si>
  <si>
    <t>Pomoc  społeczna</t>
  </si>
  <si>
    <t xml:space="preserve">Placówki opiekuńczo-wychowawcze </t>
  </si>
  <si>
    <t>Zespoły do spraw orzekania o niepełnosprawności</t>
  </si>
  <si>
    <t xml:space="preserve">Edukacyjna opieka  wychowawcza  </t>
  </si>
  <si>
    <t>Specjalne  ośrodki szkolno-wychowawcze</t>
  </si>
  <si>
    <t xml:space="preserve">Kultura i ochrona dziedzictwa narodowego  </t>
  </si>
  <si>
    <t>Dotacja podmiotowa z budżetu dla samorządowej instytucji kultury</t>
  </si>
  <si>
    <t>RAZEM zadania powiatu</t>
  </si>
  <si>
    <t>Licea  profilowane</t>
  </si>
  <si>
    <t>Szkoły zawodowe specjalne</t>
  </si>
  <si>
    <t>Centra kształcenia ustawicznego i praktycznego oraz ośrodki dokształcania zawodowego</t>
  </si>
  <si>
    <t>Inne formy kształcenia osobno niewymienione</t>
  </si>
  <si>
    <t>Opłaty za administrowanie i czynsze za budynki,lokale i pomieszczenia garażowe</t>
  </si>
  <si>
    <r>
      <t>Zakup materiałów i wyposażenia</t>
    </r>
    <r>
      <rPr>
        <b/>
        <sz val="9"/>
        <rFont val="Times New Roman"/>
        <family val="1"/>
      </rPr>
      <t xml:space="preserve"> </t>
    </r>
  </si>
  <si>
    <t xml:space="preserve">Domy pomocy społecznej  </t>
  </si>
  <si>
    <t xml:space="preserve">Zakup usług obejmujących wykonanie ekspertyz, analiz i opinii </t>
  </si>
  <si>
    <t xml:space="preserve">Wydatki  inwestycyjne jednostek budżetowych  </t>
  </si>
  <si>
    <t>Zasiłki stałe</t>
  </si>
  <si>
    <r>
      <t xml:space="preserve"> § 952</t>
    </r>
    <r>
      <rPr>
        <sz val="9"/>
        <rFont val="Times New Roman"/>
        <family val="1"/>
      </rPr>
      <t xml:space="preserve">  - Plan przychodów z zaciągniętych pożyczek i kredytów na rynku krajowym</t>
    </r>
  </si>
  <si>
    <r>
      <t xml:space="preserve">§  950- </t>
    </r>
    <r>
      <rPr>
        <sz val="9"/>
        <rFont val="Times New Roman"/>
        <family val="1"/>
      </rPr>
      <t>Wolne środki, o których mowa w art.217 ust. 2 pkt 6 ustawy</t>
    </r>
  </si>
  <si>
    <r>
      <t>§ 992 -</t>
    </r>
    <r>
      <rPr>
        <sz val="9"/>
        <rFont val="Times New Roman"/>
        <family val="1"/>
      </rPr>
      <t xml:space="preserve"> Plan Spłat otrzymanych krajowych pożyczek i kredytów</t>
    </r>
  </si>
  <si>
    <t>Szpitale ogólne</t>
  </si>
  <si>
    <t>Uposażenia żołnierzy zawodowych i nadterminowych oraz funkcjonariuszy</t>
  </si>
  <si>
    <t>Pozostałe należności żołnierzy zawodowych i nadterminowych  oraz funkcjonariuszy</t>
  </si>
  <si>
    <t xml:space="preserve">Wynagrodzenia bezosobowe </t>
  </si>
  <si>
    <t>Lp</t>
  </si>
  <si>
    <t>Nazwa Projektu</t>
  </si>
  <si>
    <t>Realizujący</t>
  </si>
  <si>
    <t>zminy w ciągu roku</t>
  </si>
  <si>
    <t>Wielkość zminay wprowadzona uchwałą/ zarządzeniem</t>
  </si>
  <si>
    <t>Budżet Uchwalony - Uchwała  nr 280 RMK z dnia 20.12.2011r.</t>
  </si>
  <si>
    <t>Zarzadzenie Nr 5/2012 PMK z dnia 12.01.2012r.</t>
  </si>
  <si>
    <t>Uchwała Nr 294 RMK z dnia 25.01.2012r.</t>
  </si>
  <si>
    <t>Zarządzenie Nr 13/2012 RMK z dnia 09.02.2012r.</t>
  </si>
  <si>
    <t>Zarządzenie Nr 15/2012 RMK z dnia 23.02.2012r.</t>
  </si>
  <si>
    <t>Uchwała Nr 308 RMK z dnia 28.02.2012r.</t>
  </si>
  <si>
    <t>Uchwała Nr 331 RMK z dnia 28.03.2012r.</t>
  </si>
  <si>
    <t>Uchwała Nr 347 RMK z dnia 25.04.2012r.</t>
  </si>
  <si>
    <t>Zarządzenie Nr 30/2012 PMK z dnia 27.04.2012r.</t>
  </si>
  <si>
    <t>Uchwała Nr 356 RMK z dnia 23.05.2012r.</t>
  </si>
  <si>
    <t>Zarządzenie Nr 60/2012 PMK z dnia 31.05.2012r.</t>
  </si>
  <si>
    <t>Zarządzenie Nr 68/2012 PMK z dnia 18.06.2012r.</t>
  </si>
  <si>
    <t>Uchwała Nr 382 RMK z dnia 27.06.2012r.</t>
  </si>
  <si>
    <t>Zarządzenie Nr 69/2012 PMK z dnia 29.06.2012r.</t>
  </si>
  <si>
    <t>Zarządzenie Nr 73/2012 PMK z dnia 20.07.2012r.</t>
  </si>
  <si>
    <t>Uchwała Nr 413 RMK z dnia 09.08.2012r.</t>
  </si>
  <si>
    <t>Zarządzenie Nr 84/2012 PMK z dnia 07.09.2012r.</t>
  </si>
  <si>
    <t>Zarządzenie Nr 86/2012 PMK z dnia 21.09.2012r.</t>
  </si>
  <si>
    <t>Uchwała Nr 432 PMK z dnia 26.09.2012r.</t>
  </si>
  <si>
    <t>Zarządzenie Nr 104/2012 PMK z dnia 13.11.2012r.</t>
  </si>
  <si>
    <t>Zarządzenie Nr 107/2012 PMK z dnia 22.11.2012r.</t>
  </si>
  <si>
    <t>Uchwała Nr 475 RMK z dnia 28.11.2012r.</t>
  </si>
  <si>
    <t>Zarządzenie Nr 120/2012 PMK z dnia 06.12.2012r.</t>
  </si>
  <si>
    <t>Uchwała Nr 493 RMK z dnia 19.12.2012r.</t>
  </si>
  <si>
    <t>Zarządzenie Nr 123/2012 PMK z dnia 20.12.2012r.</t>
  </si>
  <si>
    <t>Zarządzenie Nr 125/2012 PMK z dnia 28.12.2012r.</t>
  </si>
  <si>
    <t>część gminna</t>
  </si>
  <si>
    <t>"Wykorzystaj swoją szansę!"</t>
  </si>
  <si>
    <t>po zmianach</t>
  </si>
  <si>
    <t xml:space="preserve">zmniejszenia </t>
  </si>
  <si>
    <t>zwiększenia</t>
  </si>
  <si>
    <t>uwagi</t>
  </si>
  <si>
    <t>wpr.do budżetu</t>
  </si>
  <si>
    <t>"Dobry pomysł na firmę - wspomagamy przedsiębiorczość w Koninie"</t>
  </si>
  <si>
    <t>"PI Wsparcie rozwoju narzędzi związanych z kontraktowaniem usług społecznych w Koninie"</t>
  </si>
  <si>
    <t>"Przedszkole szansą dla Ciebie i Twojego dziecka"</t>
  </si>
  <si>
    <t>P2</t>
  </si>
  <si>
    <t>"Edukacja wczesnoszkolna na dobry początek"</t>
  </si>
  <si>
    <t>"Przygotowanie terenów inwestycyjnych w obrębie Konin- Międzylesie - działania studyjno- koncepcyjne)"</t>
  </si>
  <si>
    <t>"W Bajkowym Ogrodzie"</t>
  </si>
  <si>
    <t>P25</t>
  </si>
  <si>
    <t>RAZEM inweastycyjne</t>
  </si>
  <si>
    <t>"Być jak Herkules"</t>
  </si>
  <si>
    <t>P16</t>
  </si>
  <si>
    <t>"Słoneczne przedszkole- atrakcyjne i dostępne"</t>
  </si>
  <si>
    <t>P13</t>
  </si>
  <si>
    <t>"Bajkowa kraina bez barier"</t>
  </si>
  <si>
    <t>UM/Niepub. Przedszk.</t>
  </si>
  <si>
    <t>"Dokształcanie to twoja szansa"</t>
  </si>
  <si>
    <t>"W drodze do wiedzy"</t>
  </si>
  <si>
    <t>P32</t>
  </si>
  <si>
    <t>"Pierwsze kroki w edukacji"</t>
  </si>
  <si>
    <t>"Jesteś przedsiębiorczy! Zacznij działać już dziś w Koninie'</t>
  </si>
  <si>
    <t>"Nowe możliwości zawodowe - Twoja szansa na konińskim rynku pracy"</t>
  </si>
  <si>
    <t>"Dobre przedszkole na dobry start"</t>
  </si>
  <si>
    <t>P4</t>
  </si>
  <si>
    <t>"Eko dzieci- eko rodzice" Comenius</t>
  </si>
  <si>
    <t>"Klub dziecięcy - mama wraca do pracy""</t>
  </si>
  <si>
    <t>P 32</t>
  </si>
  <si>
    <t>część powiatowa</t>
  </si>
  <si>
    <t>Comenius - Partnerskie Projekty Szkół "Towards a Europen Identity"</t>
  </si>
  <si>
    <t>IL</t>
  </si>
  <si>
    <t>"Podnoszenie kwalifikacji dla kadry pedagogicznej szkół subregionu konińskiego"</t>
  </si>
  <si>
    <t>MODN</t>
  </si>
  <si>
    <t>"Uczeń ZSB- mistrz obsługi konsumenta"</t>
  </si>
  <si>
    <t>ZSB</t>
  </si>
  <si>
    <t>"Startuj z nami w przyszłość"</t>
  </si>
  <si>
    <t>"Wykwalifikowana kadra w Koperniku"</t>
  </si>
  <si>
    <t>ZS im. Kopernika</t>
  </si>
  <si>
    <t>"Zawodowcy z Kopernika"</t>
  </si>
  <si>
    <t>"W poszukiwaniu europejskiej pamięci" Comenius</t>
  </si>
  <si>
    <t>Łączne planowane wydatki:</t>
  </si>
  <si>
    <t xml:space="preserve">*zgdnie z art. 5 ust. 1 pkt 2 i 3  Ustawy z dnia 27 sierpnia 2009r. </t>
  </si>
  <si>
    <t>o finansach publicznych (Dz.U.nr 157 poz. 1240)</t>
  </si>
  <si>
    <t xml:space="preserve">Wydatki na zakup i objęcie akcji, wniesienie wkładów do spółek prawa handlowego oraz  na  uzupełnienie funduszy statutowych banków państwowych i innych instytucji finansowych   </t>
  </si>
  <si>
    <t>Dotacje celowe z budżetu jednostki samorządu terytorialnego, udzielone w trybie art.221 ustawy na finansowanie lub dofinansowanie zadań zleconych do realizacji organizacjom prowadzącym działalność pożytku publicznego</t>
  </si>
  <si>
    <t>Dotacje celowe z budżetu jednostki samorządu terytorialnego, udzielone w trybie art.221 ustawy, na finansowanie lub dofinansowanie zadań zleconych do realizacji organizacjom prowadzącym działalność pożytku publicznego</t>
  </si>
  <si>
    <t>2701</t>
  </si>
  <si>
    <t>Wspierania rodziny</t>
  </si>
  <si>
    <t>6297</t>
  </si>
  <si>
    <t>Środki na dofinansowanie własnych inwestycji gmin (związków gmin) powiatów (związków powiatów), samorządów województw, pozyskane z innych źródeł</t>
  </si>
  <si>
    <t>6260</t>
  </si>
  <si>
    <t>Dotacje celowe otrzymane z państwowych funduszy celowych na finansowanie lub dofinansowanie kosztów realizacji inwestycji i zakupów inwestycyjnych jednostek sektora finansów publicznych</t>
  </si>
  <si>
    <t>Usuwanie skutków klęsk żywiołowych</t>
  </si>
  <si>
    <t>6430</t>
  </si>
  <si>
    <t>Dotacje celowe z budżetu państwa na realizację inwestycji własnych powiatu</t>
  </si>
  <si>
    <t>6300</t>
  </si>
  <si>
    <t>Dotacje celowe otrzymane z tytułu pomocy finansowej udzielanej między jednostkami samorządu yterytorialnego na dofinansowanie własnych zadań inwestycyjnychi zakupów inwestycyjnych</t>
  </si>
  <si>
    <t>Zwrot dotacji oraz płatności, w tym wykorzystanych niezgodnie z przeznaczeniem lub wykorzystanych z naruszeniem procedur, o których mowa w art. 184 ustawy, pobranych nienależnie lub w nadmiernej wysokości</t>
  </si>
  <si>
    <t>MOPR</t>
  </si>
  <si>
    <t xml:space="preserve">    Rozchody</t>
  </si>
  <si>
    <t>Placówki wychowania pozaszkolnego</t>
  </si>
  <si>
    <t>Pomoc materialna dla uczniów</t>
  </si>
  <si>
    <t>Stypendia dla uczniów</t>
  </si>
  <si>
    <t>Podatek od towarów i usług (VAT)</t>
  </si>
  <si>
    <t xml:space="preserve">Instytucje kultury fizycznej  </t>
  </si>
  <si>
    <t>Wynagrodzenia osobowe członków korpusu służby cywilnej</t>
  </si>
  <si>
    <t xml:space="preserve">Dochody z najmu i dzierżawy składników majątkowych Skarbu Państwa,  jednostek samorządu terytorialnego lub innych jednostek zaliczanych do sektora finansów publicznych oraz innych umów o podobnym charakterze  </t>
  </si>
  <si>
    <t>O910</t>
  </si>
  <si>
    <t xml:space="preserve">Zakup usług obejmujących wykonanie ekspertyz, analiz i opinii  </t>
  </si>
  <si>
    <t xml:space="preserve">Opłaty na rzecz budżetów jednostek samorządu terytorialnego </t>
  </si>
  <si>
    <t>Odsetki od nieterminowych wpłat z tytułu podatków i opłat</t>
  </si>
  <si>
    <t>O920</t>
  </si>
  <si>
    <t>Dotacje celowe otrzymane z budżetu państwa na realizację zadań bieżących 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</si>
  <si>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</si>
  <si>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O570</t>
  </si>
  <si>
    <t>Grzywny i inne kary od osób prawnych i innych jednostek organizacyjnych</t>
  </si>
  <si>
    <t>Kolonie i obozy oraz inne formy wypoczynku dzieci i młodzieży szkolnej, a także szkolenia młodzieży</t>
  </si>
  <si>
    <t>%</t>
  </si>
  <si>
    <t>wykon.</t>
  </si>
  <si>
    <t>O360</t>
  </si>
  <si>
    <t>RAZEM</t>
  </si>
  <si>
    <t>UM</t>
  </si>
  <si>
    <t xml:space="preserve">Środki na dofinansowanie własnych inwestycji gmin  (związków gmin), powiatów (związków powiatów), samorządów województw, pozyskane z innych źródeł </t>
  </si>
  <si>
    <t>Wpływy z podatku rolnego, podatku leśnego, podatku od spadków i darowizn, podatku od czynności cywilnoprawnych  oraz podatków i opłat lokalnych  od osób fizycznych</t>
  </si>
  <si>
    <t>Wpływy z opłat za  zezwolenia na sprzedaż napojów alkoholowych</t>
  </si>
  <si>
    <t>Wpływy do wyjaśnienia</t>
  </si>
  <si>
    <t>Dotacje celowe otrzymane z budżetu państwa na realizację inwestycji i zakupów inwestycyjnych własnych gmin (związków gmin)</t>
  </si>
  <si>
    <t>Składki na ubezpieczenia zdrowotne opłacane za osoby pobierające niektóre świadczenia z pomocy społecznej, niektóre świadczenia rodzinn, oraz za osoby uczestniczące w zajęciach w centrum integracji społecznej</t>
  </si>
  <si>
    <t>Świadczenia rodzinne, świadczenie z funduszu alimentacyjnego  oraz składki na ubezpieczenia emerytalne i rentowe z ubezpieczenia społecznego</t>
  </si>
  <si>
    <t xml:space="preserve">                     Przychody</t>
  </si>
  <si>
    <t xml:space="preserve">Wolne środki na rachunkach bankowych </t>
  </si>
  <si>
    <t>Wpływy z podatku rolnego, podatku leśnego, podatku od czynności cywilnoprawnych,  podatków i opłat lokalnych od osób prawnych i innych jednostek organizacyjnych</t>
  </si>
  <si>
    <t>O310</t>
  </si>
  <si>
    <t>O320</t>
  </si>
  <si>
    <t>Podatek rolny</t>
  </si>
  <si>
    <t>O330</t>
  </si>
  <si>
    <t>Podatek leśny</t>
  </si>
  <si>
    <t>O340</t>
  </si>
  <si>
    <t>Podatek od środków transportowych</t>
  </si>
  <si>
    <t>O500</t>
  </si>
  <si>
    <t>Podatek od czynności cywilnoprawnych</t>
  </si>
  <si>
    <t>Rekompensaty utraconych dochodów w podatkach i opłatach lokalnych</t>
  </si>
  <si>
    <t>Dotacja celowa z budżetu na finansowanie lub dofinansowanie zadań zleconych do realizacji pozostałym jednostkom niezaliczanym do sektora finansów publicznych</t>
  </si>
  <si>
    <t xml:space="preserve">Oświetlenie ulic, placów i dróg  </t>
  </si>
  <si>
    <t xml:space="preserve">Pozostała działalność  </t>
  </si>
  <si>
    <t xml:space="preserve">Wpłaty gmin i powiatów na rzecz innych jednostek samorządu terytorialnego oraz związków  gmin lub związków powiatów na dofinansowanie zadań bieżących </t>
  </si>
  <si>
    <t xml:space="preserve">Kultura i ochrona dziedzictwa narodowego      </t>
  </si>
  <si>
    <t>Dotacja podmiotowa z budżetu dla  samorządowej instytucji kultury</t>
  </si>
  <si>
    <t>Ochrona  zabytków i opieka nad zabytkami</t>
  </si>
  <si>
    <t>Dotacje celowe z budżetu na finansowanie lub dofinansowanie prac remontowych i konserwatorskich obiektów zabytkowych przekazane jednostkom niezaliczanym do sektora finansów publicznych</t>
  </si>
  <si>
    <t>Gospodarka gruntami i nieruchomościami</t>
  </si>
  <si>
    <t>Pozostała działalność</t>
  </si>
  <si>
    <t>Administracja publiczna</t>
  </si>
  <si>
    <t>Bezpieczeństwo publiczne i ochrona przeciwpożarowa</t>
  </si>
  <si>
    <t>Różne rozliczenia</t>
  </si>
  <si>
    <t>Rezerwy ogólne i celowe</t>
  </si>
  <si>
    <t>Oświata i wychowanie</t>
  </si>
  <si>
    <t>Szkoły podstawowe</t>
  </si>
  <si>
    <t>Gimnazja</t>
  </si>
  <si>
    <t>Gospodarka komunalna i ochrona środowiska</t>
  </si>
  <si>
    <t>Działalność usługowa</t>
  </si>
  <si>
    <t xml:space="preserve">OGÓŁEM  </t>
  </si>
  <si>
    <t>Zakup usług obejmujących wykonanie ekspertyz, analiz i opinii</t>
  </si>
  <si>
    <t>Koszty postępowania sądowego i prokuratorskiego</t>
  </si>
  <si>
    <t>RAZEM zadania gminy</t>
  </si>
  <si>
    <t xml:space="preserve">Drogi publiczne w miastach na prawach powiatu </t>
  </si>
  <si>
    <t xml:space="preserve">Turystyka   </t>
  </si>
  <si>
    <t xml:space="preserve">Gospodarka mieszkaniowa  </t>
  </si>
  <si>
    <t xml:space="preserve">Działalność usługowa </t>
  </si>
  <si>
    <t xml:space="preserve">Prace geodezyjne i kartograficzne (nieinwestycyjne)   </t>
  </si>
  <si>
    <t xml:space="preserve">Opracowania geodezyjne i kartograficzne  </t>
  </si>
  <si>
    <t xml:space="preserve">Starostwa powiatowe  </t>
  </si>
  <si>
    <t xml:space="preserve">Komendy powiatowe Policji  </t>
  </si>
  <si>
    <t>Wydatki osobowe niezaliczone do uposażeń wypłacane żołnierzom i funkcjonariuszom</t>
  </si>
  <si>
    <t>Obiekty sportowe</t>
  </si>
  <si>
    <t>Dodatkowe uposażenie roczne dla żołnierzy zawodowych oraz  nagrody roczne dla funkcjonariuszy</t>
  </si>
  <si>
    <t>Równoważniki pieniężne i ekwiwalenty dla żołnierzy i funkcjonariuszy</t>
  </si>
  <si>
    <t>Zadania powiatu</t>
  </si>
  <si>
    <t>Część równoważąca subwencji ogólnej dla powiatów</t>
  </si>
  <si>
    <t>Dokształcanie i doskonalenie nauczycieli</t>
  </si>
  <si>
    <t>Pozostałe zadania w zakresie polityki społecznej</t>
  </si>
  <si>
    <t>Biblioteki</t>
  </si>
  <si>
    <t xml:space="preserve">       Zadania gminy</t>
  </si>
  <si>
    <t>O1030</t>
  </si>
  <si>
    <t>Izby rolnicze</t>
  </si>
  <si>
    <t xml:space="preserve">Wpłaty gmin na rzecz izb rolniczych w wysokości 2% uzyskanych wpływów z podatku rolnego  </t>
  </si>
  <si>
    <t xml:space="preserve">Zakup materiałów i wyposażenia </t>
  </si>
  <si>
    <t>Zakup usług pozostałych</t>
  </si>
  <si>
    <t xml:space="preserve">Transport i łączność  </t>
  </si>
  <si>
    <t xml:space="preserve">Drogi publiczne gminne </t>
  </si>
  <si>
    <t>Zakup materiałów i wyposażenia</t>
  </si>
  <si>
    <t>Zakup usług remontowych</t>
  </si>
  <si>
    <t xml:space="preserve">Kary i odszkodowania wypłacane na rzecz osób fizycznych </t>
  </si>
  <si>
    <r>
      <t xml:space="preserve">Wydatki inwestycyjne jednostek budżetowych   </t>
    </r>
    <r>
      <rPr>
        <sz val="9"/>
        <color indexed="10"/>
        <rFont val="Times New Roman"/>
        <family val="1"/>
      </rPr>
      <t xml:space="preserve"> </t>
    </r>
  </si>
  <si>
    <t>TABELA nr 1</t>
  </si>
  <si>
    <t>TABELA  nr 2</t>
  </si>
  <si>
    <t>TABELA  nr 8</t>
  </si>
  <si>
    <t>O977</t>
  </si>
  <si>
    <t>O979</t>
  </si>
  <si>
    <t>Razem wydatki bieżace</t>
  </si>
  <si>
    <t>Plan dochodów na 2012 rok</t>
  </si>
  <si>
    <t>Dotacje celowe przekazane  dla powiatu na zadania bieżące realizowane na podstawie porozumień (umów) między jednostkami samorządu terytorialnego</t>
  </si>
  <si>
    <t>Internaty i bursy szkolne</t>
  </si>
  <si>
    <t>Szkolne schroniska młodzieżowe</t>
  </si>
  <si>
    <t>Zadania gminy</t>
  </si>
  <si>
    <t>Urzędy wojewódzkie</t>
  </si>
  <si>
    <t>O690</t>
  </si>
  <si>
    <t>Wpływy z różnych opłat</t>
  </si>
  <si>
    <t>Ośrodki wsparcia</t>
  </si>
  <si>
    <t>O830</t>
  </si>
  <si>
    <t>Wpływy z usług</t>
  </si>
  <si>
    <t>O470</t>
  </si>
  <si>
    <t>Wpływy z opłat za zarząd, użytkowanie i użytkowanie wieczyste nieruchomości</t>
  </si>
  <si>
    <t>O750</t>
  </si>
  <si>
    <t>Podatek dochodowy od osób fizycznych</t>
  </si>
  <si>
    <t>OO20</t>
  </si>
  <si>
    <t xml:space="preserve">Podatek dochodowy od osób prawnych </t>
  </si>
  <si>
    <t>Część oświatowa subwencji ogólnej dla jednostek samorządu terytorialnego</t>
  </si>
  <si>
    <t>Subwencje ogólne z budżetu państwa</t>
  </si>
  <si>
    <t>Część równoważąca subwencji ogólnej dla gmin</t>
  </si>
  <si>
    <t>Przedszkola</t>
  </si>
  <si>
    <t>Środki na dofinansowanie własnych zadań bieżących gmin ( związków gmin), powiatów (związków powiatów), samorządów województw pozyskane z innych źródeł</t>
  </si>
  <si>
    <t>Kwalifikacja wojskowa</t>
  </si>
  <si>
    <t>Opłata na rzecz budżetu państwa</t>
  </si>
  <si>
    <t>Wpłata środków finansowych z niewykorzystanych w terminie wydatków, które nie wygasają z upływem roku budżetowego</t>
  </si>
  <si>
    <t>Budowa kanalizacji sanitarnych i deszczowych</t>
  </si>
  <si>
    <t xml:space="preserve">Zakup usług pozostałych  </t>
  </si>
  <si>
    <t xml:space="preserve">Cmentarze  </t>
  </si>
  <si>
    <t xml:space="preserve">Urzędy wojewódzkie  </t>
  </si>
  <si>
    <t>Wynagrodzenia osobowe pracowników</t>
  </si>
  <si>
    <t>Straż gminna (miejska)</t>
  </si>
  <si>
    <t>2990</t>
  </si>
  <si>
    <t>Dodatkowe wynagrodzenie roczne</t>
  </si>
  <si>
    <t>Składki na ubezpieczenia społeczne</t>
  </si>
  <si>
    <t>Składki na Fundusz Pracy</t>
  </si>
  <si>
    <t>Odpisy na zakładowy fundusz świadczeń socjalnych</t>
  </si>
  <si>
    <t xml:space="preserve">Rady gmin (miast i miast na prawach powiatu)  </t>
  </si>
  <si>
    <t>Podróże służbowe krajowe</t>
  </si>
  <si>
    <t>Podróże służbowe zagraniczne</t>
  </si>
  <si>
    <t xml:space="preserve">Wydatki osobowe niezaliczone do wynagrodzeń  </t>
  </si>
  <si>
    <t>Wynagrodzenia bezosobowe</t>
  </si>
  <si>
    <t xml:space="preserve">Zakup materiałów i wyposażenia  </t>
  </si>
  <si>
    <t xml:space="preserve">Zakup energii </t>
  </si>
  <si>
    <t>Zakup usług dostępu do sieci Internet</t>
  </si>
  <si>
    <t xml:space="preserve">Podróże służbowe krajowe   </t>
  </si>
  <si>
    <t xml:space="preserve">Podróże służbowe zagraniczne  </t>
  </si>
  <si>
    <t>Promocja jednostek samorządu terytorialnego</t>
  </si>
  <si>
    <t xml:space="preserve">Ochotnicze straże pożarne </t>
  </si>
  <si>
    <t>Zakup energii</t>
  </si>
  <si>
    <t xml:space="preserve">Obrona cywilna </t>
  </si>
  <si>
    <t xml:space="preserve">Pozostała działalność </t>
  </si>
  <si>
    <t>Dotacje celowe z budżetu dla pozostałych jednostek zaliczanych do sektora finansów publicznych</t>
  </si>
  <si>
    <t>Wspieranie rodziny</t>
  </si>
  <si>
    <t>Muzea</t>
  </si>
  <si>
    <t>Koszty postępowania  sądowego i prokuratorskiego</t>
  </si>
  <si>
    <t>Wydatki na zakupy inwestycyjne jednostek budżetowych</t>
  </si>
  <si>
    <t xml:space="preserve">Zakup usług remontowych </t>
  </si>
  <si>
    <t xml:space="preserve">Różne opłaty i składki </t>
  </si>
  <si>
    <t xml:space="preserve">Plany zagospodarowania przestrzennego    </t>
  </si>
  <si>
    <t>Różne wydatki na rzecz osób fizycznych</t>
  </si>
  <si>
    <t>Opracowania geodezyjne i  kartograficzne</t>
  </si>
  <si>
    <t>Jednostki specjalistycznego poradnictwa, mieszkania chronione i ośrodki interwencji kryzysowej</t>
  </si>
  <si>
    <t>Ośrodki dokumentacji geodezyjnej i kartograficznej</t>
  </si>
  <si>
    <t>Dotacje celowe otrzymane z budżetu państwa na realizację własnych zadań bieżących gmin (związków gmin)</t>
  </si>
  <si>
    <t>010</t>
  </si>
  <si>
    <t>01095</t>
  </si>
  <si>
    <t>Wpływy ze zwrotów dotacji oraz płatności, w tym wykorzystanych niezgodnie z przeznaczeniem lub wykorzystanych z naruszeniem procedur, o których mowa w art.. 184 ustawy, pobranych nienależnie lub w nadmiernej wysokości</t>
  </si>
  <si>
    <t xml:space="preserve">Dotacje celowe w ramach programów finansowanych z udziałem środków europejskich oraz środków o których mowa w  art. 5 ust. 1 pkt 3 oraz ust. 3 pkt 5 i 6 ustawy, lub płatności w ramach budżetu środków europejskich </t>
  </si>
  <si>
    <t>Dochody</t>
  </si>
  <si>
    <t>Wydatki</t>
  </si>
  <si>
    <t xml:space="preserve">                         Wykonanie za 2012 rok</t>
  </si>
  <si>
    <t>Zadania gminne</t>
  </si>
  <si>
    <t xml:space="preserve">   -dotacje celowe</t>
  </si>
  <si>
    <t xml:space="preserve">   -dochody własne jednostek</t>
  </si>
  <si>
    <t>Wydatki majątkowe</t>
  </si>
  <si>
    <t xml:space="preserve">Diał  854 </t>
  </si>
  <si>
    <t xml:space="preserve">Dział  801 </t>
  </si>
  <si>
    <t>Wydatki  bieżące</t>
  </si>
  <si>
    <t>Subwencja ogólna część oświatowa</t>
  </si>
  <si>
    <t>Zadania powiatowe</t>
  </si>
  <si>
    <t>RAZEM zadania oświatowe</t>
  </si>
  <si>
    <t>dz.801 spr</t>
  </si>
  <si>
    <t>dz.854 spr.</t>
  </si>
  <si>
    <t xml:space="preserve">                Budżet uchwalony na 2013 rok</t>
  </si>
  <si>
    <t>Zadania oświatowe</t>
  </si>
  <si>
    <t>Wpływy do rozliczenia</t>
  </si>
  <si>
    <t>Wpływy z różnych rozliczeń</t>
  </si>
  <si>
    <t>2760</t>
  </si>
  <si>
    <t>Środki na uzupełnienie dochodów powiatu</t>
  </si>
  <si>
    <t>2750</t>
  </si>
  <si>
    <t>Środki na uzupełnienie dochodów gmin</t>
  </si>
  <si>
    <t xml:space="preserve">Wydatki na zakup i objęcie akcji, wniesienie wkładów do spółek prawa handlowego oraz  na uzupełnienie funduszy statutowych banków państwowych i innych instytucji finansowych   </t>
  </si>
  <si>
    <t>Dotacje celowe z budżetu na finznsowanie lub dofinansowanie kosztów realizacji inwestycji i zakupów inwestycyjnych jednostek niezaliczanych do sektora finansów publicznych</t>
  </si>
  <si>
    <t>Nagrody o charakterze szczególnym niezaliczone do wynagrodzeń</t>
  </si>
  <si>
    <t>Dotacja podmiotowa z budżetu dla publicznej jednostki systemu oświaty prowadzonej przez osobę prawną inną niż jednostka samorządu terytorialnego lub przez osobę fizyczną</t>
  </si>
  <si>
    <t>Stołówki szkolne i  przedszkolne</t>
  </si>
  <si>
    <t>% wykonania</t>
  </si>
  <si>
    <t>Usługi opiekuńcze i  specjalistyczne usługi opiekuńcze</t>
  </si>
  <si>
    <t>O960</t>
  </si>
  <si>
    <t>Otrzymane spadki, zapisy i darowizny w postaci pieniężnej</t>
  </si>
  <si>
    <t>Żłobki</t>
  </si>
  <si>
    <t>Ośrodki informacji turystycznej</t>
  </si>
  <si>
    <t>Instytucje kultury fizycznej</t>
  </si>
  <si>
    <t>RAZEM  zadania gminy</t>
  </si>
  <si>
    <t>Drogi publiczne w miastach na prawach powiatu</t>
  </si>
  <si>
    <t>Dotacje celowe otrzymane z budżetu państwa na zadania bieżące z zakresu administracji rządowej oraz inne zadania zlecone  ustawami realizowane przez powiat</t>
  </si>
  <si>
    <t>Prace geodezyjne i kartograficzne (nieinwestycyjne)</t>
  </si>
  <si>
    <t>Opracowania geodezyjne i kartograficzne</t>
  </si>
  <si>
    <t>Nadzór budowlany</t>
  </si>
  <si>
    <t>Starostwa powiatowe</t>
  </si>
  <si>
    <t>Dotacje celowe otrzymane z budżetu państwa na zadania bieżące realizowane przez powiat na podstawie porozumień z organami administracji rządowej</t>
  </si>
  <si>
    <t>O420</t>
  </si>
  <si>
    <t>Wpływy z opłaty komunikacyjnej</t>
  </si>
  <si>
    <t>Udziały powiatów w podatkach stanowiących dochód budżetu państwa</t>
  </si>
  <si>
    <t>Podatek dochodowy od osób prawnych</t>
  </si>
  <si>
    <t>Placówki opiekuńczo-wychowawcze</t>
  </si>
  <si>
    <t>Domy pomocy społecznej</t>
  </si>
  <si>
    <t>Dotacje celowe otrzymane z budżetu państwa na realizację bieżących zadań własnych powiatu</t>
  </si>
  <si>
    <t>Dotacje celowe otrzymane z powiatu na zadania bieżące realizowane na podstawie porozumień (umów) między jednostkami samorządu terytorialnego</t>
  </si>
  <si>
    <t>Zespoły do spraw orzekania o  niepełnosprawności</t>
  </si>
  <si>
    <t>Państwowy Fundusz Rehabilitacji Osób Niepełnosprawnych</t>
  </si>
  <si>
    <t>Kultura i ochrona  dziedzictwa narodowego</t>
  </si>
  <si>
    <t>RAZEM  zadania powiatu</t>
  </si>
  <si>
    <t>Plan  dochodów  na  2012 rok</t>
  </si>
  <si>
    <t>2790</t>
  </si>
  <si>
    <t>Uzupełnienie subwencji ogólnej dla jednostek samorządu terytorialnego</t>
  </si>
  <si>
    <t>Środki na utrzymanie rzecznych przepraw promowych oraz remonty, utrzymanie, ochronę i zarządzanie drogami krajowymi i wojewódzkimi w granicach miast na prawach powiatu</t>
  </si>
  <si>
    <t>8510</t>
  </si>
  <si>
    <t>OGÓŁEM BUDŻET MIASTA KONINA</t>
  </si>
  <si>
    <t>Obsługa długu publicznego</t>
  </si>
  <si>
    <t>Obsługa papierów wartościowych, kredytów i pożyczek jednostek samorządu terytorialnego</t>
  </si>
  <si>
    <t>Świadczenia rodzinne, świadczenie z funduszu alimentacyjnego oraz składki na ubezpieczenia emerytalne i rentowe z ubezpieczenia społecznego</t>
  </si>
  <si>
    <t>Zakup środków żywności</t>
  </si>
  <si>
    <t>Dowożenie uczniów do szkół</t>
  </si>
  <si>
    <t>Wydatki  osobowe niezaliczone do wynagrodzeń</t>
  </si>
  <si>
    <t>Opłaty na rzecz budżetu państwa</t>
  </si>
  <si>
    <t>Szkolenia członków korpusu służby cywilnej</t>
  </si>
  <si>
    <t xml:space="preserve">Nadzór budowlany </t>
  </si>
  <si>
    <t>Oddziały przedszkolne w szkołach podstawowych</t>
  </si>
  <si>
    <t>Świetlice  szkolne</t>
  </si>
  <si>
    <t>Stypendia  dla uczniów</t>
  </si>
  <si>
    <t>Nazwa</t>
  </si>
  <si>
    <t>Przeprawa przez rzekę Wartę - nowy przebieg drogi krajowej Nr 25 - kredyt</t>
  </si>
  <si>
    <t>O580</t>
  </si>
  <si>
    <t xml:space="preserve">      WYKONANIE  DOCHODÓW  BUDŻETU  MIASTA  KONINA    </t>
  </si>
  <si>
    <t xml:space="preserve">          WYKONANIE  WYDATKÓW  BUDŻETU  MIASTA  KONINA  </t>
  </si>
  <si>
    <t>Zakup usług remontowo-konserwatorskich dotyczących obiektów zabytkowych bedących w użytkowaniu jednostek budżetowych</t>
  </si>
  <si>
    <t xml:space="preserve">Zasiłki stałe </t>
  </si>
  <si>
    <t>Zakup usług przez jednostki samorządu terytorialnego od innych jednostek samorządu terytorialnego</t>
  </si>
  <si>
    <t>Różne  opłaty i składki</t>
  </si>
  <si>
    <t>Powiatowe centra pomocy rodzinie</t>
  </si>
  <si>
    <t xml:space="preserve">Ochrona zdrowia  </t>
  </si>
  <si>
    <t>Świetlice szkolne</t>
  </si>
  <si>
    <t>Nagrody i wydatki osobowe niezaliczone do wynagrodzeń</t>
  </si>
  <si>
    <t>Poradnie psychologiczno-pedagogiczne,  w tym   poradnie specjalistyczne</t>
  </si>
  <si>
    <t>TABELA nr 5</t>
  </si>
  <si>
    <t xml:space="preserve"> w złotych</t>
  </si>
  <si>
    <t>O980</t>
  </si>
  <si>
    <t>Wpływy z tytułu zwrotów wypłaconych świadczeń z funduszu alimentacyjnego</t>
  </si>
  <si>
    <t>Składki na ubezpieczenia zdrowotne opłacane za osoby pobierające niektóre świadczenia z pomocy społecznej, niektóre świadczenia rodzinne, oraz za osoby uczestniczące w zajęciach w centrum integracji społecznej</t>
  </si>
  <si>
    <t>Dotacja celowa otrzymana z tytułu pomocy finansowej udzielanej między jednostkami samorządu terytorialnego na dofinansowanie własnych zadań inwestycyjnych i zakupów inwestycyjnych</t>
  </si>
  <si>
    <t>Otrzymane  spadki, zapisy i darowizny w postaci pieniężnej</t>
  </si>
  <si>
    <t>Podatek od spadków i darowizn</t>
  </si>
  <si>
    <t>O430</t>
  </si>
  <si>
    <t>Wpływy z opłaty targowej</t>
  </si>
  <si>
    <t>Wpływy z innych opłat stanowiących dochody jednostek samorządu terytorialnego na podstawie ustaw</t>
  </si>
  <si>
    <t>O410</t>
  </si>
  <si>
    <t>Wpływy z opłaty skarbowej</t>
  </si>
  <si>
    <t>O480</t>
  </si>
  <si>
    <t>O490</t>
  </si>
  <si>
    <t>Wpływy z innych lokalnych opłat pobieranych przez jednostki samorządu terytorialnego na podstawie odrębnych ustaw</t>
  </si>
  <si>
    <t>Udziały gmin w podatkach stanowiących dochód budżetu państwa</t>
  </si>
  <si>
    <t>OO10</t>
  </si>
  <si>
    <t xml:space="preserve">Rezerwy </t>
  </si>
  <si>
    <t>w tym:</t>
  </si>
  <si>
    <t>rezerwa ogólna</t>
  </si>
  <si>
    <t>rezerwa celowa na zadania oświatowe</t>
  </si>
  <si>
    <t>Rezerwy na inwestycje i zakupy inwestycyjne</t>
  </si>
  <si>
    <t>Wydatki osobowe niezaliczone do wynagrodzeń</t>
  </si>
  <si>
    <t>Zasądzone renty</t>
  </si>
  <si>
    <t>Zakup usług zdrowotnych</t>
  </si>
  <si>
    <t xml:space="preserve">Przedszkola </t>
  </si>
  <si>
    <t>Dotacja podmiotowa z budżetu dla niepublicznej jednostki systemu oświaty</t>
  </si>
  <si>
    <t>Zakup leków, wyrobów medycznych i produktów  biobójczych</t>
  </si>
  <si>
    <t xml:space="preserve">Ośrodki wsparcia </t>
  </si>
  <si>
    <t>Opłaty za  administrowanie i czynsze za budynki, lokale i pomieszczenia garażowe</t>
  </si>
  <si>
    <t>Składki na ubezpieczenie zdrowotne</t>
  </si>
  <si>
    <r>
      <t xml:space="preserve">Zakup usług pozostałych </t>
    </r>
    <r>
      <rPr>
        <b/>
        <sz val="9"/>
        <rFont val="Times New Roman"/>
        <family val="1"/>
      </rPr>
      <t xml:space="preserve"> </t>
    </r>
  </si>
  <si>
    <t>Szkoły podstawowe specjalne</t>
  </si>
  <si>
    <t>Gimnazja specjalne</t>
  </si>
  <si>
    <t>Zespoły  obsługi ekonomiczno-administracyjnej szkół</t>
  </si>
  <si>
    <t>Wpłaty jednostek na państwowy fundusz celowy</t>
  </si>
  <si>
    <t>Dotacja celowa z budżetu na finansowanie lub dofinansowanie zadań zleconych do realizacji stowarzyszeniom</t>
  </si>
  <si>
    <t xml:space="preserve">Przeciwdziałanie alkoholizmowi  </t>
  </si>
  <si>
    <t>Świadczenia społeczne</t>
  </si>
  <si>
    <t>Dodatki mieszkaniowe</t>
  </si>
  <si>
    <t>Usługi opiekuńcze i specjalistyczne usługi opiekuńcze</t>
  </si>
  <si>
    <t>2980</t>
  </si>
  <si>
    <t>0370</t>
  </si>
  <si>
    <t>Opłata od posiadania psów</t>
  </si>
  <si>
    <t>Wpływy i wydatki związane z gromadzeniem środków z opłat produktowych</t>
  </si>
  <si>
    <t>0400</t>
  </si>
  <si>
    <t>Wpływy z opłaty produktowej</t>
  </si>
  <si>
    <t>0870</t>
  </si>
  <si>
    <t xml:space="preserve">Wpływy ze sprzedaży składników majątkowych </t>
  </si>
  <si>
    <t xml:space="preserve">Dotacja celowa z budżetu na finansowanie lub dofinansowanie zadań zleconych  do realizacji stowarzyszeniom </t>
  </si>
  <si>
    <t xml:space="preserve">Żłobki  </t>
  </si>
  <si>
    <t>Wydatki inwestycyjne jednostek budżetowych</t>
  </si>
  <si>
    <t>Dochody z najmu i dzierżawy składników majątkowych Skarbu Państwa, jednostek samorządu terytorialnego lub innych jednostek zaliczanych do sektora finansów publicznych oraz innych umów o podobnym charakterze</t>
  </si>
  <si>
    <t>O760</t>
  </si>
  <si>
    <t>Wpływy z tytułu przekształcenia prawa użytkowania wieczystego przysługującego osobom fizycznym w prawo własności</t>
  </si>
  <si>
    <t>O770</t>
  </si>
  <si>
    <t>Wpłaty z tytułu odpłatnego nabycia prawa własności oraz prawa użytkowania wieczystego nieruchomości</t>
  </si>
  <si>
    <t>O970</t>
  </si>
  <si>
    <t>Wpływy z różnych dochodów</t>
  </si>
  <si>
    <t>Wpłaty na Państwowy Fundusz Rehabilitacji Osób Niepełnosprawnych</t>
  </si>
  <si>
    <t>Zakup pomocy naukowych, dydaktycznych i książek</t>
  </si>
  <si>
    <t>Podatek od  nieruchomości</t>
  </si>
  <si>
    <t>Dotacje celowe w ramach programów finansowanych z udziałem środków europejskich oraz środków o których mowa w  art. 5 ust. 1 pkt 3 oraz ust. 3 pkt 5 i 6 ustawy, lub płatności w ramach budżetu środków europejskich</t>
  </si>
  <si>
    <t xml:space="preserve">                                 ZA 2012  ROK</t>
  </si>
  <si>
    <t>Wykonanie planu dochodów  na 31 grudnia  2012 roku</t>
  </si>
  <si>
    <t>Wpływy z opłat za trwały zarząd, użytkowanie, służebności  i użytkowanie wieczyste nieruchomości</t>
  </si>
  <si>
    <t>Plan wydatków na  2012 rok</t>
  </si>
  <si>
    <t xml:space="preserve">Koszty postępowania  sądowego i prokuratorskiego </t>
  </si>
  <si>
    <t>Opłaty z tytułu zakupu usług telekomunikacyjnych świadczonych w stacjonarnej publicznej sieci telefonicznej</t>
  </si>
  <si>
    <t>Opłaty z tytułu  zakupu usług telekomunikacyjnych świadczonych w ruchomej publicznej sieci telefonicznej</t>
  </si>
  <si>
    <t>Podatek od nieruchomosci</t>
  </si>
  <si>
    <t>Podatek od nieruchpmości</t>
  </si>
  <si>
    <t xml:space="preserve">Dotacja przedmiotowa z budżetu dla samorządowego zakładu budżetowego </t>
  </si>
  <si>
    <t xml:space="preserve">Kultura fizyczna </t>
  </si>
  <si>
    <t xml:space="preserve">Dotacja celowa otrzymana  tytułu pomocy finansowej udzielanej między jednostkami samorządu terytorialnego na dofinansowanie własnych zadań bieżących  </t>
  </si>
  <si>
    <t xml:space="preserve">Wpływy z różnych dochodów </t>
  </si>
  <si>
    <t>Zadania w zakresie przeciwdziałania przemocy w rodzinie</t>
  </si>
  <si>
    <t>0580</t>
  </si>
  <si>
    <t>Zadania  inwestycje i spłata zadłużenia</t>
  </si>
  <si>
    <t xml:space="preserve">WYKONANIE  PRZYCHODÓW  I  ROZCHODÓW  BUDŻETU   MIASTA  KONINA ZA 2012 ROK </t>
  </si>
  <si>
    <t>Wykonanie na 30 grudnia 2012 roku</t>
  </si>
  <si>
    <t>POROZUMIEŃ Z ORGANAMI ADMINISTRACJI RZĄDOWEJ ZA 2012 ROK</t>
  </si>
  <si>
    <t xml:space="preserve">       WYKONANIE  DOCHODÓW  ZWIĄZANYCH  Z  REALIZACJĄ  ZADAŃ </t>
  </si>
  <si>
    <t xml:space="preserve">       Z  ZAKRESU  ADMINISTRACJI  RZĄDOWEJ  ORAZ  INNYCH  ZADAŃ </t>
  </si>
  <si>
    <t xml:space="preserve">       ZLECONYCH  USTAWAMI, KTÓRE  PODLEGAJĄ  PRZEKAZANIU </t>
  </si>
  <si>
    <t xml:space="preserve">       D O  BUDŻETU  PAŃSTWA  ZA  2012 ROK</t>
  </si>
  <si>
    <t>TABELA nr 3</t>
  </si>
  <si>
    <t>TABELA nr 4</t>
  </si>
  <si>
    <t>OGÓŁEM</t>
  </si>
  <si>
    <t>TABELA nr 9</t>
  </si>
  <si>
    <t xml:space="preserve">                            ZA   2012 ROK</t>
  </si>
  <si>
    <t>Wykonanie planu wydatków na 31 grudnia  2012 roku</t>
  </si>
  <si>
    <t>Turystyka</t>
  </si>
  <si>
    <t>Plan dotacji na 2012 rok</t>
  </si>
  <si>
    <t>Plan wydatków na 2012 rok</t>
  </si>
  <si>
    <t>Razem zadania powiatu</t>
  </si>
  <si>
    <t>TABELA nr 6</t>
  </si>
  <si>
    <t>WYKONANIE DOTACJI I WYDATKÓW ZADAŃ REALIZOWANYCH NA PODSTAWIE</t>
  </si>
  <si>
    <t>TABELA nr 7</t>
  </si>
  <si>
    <t xml:space="preserve">WYKONANIE DOTACJI I WYDATKÓW ZADAŃ REALIZOWANYCH NA PODSTAWIE </t>
  </si>
  <si>
    <t>Inne formy pomocy dla uczniów</t>
  </si>
  <si>
    <t>Odsetki od dotacji oraz płatności: wykorzystanych niezgodnie z przeznaczeniem lub wykorzystanych z naruszeniem procedur, o których mowa w art.184 ustawy, pobranych nienależnie lub w nadmiernej wysokości</t>
  </si>
  <si>
    <t>Uposażenia i świadczenia pieniężne wypłacane przez okres roku żołnierzom i funkcjonariuszom zwolnionym ze służby</t>
  </si>
  <si>
    <t>TABELA  nr  12</t>
  </si>
  <si>
    <t xml:space="preserve">Zmiany w planie wydatków na realizację programów finansowanych z udziałem </t>
  </si>
  <si>
    <t xml:space="preserve"> środków funduszy strukturalnych, EFS, WRPO oraz innych* w 2012 roku</t>
  </si>
  <si>
    <t>Dotacja celowa na pomoc finansową udzielaną między jednostkami samorzadu terytorialnego na dofinansowanie własnych zadań inwestycyjnych i zakupów inwestycyjnych</t>
  </si>
  <si>
    <t>Wpłaty jednostek na państwowy fundusz celowy na finansowanie lub dofinansowanie zadań inwestycyjnych</t>
  </si>
  <si>
    <t>Szkoły artystyczne</t>
  </si>
  <si>
    <t>Zwalczanie narkomanii</t>
  </si>
  <si>
    <t xml:space="preserve">Oczyszczanie miast i wsi  </t>
  </si>
  <si>
    <t xml:space="preserve">Schroniska dla zwierząt  </t>
  </si>
  <si>
    <t>Wpływy i wydatki związane z gromadzeniem środków  z opłat i kar za korzystanie ze środowiska</t>
  </si>
  <si>
    <t xml:space="preserve">Wydatki  inwestycyjne jednostek budżetowych </t>
  </si>
  <si>
    <t>Wykonanie wydatków majątkowych realizowanych ze środków budżetowych miasta Konina za 2012 rok</t>
  </si>
  <si>
    <t xml:space="preserve">     Wykonanie na 2012 rok</t>
  </si>
  <si>
    <t>§</t>
  </si>
  <si>
    <t>Nazwa  zadania</t>
  </si>
  <si>
    <t>Wykonany zakres rzeczowy zadania</t>
  </si>
  <si>
    <t>Termin realizacji</t>
  </si>
  <si>
    <t>środki  w ramach ustawy Prawo ochrony środowiska</t>
  </si>
  <si>
    <t>RAZEM GMINA</t>
  </si>
  <si>
    <t>Zakup i montaż wiat przystankowych</t>
  </si>
  <si>
    <t>zakupiono i zamontowano 7 wiat przystankowych</t>
  </si>
  <si>
    <t>wykonano</t>
  </si>
  <si>
    <t>Drogi publiczne gminne</t>
  </si>
  <si>
    <t>Budowa dróg os. Łężyn - rejon ul. Mostowej II etap</t>
  </si>
  <si>
    <t>wybudowano ulice: Śląską, Łowicką, Wielkopolską i Podlaską wraz z oświetleniem i odwodnieniem</t>
  </si>
  <si>
    <t>zakończono</t>
  </si>
  <si>
    <t>Strefa płatnego parkowania w Koninie</t>
  </si>
  <si>
    <t>zakupiono i zamontowano 20 sztuk parkomatów</t>
  </si>
  <si>
    <t xml:space="preserve">Budowa ulicy Sierpińskiego </t>
  </si>
  <si>
    <t>wybudowano ulicę Sierpińskiego wraz z oświetleniem i odwodnieniem</t>
  </si>
  <si>
    <t>Budowa ulic na Osiedlu Przydziałki  I etap</t>
  </si>
  <si>
    <t>wybudowano ul. Ametystową, Rubinową, Diamentową wraz z oświetleniem i kanalizacją deszczową</t>
  </si>
  <si>
    <t xml:space="preserve">Budowa ulic na osiedlu Wilków (Leszczynowa i Borowa) </t>
  </si>
  <si>
    <t>zawarto umowę na wykonawstwo oraz umowę  na pełnienie nadzoru inwestorskiego</t>
  </si>
  <si>
    <t>2012/2013</t>
  </si>
  <si>
    <t>Budowa ulic na osiedlu Chorzeń (Tulipanowa i Krokusowa)</t>
  </si>
  <si>
    <t>środki w wysokości 986.601,95 zł przeniesiono na wydatki niewygasające</t>
  </si>
  <si>
    <t xml:space="preserve">Budowa ulicy Janiny Porazińskiej </t>
  </si>
  <si>
    <t>wybudowano ulicę Janiny Porazińskiej wraz z oświetleniem i odwodnieniem</t>
  </si>
  <si>
    <t>Dokumentacja projektowa  ścieżek rowerowych</t>
  </si>
  <si>
    <t>opracowano dokumentację projektową na budowę ścieżek rowerowych wzdłuż Trasy Bursztynowej (od ul.Ametystowej do granic miasta) i od ul.Kolejowej do ul. Wyzwolenia</t>
  </si>
  <si>
    <t>Wykonanie dokumentacji projektowej na budowę ul.Drewnowskiego i Godlewskiego</t>
  </si>
  <si>
    <t>opracowano dokumentację projektową</t>
  </si>
  <si>
    <t xml:space="preserve">Budowa chodnika przy ul. Nowiny w kierunku cmentarza parafialnego </t>
  </si>
  <si>
    <t>Budowa ścieżek rowerowych</t>
  </si>
  <si>
    <t>wybudowano ścieżkę rowerową o nawierzchni bitumicznej wzdłuż Trasy Bursztynowej o długości  178 m</t>
  </si>
  <si>
    <t>Dokumentacja  projektowa na przebudowę  ulicy Jana Matejki</t>
  </si>
  <si>
    <t xml:space="preserve">opracowano dokumentację  projektową </t>
  </si>
  <si>
    <t>Budowa ulicy na os. Zemełki oznaczonej w planie symbolem KL-2 wraz z dwoma sięgaczami KD</t>
  </si>
  <si>
    <t>Opracowanie dokumentacji projektowo-kosztorysowej na budowę zatoki parkingowej przy drodze dojazdowej od ul. Przyjaźni do ul. Kard. S. Wyszyńskiego</t>
  </si>
  <si>
    <t>opracowano dokumentację projektowo-kosztorysową</t>
  </si>
  <si>
    <t>Opracowanie dokumentacji projektowo-kosztorysowej na budowę ulicy Wierzbowej (od ul. Europejskiej w kierunku wschodnim)</t>
  </si>
  <si>
    <t>dwukrotnie przeprowadzono rozpoznanie cenowe, które nie dało roztrzygnięcia</t>
  </si>
  <si>
    <t xml:space="preserve">Opracowanie dokumentacji projektowo-kosztorysowej na budowę parkingu przy Przedszkolu nr 7 </t>
  </si>
  <si>
    <t>opracowano koncepcję oraz dokumentację projektowo-kosztorysową</t>
  </si>
  <si>
    <t>Budowa przedłużenia ul. Makowej od Al. Astrów do torów kolejowych</t>
  </si>
  <si>
    <t>zawarto umowę na wykonanie dokumentacji projektowej</t>
  </si>
  <si>
    <t>Budowa chodnika wzdłuż drogi dojazdowej od ul. Kleczewskiej do m. Posada</t>
  </si>
  <si>
    <t>wybudowano chodnik wraz ze ścieżką rowerową i oświetleniem typu LED</t>
  </si>
  <si>
    <t>Dokumentacja przyszłościowa na budowę ulicy Leopolda Staffa - aktualizacja</t>
  </si>
  <si>
    <t>środki w wysokości 9.594,00 zł przeniesiono na wydatki niewygasające</t>
  </si>
  <si>
    <t xml:space="preserve">Budowa chodnika na ulicy Działkowej </t>
  </si>
  <si>
    <t>brak tytułu własności do dwóch działek uniemożliwia uzyskanie pozwolenia na budowę i zlecenie wykonania chodnika</t>
  </si>
  <si>
    <t>nie wykonano</t>
  </si>
  <si>
    <t>Nabycie nieruchomości gruntowych</t>
  </si>
  <si>
    <t xml:space="preserve">nabyto nieruchomości pod drogi i infrastrukturę techniczną w obrębach m.in: Wilków, Maliniec, Przydziałki, Starówka, Laskówiec </t>
  </si>
  <si>
    <t>Budowa lokali socjalnych w budynku wielorodzinnym ul. Westerplatte 2 w Koninie</t>
  </si>
  <si>
    <t xml:space="preserve">wybudowano budynek, oddano do użytkowania 14 lokali socjalnych w budynku wielorodzinnym </t>
  </si>
  <si>
    <t>Rewitalizacja- odbudowa budynków mieszkalnych przy ul. Wojska Polskiego 4 i 6 w Koninie</t>
  </si>
  <si>
    <r>
      <t>odbudowano budynki mieszkalne, oddano 38 lokali mieszkalnych komunalnych o łącznej powierzchni pełnowymiarowej 1.881,05 m</t>
    </r>
    <r>
      <rPr>
        <vertAlign val="superscript"/>
        <sz val="8"/>
        <rFont val="Times New Roman"/>
        <family val="1"/>
      </rPr>
      <t>2</t>
    </r>
  </si>
  <si>
    <t>Budowa budynku socjalnego przy ul. M. Dąbrowskiej w Koninie</t>
  </si>
  <si>
    <t>wybudowano budynek z 20 lokalami  socjalnymi, zagospodarowano teren</t>
  </si>
  <si>
    <t>Cmentarze</t>
  </si>
  <si>
    <t>Zagospodarowanie terenu cmentarza żydowskiego</t>
  </si>
  <si>
    <t>opracowano dokumentację projektowo-kosztorysową na zagospodarowanie terenu cmentarza żydowskiego</t>
  </si>
  <si>
    <t>Usprawnienie funkcjonowania instalacji wentylacji i chłodzenia w budynku Ratusza Miejskiego w Koninie</t>
  </si>
  <si>
    <t>usprawniono funkcjonowanie instalacji wentylacji i chłodzenia w budynku Ratusza Miejskiego w Koninie</t>
  </si>
  <si>
    <t>Rozbudowa miejskiej sieci szerokopasmowej KoMAN</t>
  </si>
  <si>
    <t>rozbudowano sieć KoMAN na ul. Wyzwolenia, Błaszaka, Dmowskiego, Al..1 Maja, wybudowano przyłącze na ul. Wojska Polskiego 2 i na ul. 3 Maja 1</t>
  </si>
  <si>
    <t>Rozbudowa monitoringu miejskiego</t>
  </si>
  <si>
    <t>rozbudowano monitoring miejski</t>
  </si>
  <si>
    <t xml:space="preserve">Dokumentacje przyszłościowe </t>
  </si>
  <si>
    <t xml:space="preserve">częściowo opracowano dokumentację projektową,  zmiana warunków do projektowania spowodowała odstąpienie od kontynuowania prac projektowych dot. adaptacji Sądu Rejonowego </t>
  </si>
  <si>
    <t>częściowo wykonano</t>
  </si>
  <si>
    <t>Rozbudowa centrali telefonicznej</t>
  </si>
  <si>
    <t>rozbudowano centralę telefoniczną</t>
  </si>
  <si>
    <t>Zakup sortera do bilonu</t>
  </si>
  <si>
    <t>zakupiono sorter do bilonu</t>
  </si>
  <si>
    <t>Doposażenie techniczne Urzędu</t>
  </si>
  <si>
    <t>zakupiono: 2 szt. Switch Cisco,  System Obiegu Dokumentów, storg,  System PlanB-WPF+ Zaangażowanie, zakupiono klimatyzację serwerowni na ul. Wojska Polskiego 2</t>
  </si>
  <si>
    <t>Opracowanie dokumentacji projektowo-kosztorysowej na adaptację budynku przy  ul. 3 Maja 1 i 3 na Centrum Organizacji Pozarządowych</t>
  </si>
  <si>
    <t>Adaptacja  budynku przy ul. Benesza 1 w Koninie na cele administracyjne</t>
  </si>
  <si>
    <t>środki w wysokości 516.951,15 zł przeniesiono na wydatki niewygasające,   2012-2014</t>
  </si>
  <si>
    <t>Ochotnicze straże pożarne</t>
  </si>
  <si>
    <t>Zakupy inwestycyjne</t>
  </si>
  <si>
    <t>zakupiono dwa aparaty powietrzne z butlą kompozytową, z maską nadciśnieniową i czujnikiem bezruchu dla OSP Cukrownia-Gosławice</t>
  </si>
  <si>
    <t>Obrona cywilna</t>
  </si>
  <si>
    <t xml:space="preserve">zakupiono i zamontowano dwie elektroniczne syreny tubowe wraz z osprzętem </t>
  </si>
  <si>
    <t>zakupiono i zamontowano radiotelefon PWiK w Koninie</t>
  </si>
  <si>
    <t>Rezerwa celowa na inwestycje i zakupy inwestycyjne</t>
  </si>
  <si>
    <t>Budowa placu zabaw w ramach programu rządowego "Radosna Szkoła" przy Szkole Podstawowej Nr 10</t>
  </si>
  <si>
    <t>wybudowano duży plac zabaw</t>
  </si>
  <si>
    <t>Budowa placu zabaw w ramach programu rządowego "Radosna Szkoła" przy Szkole Podstawowej Nr 11</t>
  </si>
  <si>
    <t>Budowa placu zabaw w ramach programu rządowego "Radosna Szkoła" przy Szkole Podstawowej Nr 15</t>
  </si>
  <si>
    <t>Modernizacja i rozbudowa budynku przy ul. Kamiennej 28 w Koninie</t>
  </si>
  <si>
    <t>wykonano dokumentację projektową, rozpoczęto procedurę przetargową</t>
  </si>
  <si>
    <t>Założenie monitoringu wizyjnego przy Przedszkolu nr 2</t>
  </si>
  <si>
    <t>założono monitoring wizyjny</t>
  </si>
  <si>
    <t>Założenie monitoringu wizyjnego przy Przedszkolu nr 32 z oddziałami integracyjnymi</t>
  </si>
  <si>
    <t>Termomodernizacja budynku Przedszkola nr 15</t>
  </si>
  <si>
    <t>docieplono dach budynku</t>
  </si>
  <si>
    <t>Adaptacja pomieszczeń przeznaczonych na Ośrodek Wczesnego Wspomagania przy Przedszkolu Nr 32 z oddziałami integracyjnymi, ul. Przemysłowa 7</t>
  </si>
  <si>
    <t>zaadaptowano pomieszczenia na Ośrodek Wczesnego Wspomagania</t>
  </si>
  <si>
    <t>Zakup zmywarki z wyparzaczem dla Przedszkola nr 5</t>
  </si>
  <si>
    <t>zakupiono zmywarkę z wyparzaczem</t>
  </si>
  <si>
    <t>Zakup zmywarki z wyparzaczem dla Przedszkola nr 6</t>
  </si>
  <si>
    <t>Zakup zmywarki dla stołówki  SP nr 9</t>
  </si>
  <si>
    <t>zakupiono zmywarkę</t>
  </si>
  <si>
    <t>Zakup kotła warzelnego dla Szkoły Podstawowej nr 15</t>
  </si>
  <si>
    <t>zakupiono kocioł warzelny</t>
  </si>
  <si>
    <t>Zarządzanie energią w budynkach użyteczności publicznej w Koninie</t>
  </si>
  <si>
    <t xml:space="preserve">Dotacja celowa na zakupy inwestycyjne dla WSZ w Koninie </t>
  </si>
  <si>
    <t>przekazano dotację na dofinansowanie zakupu mikroskopu typu OLYMPUS dla potrzeb Pododdziału Hematologii Oddziału Onkologicznego</t>
  </si>
  <si>
    <t>Przeciwdziałanie alkoholizmowi</t>
  </si>
  <si>
    <t>przekazano dotację na zakup zestawu do ćwiczeń siłowych dla Oddziału Leczenia Uzależnień</t>
  </si>
  <si>
    <t>Zakup trzech tablic interaktywnych dla SP nr 3, SP nr 12 i  SP nr 15</t>
  </si>
  <si>
    <t>zakupiono trzy tablice interaktywne</t>
  </si>
  <si>
    <t xml:space="preserve">Zakup tablicy interaktywnej z oprzyrządowaniem dla Przedszkola nr 32 </t>
  </si>
  <si>
    <t>zakupiono tablicę interaktywną z oprzyrządowaniem - 1 szt.</t>
  </si>
  <si>
    <t>Zakup szafy na potrzeby projektu</t>
  </si>
  <si>
    <t>zakupiono szafę na potrzeby projektu (MOPR)</t>
  </si>
  <si>
    <t>Zakup tablic interaktywnych do prowadzenia zajęć (dla SP nr 1; 3; 4; 9 i 12)</t>
  </si>
  <si>
    <t xml:space="preserve">zakupiono 5 tablic interaktywnych </t>
  </si>
  <si>
    <t>Zakup multimedialnej tablicy interaktywnej dla Przedszkola nr 4</t>
  </si>
  <si>
    <t>zakupiono multimedialną tablicę interaktywną</t>
  </si>
  <si>
    <t>Zakup zestawu nagłaśniającego dla Przedszkola nr 4</t>
  </si>
  <si>
    <t>zakupiono zestaw nagłaśniający</t>
  </si>
  <si>
    <t>Zakup sprzętu ćwiczeniowego na plac zabaw dla Przedszkola nr 4</t>
  </si>
  <si>
    <t xml:space="preserve">zakupiono sprzęt ćwiczeniowy na plac zabaw </t>
  </si>
  <si>
    <t>Zakup sprzętu do zabaw ruchowych na plac zabaw dla Przedszkola nr 32</t>
  </si>
  <si>
    <t>przesunięto transzę z WUP w Poznaniu na styczeń 2013</t>
  </si>
  <si>
    <t>Zakup sprzętu do Sali Doświadczania Świata dla Przedszkola nr 32</t>
  </si>
  <si>
    <t>Zakup sprzętu rehabilitacyjnego dla Przedszkola nr 32</t>
  </si>
  <si>
    <t>Dobry pomysł na firmę - wspomagamy przedsiębiorczość w Koninie - w ramach programu POKL (dotacja celowa)</t>
  </si>
  <si>
    <t>wypłacono zaliczki oraz częściowo rozliczono dotacje inwestycyjne dla 47 uczestników projektu na rozpoczęcie działalności gospodarczej</t>
  </si>
  <si>
    <t xml:space="preserve">Usuwanie wyrobów zawierających azbest z nieruchomości położonych na terenie miasta Konina </t>
  </si>
  <si>
    <t>nie udzielono dotacji na usuwanie wyrobów zawierających azbest</t>
  </si>
  <si>
    <t>nie udzielono dotacji</t>
  </si>
  <si>
    <t>udzielono dotacje na unieszkodliwienie  33,98 ton wyrobów zawierających azbest  (16 umów)</t>
  </si>
  <si>
    <t>Wygrodzenie dwóch placów zabaw przy ul. Leszczynowej i ul. Chopina 14 a  w Koninie</t>
  </si>
  <si>
    <t>wygrodzono dwa place zabaw przy ul. Leszczynowej i ul. Chopina 14 a  w Koninie</t>
  </si>
  <si>
    <t>Oświetlenie ulic, placów i dróg</t>
  </si>
  <si>
    <t>Budowa sygnalizacji świetlnej na skrzyżowaniu ul. Przemysłowej i  ul. Gosławickiej</t>
  </si>
  <si>
    <t>Doświetlenie przejść dla pieszych  w Koninie (dokumentacja, wykonanie)</t>
  </si>
  <si>
    <t>zaktualizowano dokumentację projektową i wykonano doświetlenie przejść - ul. 11 Listopada II etap, ul. Paderewskiego II etap i przy SP 1</t>
  </si>
  <si>
    <t xml:space="preserve">Dokumentacja projektowa na budowę oświetlenia ulicznego ul. Aleja Cukrownicza, ul. Pałacowa, ul. 150-lecia oraz ul. Kortowa </t>
  </si>
  <si>
    <t>Montaż energooszczędnego systemu oświetlenia ulicznego na ulicy Zakładowej</t>
  </si>
  <si>
    <t>wykonano montaż energooszczędnego systemu oświetlenia</t>
  </si>
  <si>
    <t xml:space="preserve">Budowa oświetlenia na ul. Kanałowej </t>
  </si>
  <si>
    <t xml:space="preserve">opracowano dokumentację projektową </t>
  </si>
  <si>
    <t>środki w wysokości 1.149,61 zł przeniesiono na wydatki niewygasające</t>
  </si>
  <si>
    <t xml:space="preserve">Budowa  sygnalizacji świetlnej na skrzyżowaniu ulic Zagórowska - Marii  Dąbrowskiej - Pułaskiego  </t>
  </si>
  <si>
    <t>Opracowanie dokumentacji projektowo-kosztorysowej na budowę oświetlenia przy ul. Reformackiej (od ul. Wzgórze do ul. Świętojańskiej) i ul. Wzgórze</t>
  </si>
  <si>
    <t>Zakup infrastruktury elektroenergetycznej ul. Legionów</t>
  </si>
  <si>
    <t>zakupiono infrastrukturę elektroenergetyczną</t>
  </si>
  <si>
    <t>Zakup oświetlenia na ulicy Kanałowej</t>
  </si>
  <si>
    <t>zakupiono oświetlenie od Elektrowni</t>
  </si>
  <si>
    <t xml:space="preserve">Zakup ulicznych lamp solarnych  </t>
  </si>
  <si>
    <t>zakupiono 2 szt. lamp solarnych</t>
  </si>
  <si>
    <t>Budowa przyłączy wodociągowych do komunalnych budynków mieszklanych przy ul. Kanałowej 6, 7, 8, 11 i ul. Przemysłowej 160 w Koninie</t>
  </si>
  <si>
    <t xml:space="preserve">wybudowano przyłącza wodociągowe w ramach wniesionego wkładu pieniężnego do PWiK na realizację zadania </t>
  </si>
  <si>
    <t>Wniesienie wkładu pieniężnego na budowę kanalizacji sanitarnej i wodociągu os. Pawłówek</t>
  </si>
  <si>
    <t xml:space="preserve">wybudowano kanalizację sanitarną i wodociąg w ramach wniesionego wkładu pieniężnego do PWiK na realizację zadania </t>
  </si>
  <si>
    <t>Wniesienie wkładu pieniężnego na budowę kanalizacji sanitarnej w ul. Jana Pawła II  75,77</t>
  </si>
  <si>
    <t xml:space="preserve">wybudowano kanalizację sanitarną w ramach wniesionego wkładu pieniężnego do PWiK na realizację zadania </t>
  </si>
  <si>
    <t>Wniesienie wkładu pieniężnego na budowę kanalizacji sanitarnej w ul. Benesza</t>
  </si>
  <si>
    <t xml:space="preserve">wybudowano kanalizację sanitarną w ul. Benesza w ramach wniesionego wkładu pieniężnego do PWiK na realizację zadania </t>
  </si>
  <si>
    <t>Wniesienie wkładu pieniężnego na opracowanie dokumentacji projektowej na budowę kanalizacji sanitarnej os. Wilków V etap (ul. Topolowa, Jarzębinowa)</t>
  </si>
  <si>
    <t>zawarto umowę z  PWiK na realizację zadania w ramach wniesionego wkładu pieniężnego</t>
  </si>
  <si>
    <t>środki w wysokości 24.000,00 zł przeniesiono na wydatki niewygasające</t>
  </si>
  <si>
    <t>Wniesienie wkładu pieniężnego na opracowanie dokumentacji projektowej na budowę kanalizacji sanitarnej w ul. Wierzbowej, Gruntowej, Brzozowej</t>
  </si>
  <si>
    <t xml:space="preserve">opracowano dokumentację projektową na budowę kanalizacji sanitarnej  w ramach wniesionego wkładu pieniężnego do PWiK na realizację zadania  </t>
  </si>
  <si>
    <t xml:space="preserve">                                                      Wniesienie wkładu pieniężnego na opracowanie dokumentacji projektowej na budowę kanalizacji sanitarnej  w ul. Magnoliowej
</t>
  </si>
  <si>
    <t>opracowano dokumentację projektową na budowę kanalizacji sanitarnej  w ramach wniesionego wkładu pieniężnego do PWiK na realizację zadania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</si>
</sst>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"/>
    <numFmt numFmtId="166" formatCode="#,##0.0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00000"/>
    <numFmt numFmtId="178" formatCode="#,##0.00000000"/>
    <numFmt numFmtId="179" formatCode="#,##0.0000000"/>
    <numFmt numFmtId="180" formatCode="0.000000000"/>
    <numFmt numFmtId="181" formatCode="#,##0.00_ ;[Red]\-#,##0.00\ "/>
  </numFmts>
  <fonts count="1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 CE"/>
      <family val="1"/>
    </font>
    <font>
      <i/>
      <sz val="14"/>
      <name val="Times New Roman CE"/>
      <family val="0"/>
    </font>
    <font>
      <b/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i/>
      <sz val="14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2"/>
    </font>
    <font>
      <b/>
      <i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Arial CE"/>
      <family val="0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6"/>
      <name val="Times New Roman"/>
      <family val="1"/>
    </font>
    <font>
      <i/>
      <sz val="10"/>
      <name val="Times New Roman CE"/>
      <family val="0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16"/>
      <color indexed="10"/>
      <name val="Times New Roman"/>
      <family val="1"/>
    </font>
    <font>
      <sz val="7"/>
      <name val="Arial CE"/>
      <family val="0"/>
    </font>
    <font>
      <b/>
      <i/>
      <sz val="16"/>
      <name val="Times New Roman CE"/>
      <family val="0"/>
    </font>
    <font>
      <i/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0"/>
    </font>
    <font>
      <b/>
      <sz val="12"/>
      <name val="Times New Roman CE"/>
      <family val="1"/>
    </font>
    <font>
      <b/>
      <sz val="11"/>
      <name val="Arial CE"/>
      <family val="2"/>
    </font>
    <font>
      <b/>
      <sz val="10"/>
      <color indexed="12"/>
      <name val="Times New Roman"/>
      <family val="1"/>
    </font>
    <font>
      <b/>
      <i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i/>
      <sz val="9"/>
      <color indexed="12"/>
      <name val="Times New Roman"/>
      <family val="1"/>
    </font>
    <font>
      <sz val="12"/>
      <name val="Arial CE"/>
      <family val="0"/>
    </font>
    <font>
      <i/>
      <sz val="11"/>
      <name val="Times New Roman"/>
      <family val="1"/>
    </font>
    <font>
      <b/>
      <sz val="14"/>
      <color indexed="12"/>
      <name val="Times New Roman"/>
      <family val="1"/>
    </font>
    <font>
      <b/>
      <sz val="8"/>
      <name val="Arial CE"/>
      <family val="0"/>
    </font>
    <font>
      <b/>
      <sz val="6"/>
      <name val="Arial CE"/>
      <family val="0"/>
    </font>
    <font>
      <b/>
      <sz val="5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  <font>
      <sz val="6"/>
      <name val="Arial CE"/>
      <family val="0"/>
    </font>
    <font>
      <i/>
      <sz val="6"/>
      <name val="Arial CE"/>
      <family val="0"/>
    </font>
    <font>
      <i/>
      <sz val="12"/>
      <name val="Arial"/>
      <family val="2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9"/>
      <name val="Times New Roman"/>
      <family val="1"/>
    </font>
    <font>
      <b/>
      <sz val="8"/>
      <color indexed="1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i/>
      <sz val="13"/>
      <name val="Times New Roman"/>
      <family val="1"/>
    </font>
    <font>
      <b/>
      <i/>
      <sz val="8"/>
      <name val="Times New Roman"/>
      <family val="1"/>
    </font>
    <font>
      <b/>
      <sz val="9"/>
      <color indexed="12"/>
      <name val="Times New Roman"/>
      <family val="1"/>
    </font>
    <font>
      <sz val="11"/>
      <name val="Arial"/>
      <family val="0"/>
    </font>
    <font>
      <vertAlign val="superscript"/>
      <sz val="8"/>
      <name val="Times New Roman"/>
      <family val="1"/>
    </font>
    <font>
      <i/>
      <sz val="10"/>
      <name val="Arial"/>
      <family val="0"/>
    </font>
    <font>
      <i/>
      <sz val="16"/>
      <name val="Times New Roman"/>
      <family val="1"/>
    </font>
    <font>
      <sz val="9"/>
      <name val="Arial"/>
      <family val="0"/>
    </font>
    <font>
      <b/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" borderId="0" applyNumberFormat="0" applyBorder="0" applyAlignment="0" applyProtection="0"/>
  </cellStyleXfs>
  <cellXfs count="1288">
    <xf numFmtId="0" fontId="0" fillId="0" borderId="0" xfId="0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4" fontId="22" fillId="0" borderId="15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4" fontId="22" fillId="0" borderId="0" xfId="0" applyNumberFormat="1" applyFont="1" applyFill="1" applyAlignment="1">
      <alignment/>
    </xf>
    <xf numFmtId="0" fontId="19" fillId="0" borderId="15" xfId="0" applyFont="1" applyFill="1" applyBorder="1" applyAlignment="1">
      <alignment horizontal="left" vertical="center"/>
    </xf>
    <xf numFmtId="4" fontId="22" fillId="0" borderId="0" xfId="0" applyNumberFormat="1" applyFont="1" applyFill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0" fontId="22" fillId="0" borderId="0" xfId="0" applyFont="1" applyAlignment="1">
      <alignment/>
    </xf>
    <xf numFmtId="4" fontId="22" fillId="0" borderId="20" xfId="0" applyNumberFormat="1" applyFont="1" applyFill="1" applyBorder="1" applyAlignment="1">
      <alignment vertical="center"/>
    </xf>
    <xf numFmtId="4" fontId="23" fillId="0" borderId="11" xfId="0" applyNumberFormat="1" applyFont="1" applyFill="1" applyBorder="1" applyAlignment="1">
      <alignment horizontal="right" vertical="center" wrapText="1"/>
    </xf>
    <xf numFmtId="4" fontId="22" fillId="0" borderId="18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4" fontId="22" fillId="0" borderId="0" xfId="0" applyNumberFormat="1" applyFont="1" applyAlignment="1">
      <alignment/>
    </xf>
    <xf numFmtId="0" fontId="17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4" fontId="23" fillId="0" borderId="15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6" fillId="0" borderId="21" xfId="0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vertical="center"/>
    </xf>
    <xf numFmtId="4" fontId="16" fillId="0" borderId="2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>
      <alignment vertical="center"/>
    </xf>
    <xf numFmtId="4" fontId="22" fillId="0" borderId="14" xfId="0" applyNumberFormat="1" applyFont="1" applyFill="1" applyBorder="1" applyAlignment="1">
      <alignment vertical="center"/>
    </xf>
    <xf numFmtId="4" fontId="22" fillId="0" borderId="24" xfId="0" applyNumberFormat="1" applyFont="1" applyFill="1" applyBorder="1" applyAlignment="1">
      <alignment vertical="center"/>
    </xf>
    <xf numFmtId="4" fontId="16" fillId="0" borderId="18" xfId="0" applyNumberFormat="1" applyFont="1" applyFill="1" applyBorder="1" applyAlignment="1">
      <alignment vertical="center"/>
    </xf>
    <xf numFmtId="4" fontId="16" fillId="0" borderId="21" xfId="0" applyNumberFormat="1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vertical="center" wrapText="1"/>
    </xf>
    <xf numFmtId="4" fontId="16" fillId="0" borderId="0" xfId="0" applyNumberFormat="1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vertical="center"/>
    </xf>
    <xf numFmtId="4" fontId="12" fillId="0" borderId="20" xfId="0" applyNumberFormat="1" applyFont="1" applyFill="1" applyBorder="1" applyAlignment="1">
      <alignment vertical="center"/>
    </xf>
    <xf numFmtId="4" fontId="12" fillId="0" borderId="17" xfId="0" applyNumberFormat="1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4" fontId="25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4" fontId="22" fillId="0" borderId="24" xfId="0" applyNumberFormat="1" applyFont="1" applyFill="1" applyBorder="1" applyAlignment="1">
      <alignment horizontal="right"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4" fontId="16" fillId="0" borderId="21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vertical="center"/>
    </xf>
    <xf numFmtId="4" fontId="18" fillId="0" borderId="18" xfId="0" applyNumberFormat="1" applyFont="1" applyFill="1" applyBorder="1" applyAlignment="1">
      <alignment vertical="center"/>
    </xf>
    <xf numFmtId="4" fontId="12" fillId="0" borderId="18" xfId="0" applyNumberFormat="1" applyFont="1" applyFill="1" applyBorder="1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4" fontId="12" fillId="0" borderId="15" xfId="0" applyNumberFormat="1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 vertical="center"/>
    </xf>
    <xf numFmtId="4" fontId="16" fillId="0" borderId="23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4" fontId="18" fillId="0" borderId="17" xfId="0" applyNumberFormat="1" applyFont="1" applyFill="1" applyBorder="1" applyAlignment="1">
      <alignment vertical="center"/>
    </xf>
    <xf numFmtId="4" fontId="18" fillId="0" borderId="11" xfId="0" applyNumberFormat="1" applyFont="1" applyFill="1" applyBorder="1" applyAlignment="1">
      <alignment vertical="center" wrapText="1"/>
    </xf>
    <xf numFmtId="4" fontId="18" fillId="0" borderId="18" xfId="0" applyNumberFormat="1" applyFont="1" applyFill="1" applyBorder="1" applyAlignment="1">
      <alignment vertical="center" wrapText="1"/>
    </xf>
    <xf numFmtId="4" fontId="23" fillId="0" borderId="18" xfId="0" applyNumberFormat="1" applyFont="1" applyFill="1" applyBorder="1" applyAlignment="1">
      <alignment vertical="center"/>
    </xf>
    <xf numFmtId="4" fontId="18" fillId="0" borderId="16" xfId="0" applyNumberFormat="1" applyFont="1" applyFill="1" applyBorder="1" applyAlignment="1">
      <alignment vertical="center"/>
    </xf>
    <xf numFmtId="0" fontId="37" fillId="0" borderId="15" xfId="0" applyFont="1" applyFill="1" applyBorder="1" applyAlignment="1">
      <alignment horizontal="left" vertical="center"/>
    </xf>
    <xf numFmtId="4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4" fontId="12" fillId="0" borderId="21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vertical="center" wrapText="1"/>
    </xf>
    <xf numFmtId="4" fontId="14" fillId="0" borderId="19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/>
    </xf>
    <xf numFmtId="4" fontId="17" fillId="0" borderId="0" xfId="0" applyNumberFormat="1" applyFont="1" applyFill="1" applyAlignment="1">
      <alignment horizontal="right" vertical="center"/>
    </xf>
    <xf numFmtId="4" fontId="22" fillId="0" borderId="11" xfId="0" applyNumberFormat="1" applyFont="1" applyFill="1" applyBorder="1" applyAlignment="1">
      <alignment horizontal="right" vertical="center" wrapText="1"/>
    </xf>
    <xf numFmtId="0" fontId="16" fillId="0" borderId="14" xfId="0" applyFont="1" applyFill="1" applyBorder="1" applyAlignment="1">
      <alignment horizontal="left" vertical="center"/>
    </xf>
    <xf numFmtId="0" fontId="8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Alignment="1">
      <alignment horizontal="left" vertical="center"/>
    </xf>
    <xf numFmtId="0" fontId="18" fillId="0" borderId="11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/>
    </xf>
    <xf numFmtId="4" fontId="23" fillId="0" borderId="14" xfId="0" applyNumberFormat="1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vertical="center" wrapText="1"/>
    </xf>
    <xf numFmtId="4" fontId="12" fillId="0" borderId="23" xfId="0" applyNumberFormat="1" applyFont="1" applyFill="1" applyBorder="1" applyAlignment="1">
      <alignment vertical="center"/>
    </xf>
    <xf numFmtId="4" fontId="39" fillId="0" borderId="14" xfId="0" applyNumberFormat="1" applyFont="1" applyFill="1" applyBorder="1" applyAlignment="1">
      <alignment vertical="center"/>
    </xf>
    <xf numFmtId="4" fontId="22" fillId="0" borderId="17" xfId="0" applyNumberFormat="1" applyFont="1" applyFill="1" applyBorder="1" applyAlignment="1">
      <alignment vertical="center"/>
    </xf>
    <xf numFmtId="4" fontId="14" fillId="0" borderId="14" xfId="0" applyNumberFormat="1" applyFont="1" applyFill="1" applyBorder="1" applyAlignment="1">
      <alignment vertical="center" wrapText="1"/>
    </xf>
    <xf numFmtId="4" fontId="16" fillId="0" borderId="16" xfId="0" applyNumberFormat="1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vertical="center"/>
    </xf>
    <xf numFmtId="4" fontId="18" fillId="0" borderId="21" xfId="0" applyNumberFormat="1" applyFont="1" applyFill="1" applyBorder="1" applyAlignment="1">
      <alignment vertical="center"/>
    </xf>
    <xf numFmtId="4" fontId="16" fillId="0" borderId="13" xfId="0" applyNumberFormat="1" applyFont="1" applyFill="1" applyBorder="1" applyAlignment="1">
      <alignment vertical="center"/>
    </xf>
    <xf numFmtId="4" fontId="22" fillId="0" borderId="13" xfId="0" applyNumberFormat="1" applyFont="1" applyFill="1" applyBorder="1" applyAlignment="1">
      <alignment vertical="center"/>
    </xf>
    <xf numFmtId="4" fontId="22" fillId="0" borderId="12" xfId="0" applyNumberFormat="1" applyFont="1" applyFill="1" applyBorder="1" applyAlignment="1">
      <alignment vertical="center"/>
    </xf>
    <xf numFmtId="4" fontId="18" fillId="0" borderId="23" xfId="0" applyNumberFormat="1" applyFont="1" applyFill="1" applyBorder="1" applyAlignment="1">
      <alignment vertical="center"/>
    </xf>
    <xf numFmtId="4" fontId="18" fillId="0" borderId="20" xfId="0" applyNumberFormat="1" applyFont="1" applyFill="1" applyBorder="1" applyAlignment="1">
      <alignment vertical="center"/>
    </xf>
    <xf numFmtId="4" fontId="14" fillId="0" borderId="18" xfId="0" applyNumberFormat="1" applyFont="1" applyFill="1" applyBorder="1" applyAlignment="1">
      <alignment horizontal="right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32" fillId="0" borderId="2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49" fontId="18" fillId="0" borderId="20" xfId="0" applyNumberFormat="1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2" fillId="0" borderId="20" xfId="0" applyNumberFormat="1" applyFont="1" applyFill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/>
    </xf>
    <xf numFmtId="4" fontId="23" fillId="0" borderId="16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vertical="center" wrapText="1"/>
    </xf>
    <xf numFmtId="4" fontId="12" fillId="0" borderId="24" xfId="0" applyNumberFormat="1" applyFont="1" applyFill="1" applyBorder="1" applyAlignment="1">
      <alignment vertical="center"/>
    </xf>
    <xf numFmtId="4" fontId="18" fillId="0" borderId="11" xfId="0" applyNumberFormat="1" applyFont="1" applyFill="1" applyBorder="1" applyAlignment="1">
      <alignment horizontal="right" vertical="center" wrapText="1"/>
    </xf>
    <xf numFmtId="4" fontId="16" fillId="0" borderId="12" xfId="0" applyNumberFormat="1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4" fontId="18" fillId="0" borderId="24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vertical="center"/>
    </xf>
    <xf numFmtId="4" fontId="18" fillId="0" borderId="12" xfId="0" applyNumberFormat="1" applyFont="1" applyFill="1" applyBorder="1" applyAlignment="1">
      <alignment vertical="center"/>
    </xf>
    <xf numFmtId="4" fontId="8" fillId="0" borderId="2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2" fillId="0" borderId="0" xfId="53" applyFont="1">
      <alignment/>
      <protection/>
    </xf>
    <xf numFmtId="0" fontId="8" fillId="0" borderId="0" xfId="53" applyFont="1">
      <alignment/>
      <protection/>
    </xf>
    <xf numFmtId="0" fontId="27" fillId="0" borderId="0" xfId="53" applyFont="1">
      <alignment/>
      <protection/>
    </xf>
    <xf numFmtId="0" fontId="11" fillId="0" borderId="0" xfId="53" applyFont="1" applyAlignment="1">
      <alignment/>
      <protection/>
    </xf>
    <xf numFmtId="0" fontId="22" fillId="0" borderId="0" xfId="53" applyFont="1" applyAlignment="1">
      <alignment horizontal="right"/>
      <protection/>
    </xf>
    <xf numFmtId="0" fontId="30" fillId="0" borderId="20" xfId="53" applyFont="1" applyBorder="1" applyAlignment="1">
      <alignment vertical="center" wrapText="1"/>
      <protection/>
    </xf>
    <xf numFmtId="0" fontId="22" fillId="0" borderId="10" xfId="53" applyFont="1" applyBorder="1" applyAlignment="1">
      <alignment vertical="center"/>
      <protection/>
    </xf>
    <xf numFmtId="0" fontId="15" fillId="0" borderId="10" xfId="53" applyFont="1" applyBorder="1" applyAlignment="1">
      <alignment vertical="center"/>
      <protection/>
    </xf>
    <xf numFmtId="0" fontId="22" fillId="0" borderId="18" xfId="53" applyFont="1" applyBorder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22" fillId="0" borderId="0" xfId="53" applyFont="1" applyAlignment="1">
      <alignment vertical="center"/>
      <protection/>
    </xf>
    <xf numFmtId="0" fontId="22" fillId="0" borderId="0" xfId="0" applyFont="1" applyAlignment="1">
      <alignment vertical="center"/>
    </xf>
    <xf numFmtId="0" fontId="30" fillId="0" borderId="14" xfId="53" applyFont="1" applyBorder="1" applyAlignment="1">
      <alignment horizontal="center" vertical="center" wrapText="1"/>
      <protection/>
    </xf>
    <xf numFmtId="0" fontId="18" fillId="0" borderId="18" xfId="53" applyFont="1" applyBorder="1" applyAlignment="1">
      <alignment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18" fillId="0" borderId="14" xfId="53" applyFont="1" applyBorder="1" applyAlignment="1">
      <alignment horizontal="left" vertical="center" wrapText="1"/>
      <protection/>
    </xf>
    <xf numFmtId="4" fontId="22" fillId="0" borderId="0" xfId="53" applyNumberFormat="1" applyFont="1">
      <alignment/>
      <protection/>
    </xf>
    <xf numFmtId="0" fontId="19" fillId="0" borderId="14" xfId="53" applyFont="1" applyFill="1" applyBorder="1" applyAlignment="1">
      <alignment vertical="center" wrapText="1"/>
      <protection/>
    </xf>
    <xf numFmtId="4" fontId="37" fillId="0" borderId="0" xfId="53" applyNumberFormat="1" applyFont="1" applyFill="1" applyBorder="1" applyAlignment="1">
      <alignment vertical="center"/>
      <protection/>
    </xf>
    <xf numFmtId="4" fontId="16" fillId="0" borderId="0" xfId="53" applyNumberFormat="1" applyFont="1">
      <alignment/>
      <protection/>
    </xf>
    <xf numFmtId="0" fontId="16" fillId="0" borderId="0" xfId="53" applyFont="1">
      <alignment/>
      <protection/>
    </xf>
    <xf numFmtId="0" fontId="16" fillId="0" borderId="0" xfId="0" applyFont="1" applyAlignment="1">
      <alignment/>
    </xf>
    <xf numFmtId="0" fontId="34" fillId="0" borderId="11" xfId="53" applyFont="1" applyBorder="1" applyAlignment="1">
      <alignment vertical="center" wrapText="1"/>
      <protection/>
    </xf>
    <xf numFmtId="4" fontId="16" fillId="0" borderId="0" xfId="53" applyNumberFormat="1" applyFont="1" applyAlignment="1">
      <alignment vertical="center"/>
      <protection/>
    </xf>
    <xf numFmtId="0" fontId="27" fillId="0" borderId="11" xfId="53" applyFont="1" applyBorder="1" applyAlignment="1">
      <alignment vertical="center" wrapText="1"/>
      <protection/>
    </xf>
    <xf numFmtId="4" fontId="27" fillId="0" borderId="11" xfId="53" applyNumberFormat="1" applyFont="1" applyBorder="1" applyAlignment="1">
      <alignment vertical="center"/>
      <protection/>
    </xf>
    <xf numFmtId="3" fontId="16" fillId="0" borderId="0" xfId="53" applyNumberFormat="1" applyFont="1" applyAlignment="1">
      <alignment vertical="center"/>
      <protection/>
    </xf>
    <xf numFmtId="4" fontId="64" fillId="0" borderId="0" xfId="53" applyNumberFormat="1" applyFont="1" applyAlignment="1">
      <alignment vertical="center"/>
      <protection/>
    </xf>
    <xf numFmtId="4" fontId="22" fillId="0" borderId="0" xfId="53" applyNumberFormat="1" applyFont="1" applyAlignment="1">
      <alignment vertical="center"/>
      <protection/>
    </xf>
    <xf numFmtId="0" fontId="27" fillId="0" borderId="11" xfId="53" applyFont="1" applyFill="1" applyBorder="1" applyAlignment="1">
      <alignment vertical="center" wrapText="1"/>
      <protection/>
    </xf>
    <xf numFmtId="0" fontId="8" fillId="0" borderId="0" xfId="53" applyFont="1" applyAlignment="1">
      <alignment vertical="center" wrapText="1"/>
      <protection/>
    </xf>
    <xf numFmtId="4" fontId="57" fillId="0" borderId="0" xfId="53" applyNumberFormat="1" applyFont="1" applyAlignment="1">
      <alignment vertical="center"/>
      <protection/>
    </xf>
    <xf numFmtId="4" fontId="22" fillId="0" borderId="14" xfId="0" applyNumberFormat="1" applyFont="1" applyFill="1" applyBorder="1" applyAlignment="1">
      <alignment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14" fillId="0" borderId="24" xfId="0" applyNumberFormat="1" applyFont="1" applyFill="1" applyBorder="1" applyAlignment="1">
      <alignment vertical="center"/>
    </xf>
    <xf numFmtId="4" fontId="22" fillId="0" borderId="16" xfId="0" applyNumberFormat="1" applyFont="1" applyFill="1" applyBorder="1" applyAlignment="1">
      <alignment vertical="center"/>
    </xf>
    <xf numFmtId="4" fontId="14" fillId="0" borderId="16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vertical="center" wrapText="1"/>
    </xf>
    <xf numFmtId="4" fontId="31" fillId="0" borderId="0" xfId="0" applyNumberFormat="1" applyFont="1" applyFill="1" applyAlignment="1">
      <alignment vertical="center"/>
    </xf>
    <xf numFmtId="4" fontId="22" fillId="0" borderId="18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36" fillId="0" borderId="0" xfId="0" applyNumberFormat="1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8" fillId="0" borderId="0" xfId="0" applyFont="1" applyFill="1" applyBorder="1" applyAlignment="1">
      <alignment vertical="center"/>
    </xf>
    <xf numFmtId="4" fontId="27" fillId="0" borderId="0" xfId="0" applyNumberFormat="1" applyFont="1" applyAlignment="1">
      <alignment/>
    </xf>
    <xf numFmtId="4" fontId="36" fillId="0" borderId="11" xfId="53" applyNumberFormat="1" applyFont="1" applyFill="1" applyBorder="1" applyAlignment="1">
      <alignment vertical="center"/>
      <protection/>
    </xf>
    <xf numFmtId="4" fontId="60" fillId="0" borderId="11" xfId="53" applyNumberFormat="1" applyFont="1" applyBorder="1" applyAlignment="1">
      <alignment vertical="center"/>
      <protection/>
    </xf>
    <xf numFmtId="4" fontId="27" fillId="0" borderId="11" xfId="53" applyNumberFormat="1" applyFont="1" applyFill="1" applyBorder="1" applyAlignment="1">
      <alignment vertical="center"/>
      <protection/>
    </xf>
    <xf numFmtId="4" fontId="27" fillId="0" borderId="14" xfId="53" applyNumberFormat="1" applyFont="1" applyFill="1" applyBorder="1" applyAlignment="1">
      <alignment vertical="center"/>
      <protection/>
    </xf>
    <xf numFmtId="4" fontId="27" fillId="0" borderId="14" xfId="53" applyNumberFormat="1" applyFont="1" applyBorder="1" applyAlignment="1">
      <alignment vertical="center"/>
      <protection/>
    </xf>
    <xf numFmtId="4" fontId="14" fillId="0" borderId="11" xfId="0" applyNumberFormat="1" applyFont="1" applyFill="1" applyBorder="1" applyAlignment="1">
      <alignment horizontal="right" vertical="center" wrapText="1"/>
    </xf>
    <xf numFmtId="4" fontId="14" fillId="0" borderId="20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 wrapText="1"/>
    </xf>
    <xf numFmtId="4" fontId="8" fillId="0" borderId="18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22" fillId="0" borderId="20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3" fontId="32" fillId="0" borderId="11" xfId="0" applyNumberFormat="1" applyFont="1" applyFill="1" applyBorder="1" applyAlignment="1">
      <alignment horizontal="center" vertical="center" wrapText="1"/>
    </xf>
    <xf numFmtId="3" fontId="27" fillId="0" borderId="24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vertical="center"/>
    </xf>
    <xf numFmtId="4" fontId="27" fillId="0" borderId="24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" fontId="67" fillId="0" borderId="0" xfId="0" applyNumberFormat="1" applyFont="1" applyAlignment="1">
      <alignment/>
    </xf>
    <xf numFmtId="0" fontId="20" fillId="0" borderId="0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left" vertical="center"/>
    </xf>
    <xf numFmtId="0" fontId="22" fillId="0" borderId="22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" fontId="68" fillId="0" borderId="0" xfId="0" applyNumberFormat="1" applyFont="1" applyFill="1" applyAlignment="1">
      <alignment/>
    </xf>
    <xf numFmtId="4" fontId="69" fillId="0" borderId="0" xfId="0" applyNumberFormat="1" applyFont="1" applyFill="1" applyBorder="1" applyAlignment="1">
      <alignment horizontal="right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4" fontId="70" fillId="0" borderId="18" xfId="0" applyNumberFormat="1" applyFont="1" applyFill="1" applyBorder="1" applyAlignment="1">
      <alignment horizontal="center" vertical="center" wrapText="1"/>
    </xf>
    <xf numFmtId="4" fontId="70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71" fillId="0" borderId="11" xfId="0" applyNumberFormat="1" applyFont="1" applyFill="1" applyBorder="1" applyAlignment="1">
      <alignment vertical="center" wrapText="1"/>
    </xf>
    <xf numFmtId="3" fontId="71" fillId="0" borderId="0" xfId="0" applyNumberFormat="1" applyFont="1" applyFill="1" applyBorder="1" applyAlignment="1">
      <alignment vertical="center" wrapText="1"/>
    </xf>
    <xf numFmtId="0" fontId="71" fillId="0" borderId="11" xfId="0" applyFont="1" applyFill="1" applyBorder="1" applyAlignment="1">
      <alignment horizontal="left" vertical="center"/>
    </xf>
    <xf numFmtId="4" fontId="72" fillId="0" borderId="11" xfId="0" applyNumberFormat="1" applyFont="1" applyFill="1" applyBorder="1" applyAlignment="1">
      <alignment vertical="center" wrapText="1"/>
    </xf>
    <xf numFmtId="0" fontId="71" fillId="0" borderId="20" xfId="0" applyFont="1" applyFill="1" applyBorder="1" applyAlignment="1">
      <alignment horizontal="left" vertical="center"/>
    </xf>
    <xf numFmtId="0" fontId="72" fillId="0" borderId="11" xfId="0" applyFont="1" applyFill="1" applyBorder="1" applyAlignment="1">
      <alignment horizontal="left" vertical="center"/>
    </xf>
    <xf numFmtId="0" fontId="72" fillId="0" borderId="18" xfId="0" applyFont="1" applyFill="1" applyBorder="1" applyAlignment="1">
      <alignment horizontal="left" vertical="center"/>
    </xf>
    <xf numFmtId="0" fontId="71" fillId="0" borderId="14" xfId="0" applyFont="1" applyFill="1" applyBorder="1" applyAlignment="1">
      <alignment horizontal="left" vertical="center"/>
    </xf>
    <xf numFmtId="0" fontId="70" fillId="0" borderId="11" xfId="0" applyFont="1" applyFill="1" applyBorder="1" applyAlignment="1">
      <alignment horizontal="left" vertical="center"/>
    </xf>
    <xf numFmtId="0" fontId="70" fillId="0" borderId="18" xfId="0" applyFont="1" applyFill="1" applyBorder="1" applyAlignment="1">
      <alignment horizontal="left" vertical="center"/>
    </xf>
    <xf numFmtId="4" fontId="70" fillId="0" borderId="11" xfId="0" applyNumberFormat="1" applyFont="1" applyFill="1" applyBorder="1" applyAlignment="1">
      <alignment vertical="center" wrapText="1"/>
    </xf>
    <xf numFmtId="0" fontId="71" fillId="0" borderId="20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left" vertical="center" wrapText="1"/>
    </xf>
    <xf numFmtId="4" fontId="71" fillId="0" borderId="11" xfId="0" applyNumberFormat="1" applyFont="1" applyFill="1" applyBorder="1" applyAlignment="1">
      <alignment vertical="center"/>
    </xf>
    <xf numFmtId="3" fontId="71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/>
    </xf>
    <xf numFmtId="0" fontId="72" fillId="0" borderId="20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left" vertical="center" wrapText="1"/>
    </xf>
    <xf numFmtId="4" fontId="72" fillId="0" borderId="11" xfId="0" applyNumberFormat="1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vertical="center"/>
    </xf>
    <xf numFmtId="0" fontId="62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2" fillId="0" borderId="0" xfId="0" applyFont="1" applyAlignment="1">
      <alignment/>
    </xf>
    <xf numFmtId="0" fontId="70" fillId="0" borderId="17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left" vertical="center" wrapText="1"/>
    </xf>
    <xf numFmtId="4" fontId="70" fillId="0" borderId="11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72" fillId="0" borderId="14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left" vertical="center" wrapText="1"/>
    </xf>
    <xf numFmtId="0" fontId="72" fillId="0" borderId="23" xfId="0" applyFont="1" applyFill="1" applyBorder="1" applyAlignment="1">
      <alignment horizontal="center" vertical="center"/>
    </xf>
    <xf numFmtId="4" fontId="70" fillId="0" borderId="11" xfId="0" applyNumberFormat="1" applyFont="1" applyFill="1" applyBorder="1" applyAlignment="1">
      <alignment vertical="center"/>
    </xf>
    <xf numFmtId="0" fontId="70" fillId="0" borderId="11" xfId="0" applyFont="1" applyFill="1" applyBorder="1" applyAlignment="1">
      <alignment vertical="center" wrapText="1"/>
    </xf>
    <xf numFmtId="0" fontId="70" fillId="0" borderId="20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3" fontId="69" fillId="0" borderId="0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70" fillId="0" borderId="17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vertical="center" wrapText="1"/>
    </xf>
    <xf numFmtId="0" fontId="62" fillId="0" borderId="2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vertical="center"/>
    </xf>
    <xf numFmtId="4" fontId="72" fillId="0" borderId="11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0" fontId="62" fillId="0" borderId="22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/>
    </xf>
    <xf numFmtId="4" fontId="74" fillId="0" borderId="0" xfId="0" applyNumberFormat="1" applyFont="1" applyFill="1" applyAlignment="1">
      <alignment horizontal="left" vertical="center"/>
    </xf>
    <xf numFmtId="4" fontId="0" fillId="0" borderId="0" xfId="0" applyNumberFormat="1" applyFont="1" applyAlignment="1">
      <alignment/>
    </xf>
    <xf numFmtId="4" fontId="13" fillId="0" borderId="14" xfId="0" applyNumberFormat="1" applyFont="1" applyFill="1" applyBorder="1" applyAlignment="1">
      <alignment vertical="center"/>
    </xf>
    <xf numFmtId="4" fontId="13" fillId="0" borderId="20" xfId="0" applyNumberFormat="1" applyFont="1" applyFill="1" applyBorder="1" applyAlignment="1">
      <alignment vertical="center"/>
    </xf>
    <xf numFmtId="4" fontId="13" fillId="0" borderId="21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4" fontId="35" fillId="0" borderId="1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35" fillId="0" borderId="0" xfId="0" applyNumberFormat="1" applyFont="1" applyFill="1" applyBorder="1" applyAlignment="1">
      <alignment vertical="center"/>
    </xf>
    <xf numFmtId="4" fontId="8" fillId="0" borderId="23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5" fillId="0" borderId="17" xfId="0" applyFont="1" applyFill="1" applyBorder="1" applyAlignment="1">
      <alignment horizontal="left" vertical="center"/>
    </xf>
    <xf numFmtId="4" fontId="17" fillId="0" borderId="21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4" fontId="18" fillId="0" borderId="0" xfId="0" applyNumberFormat="1" applyFont="1" applyFill="1" applyAlignment="1">
      <alignment vertical="center"/>
    </xf>
    <xf numFmtId="0" fontId="11" fillId="0" borderId="2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vertical="center" wrapText="1"/>
    </xf>
    <xf numFmtId="0" fontId="76" fillId="0" borderId="0" xfId="0" applyFont="1" applyAlignment="1">
      <alignment/>
    </xf>
    <xf numFmtId="4" fontId="79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vertical="center"/>
    </xf>
    <xf numFmtId="4" fontId="80" fillId="0" borderId="0" xfId="0" applyNumberFormat="1" applyFont="1" applyFill="1" applyBorder="1" applyAlignment="1">
      <alignment vertical="center"/>
    </xf>
    <xf numFmtId="4" fontId="81" fillId="0" borderId="0" xfId="0" applyNumberFormat="1" applyFont="1" applyFill="1" applyBorder="1" applyAlignment="1">
      <alignment vertical="center"/>
    </xf>
    <xf numFmtId="4" fontId="82" fillId="0" borderId="0" xfId="0" applyNumberFormat="1" applyFont="1" applyFill="1" applyBorder="1" applyAlignment="1">
      <alignment vertical="center"/>
    </xf>
    <xf numFmtId="4" fontId="83" fillId="0" borderId="0" xfId="0" applyNumberFormat="1" applyFont="1" applyFill="1" applyBorder="1" applyAlignment="1">
      <alignment vertical="center"/>
    </xf>
    <xf numFmtId="4" fontId="84" fillId="0" borderId="0" xfId="0" applyNumberFormat="1" applyFont="1" applyFill="1" applyBorder="1" applyAlignment="1">
      <alignment vertical="center"/>
    </xf>
    <xf numFmtId="4" fontId="75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18" xfId="0" applyNumberFormat="1" applyFont="1" applyFill="1" applyBorder="1" applyAlignment="1">
      <alignment vertical="center"/>
    </xf>
    <xf numFmtId="0" fontId="85" fillId="0" borderId="0" xfId="0" applyFont="1" applyAlignment="1">
      <alignment/>
    </xf>
    <xf numFmtId="0" fontId="38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15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9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86" fillId="0" borderId="0" xfId="0" applyFont="1" applyFill="1" applyAlignment="1">
      <alignment vertical="center"/>
    </xf>
    <xf numFmtId="4" fontId="30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61" fillId="0" borderId="0" xfId="0" applyFont="1" applyFill="1" applyAlignment="1">
      <alignment wrapText="1"/>
    </xf>
    <xf numFmtId="0" fontId="8" fillId="0" borderId="11" xfId="0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right" vertical="center"/>
    </xf>
    <xf numFmtId="4" fontId="23" fillId="0" borderId="11" xfId="0" applyNumberFormat="1" applyFont="1" applyFill="1" applyBorder="1" applyAlignment="1">
      <alignment horizontal="right" vertical="center"/>
    </xf>
    <xf numFmtId="0" fontId="30" fillId="0" borderId="0" xfId="0" applyFont="1" applyAlignment="1">
      <alignment/>
    </xf>
    <xf numFmtId="0" fontId="61" fillId="0" borderId="0" xfId="0" applyFont="1" applyAlignment="1">
      <alignment/>
    </xf>
    <xf numFmtId="4" fontId="62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17" fillId="0" borderId="0" xfId="0" applyFon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left" vertical="center" wrapText="1"/>
    </xf>
    <xf numFmtId="2" fontId="23" fillId="0" borderId="15" xfId="0" applyNumberFormat="1" applyFont="1" applyFill="1" applyBorder="1" applyAlignment="1">
      <alignment horizontal="right" vertical="center"/>
    </xf>
    <xf numFmtId="2" fontId="23" fillId="0" borderId="11" xfId="0" applyNumberFormat="1" applyFont="1" applyBorder="1" applyAlignment="1">
      <alignment horizontal="right" vertical="center"/>
    </xf>
    <xf numFmtId="0" fontId="17" fillId="0" borderId="17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 wrapText="1"/>
    </xf>
    <xf numFmtId="2" fontId="22" fillId="0" borderId="15" xfId="0" applyNumberFormat="1" applyFont="1" applyFill="1" applyBorder="1" applyAlignment="1">
      <alignment horizontal="right" vertical="center"/>
    </xf>
    <xf numFmtId="2" fontId="22" fillId="0" borderId="11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4" fontId="22" fillId="0" borderId="15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" fontId="22" fillId="0" borderId="20" xfId="0" applyNumberFormat="1" applyFont="1" applyFill="1" applyBorder="1" applyAlignment="1">
      <alignment horizontal="right" vertical="center"/>
    </xf>
    <xf numFmtId="2" fontId="22" fillId="0" borderId="2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3" fontId="32" fillId="0" borderId="0" xfId="0" applyNumberFormat="1" applyFont="1" applyFill="1" applyAlignment="1">
      <alignment/>
    </xf>
    <xf numFmtId="3" fontId="3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3" fontId="22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26" fillId="0" borderId="0" xfId="0" applyNumberFormat="1" applyFont="1" applyFill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49" fontId="18" fillId="0" borderId="16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/>
    </xf>
    <xf numFmtId="49" fontId="12" fillId="0" borderId="16" xfId="0" applyNumberFormat="1" applyFont="1" applyFill="1" applyBorder="1" applyAlignment="1">
      <alignment horizontal="center" vertical="center"/>
    </xf>
    <xf numFmtId="4" fontId="22" fillId="22" borderId="10" xfId="0" applyNumberFormat="1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8" fillId="7" borderId="19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vertical="center" wrapText="1"/>
    </xf>
    <xf numFmtId="4" fontId="23" fillId="7" borderId="20" xfId="0" applyNumberFormat="1" applyFont="1" applyFill="1" applyBorder="1" applyAlignment="1">
      <alignment horizontal="right" vertical="center" wrapText="1"/>
    </xf>
    <xf numFmtId="4" fontId="18" fillId="7" borderId="20" xfId="0" applyNumberFormat="1" applyFont="1" applyFill="1" applyBorder="1" applyAlignment="1">
      <alignment horizontal="right" vertical="center" wrapText="1"/>
    </xf>
    <xf numFmtId="4" fontId="13" fillId="7" borderId="11" xfId="0" applyNumberFormat="1" applyFont="1" applyFill="1" applyBorder="1" applyAlignment="1">
      <alignment vertical="center"/>
    </xf>
    <xf numFmtId="4" fontId="17" fillId="0" borderId="20" xfId="0" applyNumberFormat="1" applyFont="1" applyFill="1" applyBorder="1" applyAlignment="1">
      <alignment vertical="center"/>
    </xf>
    <xf numFmtId="4" fontId="22" fillId="7" borderId="10" xfId="0" applyNumberFormat="1" applyFont="1" applyFill="1" applyBorder="1" applyAlignment="1">
      <alignment vertical="center"/>
    </xf>
    <xf numFmtId="4" fontId="79" fillId="0" borderId="1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15" fillId="0" borderId="0" xfId="53" applyFont="1" applyAlignment="1">
      <alignment/>
      <protection/>
    </xf>
    <xf numFmtId="4" fontId="87" fillId="0" borderId="0" xfId="53" applyNumberFormat="1" applyFont="1" applyFill="1" applyBorder="1" applyAlignment="1">
      <alignment vertical="center"/>
      <protection/>
    </xf>
    <xf numFmtId="0" fontId="15" fillId="0" borderId="11" xfId="0" applyFont="1" applyBorder="1" applyAlignment="1">
      <alignment horizontal="left" vertical="center"/>
    </xf>
    <xf numFmtId="0" fontId="67" fillId="0" borderId="0" xfId="0" applyFont="1" applyAlignment="1">
      <alignment/>
    </xf>
    <xf numFmtId="0" fontId="67" fillId="0" borderId="11" xfId="0" applyFont="1" applyFill="1" applyBorder="1" applyAlignment="1">
      <alignment horizontal="center" vertical="center" wrapText="1"/>
    </xf>
    <xf numFmtId="0" fontId="67" fillId="20" borderId="11" xfId="0" applyFont="1" applyFill="1" applyBorder="1" applyAlignment="1">
      <alignment horizontal="center" vertical="center"/>
    </xf>
    <xf numFmtId="4" fontId="88" fillId="20" borderId="11" xfId="0" applyNumberFormat="1" applyFont="1" applyFill="1" applyBorder="1" applyAlignment="1">
      <alignment horizontal="right" vertical="center"/>
    </xf>
    <xf numFmtId="4" fontId="88" fillId="20" borderId="11" xfId="0" applyNumberFormat="1" applyFont="1" applyFill="1" applyBorder="1" applyAlignment="1">
      <alignment/>
    </xf>
    <xf numFmtId="0" fontId="88" fillId="20" borderId="11" xfId="0" applyFont="1" applyFill="1" applyBorder="1" applyAlignment="1">
      <alignment horizontal="right" vertical="center"/>
    </xf>
    <xf numFmtId="4" fontId="24" fillId="20" borderId="11" xfId="0" applyNumberFormat="1" applyFont="1" applyFill="1" applyBorder="1" applyAlignment="1">
      <alignment/>
    </xf>
    <xf numFmtId="4" fontId="93" fillId="20" borderId="11" xfId="0" applyNumberFormat="1" applyFont="1" applyFill="1" applyBorder="1" applyAlignment="1">
      <alignment/>
    </xf>
    <xf numFmtId="0" fontId="67" fillId="0" borderId="11" xfId="0" applyFont="1" applyFill="1" applyBorder="1" applyAlignment="1">
      <alignment horizontal="center" vertical="center"/>
    </xf>
    <xf numFmtId="4" fontId="88" fillId="0" borderId="11" xfId="0" applyNumberFormat="1" applyFont="1" applyBorder="1" applyAlignment="1">
      <alignment horizontal="right" vertical="center"/>
    </xf>
    <xf numFmtId="4" fontId="88" fillId="0" borderId="11" xfId="0" applyNumberFormat="1" applyFont="1" applyBorder="1" applyAlignment="1">
      <alignment/>
    </xf>
    <xf numFmtId="0" fontId="88" fillId="0" borderId="11" xfId="0" applyFont="1" applyBorder="1" applyAlignment="1">
      <alignment horizontal="right" vertical="center"/>
    </xf>
    <xf numFmtId="4" fontId="24" fillId="0" borderId="11" xfId="0" applyNumberFormat="1" applyFont="1" applyBorder="1" applyAlignment="1">
      <alignment/>
    </xf>
    <xf numFmtId="4" fontId="88" fillId="0" borderId="11" xfId="0" applyNumberFormat="1" applyFont="1" applyFill="1" applyBorder="1" applyAlignment="1">
      <alignment horizontal="right" vertical="center"/>
    </xf>
    <xf numFmtId="4" fontId="24" fillId="0" borderId="11" xfId="0" applyNumberFormat="1" applyFont="1" applyFill="1" applyBorder="1" applyAlignment="1">
      <alignment/>
    </xf>
    <xf numFmtId="4" fontId="88" fillId="0" borderId="11" xfId="0" applyNumberFormat="1" applyFont="1" applyFill="1" applyBorder="1" applyAlignment="1">
      <alignment/>
    </xf>
    <xf numFmtId="4" fontId="88" fillId="20" borderId="11" xfId="0" applyNumberFormat="1" applyFont="1" applyFill="1" applyBorder="1" applyAlignment="1">
      <alignment horizontal="right" vertical="center" wrapText="1"/>
    </xf>
    <xf numFmtId="0" fontId="88" fillId="20" borderId="11" xfId="0" applyFont="1" applyFill="1" applyBorder="1" applyAlignment="1">
      <alignment vertical="center" wrapText="1"/>
    </xf>
    <xf numFmtId="0" fontId="88" fillId="20" borderId="11" xfId="0" applyFont="1" applyFill="1" applyBorder="1" applyAlignment="1">
      <alignment horizontal="center" vertical="center" wrapText="1"/>
    </xf>
    <xf numFmtId="4" fontId="88" fillId="0" borderId="11" xfId="0" applyNumberFormat="1" applyFont="1" applyFill="1" applyBorder="1" applyAlignment="1">
      <alignment horizontal="right" vertical="center" wrapText="1"/>
    </xf>
    <xf numFmtId="0" fontId="88" fillId="0" borderId="11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vertical="center" wrapText="1"/>
    </xf>
    <xf numFmtId="0" fontId="9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94" fillId="0" borderId="0" xfId="0" applyFont="1" applyFill="1" applyAlignment="1">
      <alignment/>
    </xf>
    <xf numFmtId="4" fontId="88" fillId="24" borderId="11" xfId="0" applyNumberFormat="1" applyFont="1" applyFill="1" applyBorder="1" applyAlignment="1">
      <alignment vertical="center"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Fill="1" applyAlignment="1">
      <alignment vertical="center"/>
    </xf>
    <xf numFmtId="4" fontId="24" fillId="0" borderId="11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4" fontId="24" fillId="0" borderId="16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2" fontId="79" fillId="0" borderId="0" xfId="0" applyNumberFormat="1" applyFont="1" applyAlignment="1">
      <alignment vertical="center"/>
    </xf>
    <xf numFmtId="2" fontId="79" fillId="0" borderId="0" xfId="0" applyNumberFormat="1" applyFont="1" applyAlignment="1">
      <alignment horizontal="center" vertical="center"/>
    </xf>
    <xf numFmtId="2" fontId="78" fillId="0" borderId="0" xfId="0" applyNumberFormat="1" applyFont="1" applyAlignment="1">
      <alignment vertical="center"/>
    </xf>
    <xf numFmtId="2" fontId="79" fillId="0" borderId="20" xfId="0" applyNumberFormat="1" applyFont="1" applyBorder="1" applyAlignment="1">
      <alignment vertical="center"/>
    </xf>
    <xf numFmtId="2" fontId="79" fillId="0" borderId="15" xfId="0" applyNumberFormat="1" applyFont="1" applyBorder="1" applyAlignment="1">
      <alignment vertical="center"/>
    </xf>
    <xf numFmtId="2" fontId="79" fillId="0" borderId="18" xfId="0" applyNumberFormat="1" applyFont="1" applyBorder="1" applyAlignment="1">
      <alignment vertical="center"/>
    </xf>
    <xf numFmtId="2" fontId="79" fillId="0" borderId="17" xfId="0" applyNumberFormat="1" applyFont="1" applyBorder="1" applyAlignment="1">
      <alignment horizontal="center" vertical="center"/>
    </xf>
    <xf numFmtId="2" fontId="79" fillId="0" borderId="20" xfId="0" applyNumberFormat="1" applyFont="1" applyBorder="1" applyAlignment="1">
      <alignment horizontal="center" vertical="center"/>
    </xf>
    <xf numFmtId="2" fontId="79" fillId="0" borderId="11" xfId="0" applyNumberFormat="1" applyFont="1" applyBorder="1" applyAlignment="1">
      <alignment vertical="center"/>
    </xf>
    <xf numFmtId="2" fontId="78" fillId="0" borderId="11" xfId="0" applyNumberFormat="1" applyFont="1" applyBorder="1" applyAlignment="1">
      <alignment vertical="center"/>
    </xf>
    <xf numFmtId="2" fontId="77" fillId="0" borderId="11" xfId="0" applyNumberFormat="1" applyFont="1" applyBorder="1" applyAlignment="1">
      <alignment vertical="center"/>
    </xf>
    <xf numFmtId="2" fontId="0" fillId="0" borderId="11" xfId="0" applyNumberFormat="1" applyBorder="1" applyAlignment="1">
      <alignment vertical="center"/>
    </xf>
    <xf numFmtId="4" fontId="77" fillId="0" borderId="11" xfId="0" applyNumberFormat="1" applyFont="1" applyBorder="1" applyAlignment="1">
      <alignment vertical="center"/>
    </xf>
    <xf numFmtId="4" fontId="78" fillId="0" borderId="11" xfId="0" applyNumberFormat="1" applyFont="1" applyBorder="1" applyAlignment="1">
      <alignment vertical="center"/>
    </xf>
    <xf numFmtId="4" fontId="59" fillId="0" borderId="11" xfId="0" applyNumberFormat="1" applyFont="1" applyBorder="1" applyAlignment="1">
      <alignment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16" fillId="0" borderId="17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/>
    </xf>
    <xf numFmtId="4" fontId="13" fillId="0" borderId="18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horizontal="right" vertical="center"/>
    </xf>
    <xf numFmtId="0" fontId="8" fillId="0" borderId="21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/>
    </xf>
    <xf numFmtId="4" fontId="17" fillId="0" borderId="23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vertical="center"/>
    </xf>
    <xf numFmtId="4" fontId="17" fillId="0" borderId="16" xfId="0" applyNumberFormat="1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 wrapText="1"/>
    </xf>
    <xf numFmtId="4" fontId="17" fillId="0" borderId="18" xfId="0" applyNumberFormat="1" applyFont="1" applyFill="1" applyBorder="1" applyAlignment="1">
      <alignment vertical="center" wrapText="1"/>
    </xf>
    <xf numFmtId="4" fontId="17" fillId="0" borderId="18" xfId="0" applyNumberFormat="1" applyFont="1" applyFill="1" applyBorder="1" applyAlignment="1">
      <alignment vertical="center"/>
    </xf>
    <xf numFmtId="4" fontId="17" fillId="0" borderId="15" xfId="0" applyNumberFormat="1" applyFont="1" applyFill="1" applyBorder="1" applyAlignment="1">
      <alignment vertical="center"/>
    </xf>
    <xf numFmtId="4" fontId="13" fillId="0" borderId="23" xfId="0" applyNumberFormat="1" applyFont="1" applyFill="1" applyBorder="1" applyAlignment="1">
      <alignment vertical="center"/>
    </xf>
    <xf numFmtId="4" fontId="17" fillId="0" borderId="17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 wrapText="1"/>
    </xf>
    <xf numFmtId="4" fontId="81" fillId="0" borderId="0" xfId="0" applyNumberFormat="1" applyFont="1" applyFill="1" applyBorder="1" applyAlignment="1">
      <alignment vertical="center" wrapText="1"/>
    </xf>
    <xf numFmtId="4" fontId="22" fillId="0" borderId="0" xfId="0" applyNumberFormat="1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 wrapText="1"/>
    </xf>
    <xf numFmtId="4" fontId="23" fillId="0" borderId="20" xfId="0" applyNumberFormat="1" applyFont="1" applyFill="1" applyBorder="1" applyAlignment="1">
      <alignment vertical="center" wrapText="1"/>
    </xf>
    <xf numFmtId="4" fontId="18" fillId="0" borderId="20" xfId="0" applyNumberFormat="1" applyFont="1" applyFill="1" applyBorder="1" applyAlignment="1">
      <alignment vertical="center" wrapText="1"/>
    </xf>
    <xf numFmtId="4" fontId="13" fillId="0" borderId="2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79" fillId="0" borderId="0" xfId="0" applyNumberFormat="1" applyFont="1" applyFill="1" applyBorder="1" applyAlignment="1">
      <alignment vertical="center"/>
    </xf>
    <xf numFmtId="0" fontId="60" fillId="0" borderId="0" xfId="0" applyFont="1" applyFill="1" applyAlignment="1">
      <alignment horizontal="left"/>
    </xf>
    <xf numFmtId="0" fontId="95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96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 vertical="center" wrapText="1"/>
    </xf>
    <xf numFmtId="4" fontId="23" fillId="0" borderId="14" xfId="0" applyNumberFormat="1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/>
    </xf>
    <xf numFmtId="0" fontId="97" fillId="0" borderId="11" xfId="0" applyFont="1" applyFill="1" applyBorder="1" applyAlignment="1">
      <alignment horizontal="center"/>
    </xf>
    <xf numFmtId="4" fontId="22" fillId="0" borderId="14" xfId="0" applyNumberFormat="1" applyFont="1" applyFill="1" applyBorder="1" applyAlignment="1">
      <alignment horizontal="right" vertical="center" wrapText="1"/>
    </xf>
    <xf numFmtId="0" fontId="32" fillId="0" borderId="18" xfId="0" applyFont="1" applyFill="1" applyBorder="1" applyAlignment="1">
      <alignment horizontal="center" vertical="center"/>
    </xf>
    <xf numFmtId="4" fontId="22" fillId="0" borderId="22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/>
    </xf>
    <xf numFmtId="0" fontId="32" fillId="0" borderId="22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4" fontId="23" fillId="0" borderId="21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Fill="1" applyBorder="1" applyAlignment="1">
      <alignment vertical="center" wrapText="1"/>
    </xf>
    <xf numFmtId="4" fontId="22" fillId="0" borderId="21" xfId="0" applyNumberFormat="1" applyFont="1" applyFill="1" applyBorder="1" applyAlignment="1">
      <alignment horizontal="right" vertical="center" wrapText="1"/>
    </xf>
    <xf numFmtId="4" fontId="22" fillId="0" borderId="21" xfId="0" applyNumberFormat="1" applyFont="1" applyFill="1" applyBorder="1" applyAlignment="1">
      <alignment vertical="center" wrapText="1"/>
    </xf>
    <xf numFmtId="0" fontId="32" fillId="0" borderId="20" xfId="0" applyFont="1" applyFill="1" applyBorder="1" applyAlignment="1">
      <alignment horizontal="center" vertical="center"/>
    </xf>
    <xf numFmtId="4" fontId="22" fillId="0" borderId="21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2" fillId="0" borderId="12" xfId="0" applyNumberFormat="1" applyFont="1" applyFill="1" applyBorder="1" applyAlignment="1">
      <alignment horizontal="right" vertical="center" wrapText="1"/>
    </xf>
    <xf numFmtId="4" fontId="22" fillId="0" borderId="17" xfId="0" applyNumberFormat="1" applyFont="1" applyFill="1" applyBorder="1" applyAlignment="1">
      <alignment horizontal="right" vertical="center" wrapText="1"/>
    </xf>
    <xf numFmtId="4" fontId="22" fillId="0" borderId="13" xfId="0" applyNumberFormat="1" applyFont="1" applyFill="1" applyBorder="1" applyAlignment="1">
      <alignment horizontal="right" vertical="center" wrapText="1"/>
    </xf>
    <xf numFmtId="4" fontId="23" fillId="0" borderId="23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left" vertical="center" wrapText="1"/>
    </xf>
    <xf numFmtId="4" fontId="23" fillId="0" borderId="18" xfId="0" applyNumberFormat="1" applyFont="1" applyFill="1" applyBorder="1" applyAlignment="1">
      <alignment horizontal="right" vertical="center" wrapText="1"/>
    </xf>
    <xf numFmtId="4" fontId="23" fillId="0" borderId="18" xfId="0" applyNumberFormat="1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center"/>
    </xf>
    <xf numFmtId="4" fontId="23" fillId="0" borderId="16" xfId="0" applyNumberFormat="1" applyFont="1" applyFill="1" applyBorder="1" applyAlignment="1">
      <alignment horizontal="right" vertical="center" wrapText="1"/>
    </xf>
    <xf numFmtId="4" fontId="23" fillId="0" borderId="16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vertical="center" wrapText="1"/>
    </xf>
    <xf numFmtId="4" fontId="22" fillId="0" borderId="16" xfId="0" applyNumberFormat="1" applyFont="1" applyFill="1" applyBorder="1" applyAlignment="1">
      <alignment horizontal="right" vertical="center" wrapText="1"/>
    </xf>
    <xf numFmtId="4" fontId="22" fillId="0" borderId="16" xfId="0" applyNumberFormat="1" applyFont="1" applyFill="1" applyBorder="1" applyAlignment="1">
      <alignment vertical="center" wrapText="1"/>
    </xf>
    <xf numFmtId="0" fontId="98" fillId="0" borderId="22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right" vertical="center"/>
    </xf>
    <xf numFmtId="4" fontId="23" fillId="0" borderId="18" xfId="0" applyNumberFormat="1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 horizontal="left" vertical="center"/>
    </xf>
    <xf numFmtId="4" fontId="15" fillId="0" borderId="0" xfId="0" applyNumberFormat="1" applyFont="1" applyFill="1" applyAlignment="1">
      <alignment vertical="center"/>
    </xf>
    <xf numFmtId="0" fontId="99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22" fillId="0" borderId="2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2" fillId="0" borderId="21" xfId="0" applyNumberFormat="1" applyFont="1" applyFill="1" applyBorder="1" applyAlignment="1">
      <alignment/>
    </xf>
    <xf numFmtId="0" fontId="36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 wrapText="1"/>
    </xf>
    <xf numFmtId="4" fontId="28" fillId="0" borderId="14" xfId="0" applyNumberFormat="1" applyFont="1" applyFill="1" applyBorder="1" applyAlignment="1">
      <alignment horizontal="right" vertical="center"/>
    </xf>
    <xf numFmtId="4" fontId="28" fillId="0" borderId="11" xfId="0" applyNumberFormat="1" applyFont="1" applyFill="1" applyBorder="1" applyAlignment="1">
      <alignment horizontal="right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vertical="center" wrapText="1"/>
    </xf>
    <xf numFmtId="4" fontId="30" fillId="0" borderId="11" xfId="0" applyNumberFormat="1" applyFont="1" applyFill="1" applyBorder="1" applyAlignment="1">
      <alignment horizontal="right" vertical="center"/>
    </xf>
    <xf numFmtId="4" fontId="30" fillId="0" borderId="14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/>
    </xf>
    <xf numFmtId="0" fontId="60" fillId="0" borderId="2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" fontId="30" fillId="0" borderId="20" xfId="0" applyNumberFormat="1" applyFont="1" applyFill="1" applyBorder="1" applyAlignment="1">
      <alignment horizontal="right" vertical="center"/>
    </xf>
    <xf numFmtId="4" fontId="30" fillId="0" borderId="11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 wrapText="1"/>
    </xf>
    <xf numFmtId="4" fontId="30" fillId="0" borderId="17" xfId="0" applyNumberFormat="1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 wrapText="1"/>
    </xf>
    <xf numFmtId="4" fontId="32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vertical="center"/>
    </xf>
    <xf numFmtId="4" fontId="23" fillId="0" borderId="14" xfId="0" applyNumberFormat="1" applyFont="1" applyFill="1" applyBorder="1" applyAlignment="1">
      <alignment horizontal="right" vertical="center"/>
    </xf>
    <xf numFmtId="4" fontId="22" fillId="0" borderId="14" xfId="0" applyNumberFormat="1" applyFont="1" applyFill="1" applyBorder="1" applyAlignment="1">
      <alignment horizontal="right" vertical="center"/>
    </xf>
    <xf numFmtId="4" fontId="22" fillId="0" borderId="17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vertical="center"/>
    </xf>
    <xf numFmtId="0" fontId="14" fillId="0" borderId="0" xfId="0" applyFont="1" applyFill="1" applyAlignment="1">
      <alignment horizontal="left"/>
    </xf>
    <xf numFmtId="0" fontId="26" fillId="0" borderId="19" xfId="0" applyFont="1" applyFill="1" applyBorder="1" applyAlignment="1">
      <alignment/>
    </xf>
    <xf numFmtId="0" fontId="36" fillId="0" borderId="18" xfId="0" applyFont="1" applyFill="1" applyBorder="1" applyAlignment="1">
      <alignment horizontal="center" vertical="center"/>
    </xf>
    <xf numFmtId="4" fontId="36" fillId="0" borderId="14" xfId="0" applyNumberFormat="1" applyFont="1" applyFill="1" applyBorder="1" applyAlignment="1">
      <alignment horizontal="right" vertical="center" wrapText="1"/>
    </xf>
    <xf numFmtId="4" fontId="36" fillId="0" borderId="11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/>
    </xf>
    <xf numFmtId="0" fontId="34" fillId="0" borderId="18" xfId="0" applyFont="1" applyFill="1" applyBorder="1" applyAlignment="1">
      <alignment horizontal="center" vertical="center"/>
    </xf>
    <xf numFmtId="4" fontId="34" fillId="0" borderId="14" xfId="0" applyNumberFormat="1" applyFont="1" applyFill="1" applyBorder="1" applyAlignment="1">
      <alignment horizontal="right" vertical="center" wrapText="1"/>
    </xf>
    <xf numFmtId="4" fontId="34" fillId="0" borderId="11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/>
    </xf>
    <xf numFmtId="4" fontId="27" fillId="0" borderId="11" xfId="0" applyNumberFormat="1" applyFont="1" applyFill="1" applyBorder="1" applyAlignment="1">
      <alignment vertical="center"/>
    </xf>
    <xf numFmtId="4" fontId="34" fillId="0" borderId="0" xfId="0" applyNumberFormat="1" applyFont="1" applyFill="1" applyAlignment="1">
      <alignment/>
    </xf>
    <xf numFmtId="0" fontId="16" fillId="0" borderId="14" xfId="0" applyFont="1" applyFill="1" applyBorder="1" applyAlignment="1">
      <alignment/>
    </xf>
    <xf numFmtId="4" fontId="27" fillId="0" borderId="14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4" fontId="27" fillId="0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left" vertical="center"/>
    </xf>
    <xf numFmtId="4" fontId="36" fillId="0" borderId="14" xfId="0" applyNumberFormat="1" applyFont="1" applyFill="1" applyBorder="1" applyAlignment="1">
      <alignment vertical="center"/>
    </xf>
    <xf numFmtId="0" fontId="100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0" fontId="18" fillId="0" borderId="22" xfId="0" applyFont="1" applyFill="1" applyBorder="1" applyAlignment="1">
      <alignment horizontal="left" vertical="center"/>
    </xf>
    <xf numFmtId="0" fontId="100" fillId="0" borderId="17" xfId="0" applyFont="1" applyFill="1" applyBorder="1" applyAlignment="1">
      <alignment horizontal="center" vertical="center"/>
    </xf>
    <xf numFmtId="0" fontId="100" fillId="0" borderId="1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 wrapText="1"/>
    </xf>
    <xf numFmtId="49" fontId="16" fillId="0" borderId="0" xfId="52" applyNumberFormat="1" applyFont="1" applyFill="1" applyBorder="1" applyAlignment="1">
      <alignment horizontal="left" vertical="center" wrapText="1"/>
      <protection/>
    </xf>
    <xf numFmtId="0" fontId="16" fillId="0" borderId="11" xfId="0" applyFont="1" applyFill="1" applyBorder="1" applyAlignment="1">
      <alignment horizontal="left" vertical="center" wrapText="1"/>
    </xf>
    <xf numFmtId="49" fontId="16" fillId="0" borderId="18" xfId="52" applyNumberFormat="1" applyFont="1" applyFill="1" applyBorder="1" applyAlignment="1">
      <alignment horizontal="left" vertical="center" wrapText="1"/>
      <protection/>
    </xf>
    <xf numFmtId="0" fontId="19" fillId="0" borderId="13" xfId="0" applyFont="1" applyFill="1" applyBorder="1" applyAlignment="1">
      <alignment horizontal="left" vertical="center"/>
    </xf>
    <xf numFmtId="0" fontId="36" fillId="0" borderId="24" xfId="0" applyFont="1" applyFill="1" applyBorder="1" applyAlignment="1">
      <alignment horizontal="left" vertical="center"/>
    </xf>
    <xf numFmtId="0" fontId="60" fillId="0" borderId="18" xfId="0" applyFont="1" applyFill="1" applyBorder="1" applyAlignment="1">
      <alignment horizontal="left" vertical="center" wrapText="1"/>
    </xf>
    <xf numFmtId="4" fontId="36" fillId="0" borderId="14" xfId="0" applyNumberFormat="1" applyFont="1" applyFill="1" applyBorder="1" applyAlignment="1">
      <alignment horizontal="right" vertical="center"/>
    </xf>
    <xf numFmtId="0" fontId="60" fillId="0" borderId="16" xfId="0" applyFont="1" applyFill="1" applyBorder="1" applyAlignment="1">
      <alignment horizontal="left" vertical="center" wrapText="1"/>
    </xf>
    <xf numFmtId="4" fontId="34" fillId="0" borderId="16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left" vertical="center" wrapText="1"/>
    </xf>
    <xf numFmtId="4" fontId="36" fillId="0" borderId="16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77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4" fontId="34" fillId="0" borderId="18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6" fillId="0" borderId="21" xfId="0" applyFont="1" applyFill="1" applyBorder="1" applyAlignment="1">
      <alignment/>
    </xf>
    <xf numFmtId="0" fontId="77" fillId="0" borderId="0" xfId="0" applyFont="1" applyFill="1" applyAlignment="1">
      <alignment vertical="center" wrapText="1"/>
    </xf>
    <xf numFmtId="0" fontId="16" fillId="0" borderId="16" xfId="0" applyFont="1" applyFill="1" applyBorder="1" applyAlignment="1">
      <alignment/>
    </xf>
    <xf numFmtId="0" fontId="18" fillId="0" borderId="17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right" vertical="center"/>
    </xf>
    <xf numFmtId="4" fontId="101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0" fontId="102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26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4" fontId="36" fillId="0" borderId="11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36" fillId="0" borderId="2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23" fillId="0" borderId="23" xfId="0" applyFont="1" applyFill="1" applyBorder="1" applyAlignment="1">
      <alignment vertical="center" wrapText="1"/>
    </xf>
    <xf numFmtId="0" fontId="36" fillId="0" borderId="1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4" fontId="27" fillId="0" borderId="20" xfId="0" applyNumberFormat="1" applyFont="1" applyFill="1" applyBorder="1" applyAlignment="1">
      <alignment vertical="center"/>
    </xf>
    <xf numFmtId="4" fontId="36" fillId="0" borderId="21" xfId="0" applyNumberFormat="1" applyFont="1" applyFill="1" applyBorder="1" applyAlignment="1">
      <alignment horizontal="right" vertical="center"/>
    </xf>
    <xf numFmtId="4" fontId="36" fillId="0" borderId="20" xfId="0" applyNumberFormat="1" applyFont="1" applyFill="1" applyBorder="1" applyAlignment="1">
      <alignment horizontal="right" vertical="center"/>
    </xf>
    <xf numFmtId="4" fontId="27" fillId="0" borderId="20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vertical="center" wrapText="1"/>
    </xf>
    <xf numFmtId="4" fontId="27" fillId="0" borderId="12" xfId="0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left" vertical="center" wrapText="1"/>
    </xf>
    <xf numFmtId="4" fontId="27" fillId="0" borderId="22" xfId="0" applyNumberFormat="1" applyFont="1" applyFill="1" applyBorder="1" applyAlignment="1">
      <alignment vertical="center"/>
    </xf>
    <xf numFmtId="4" fontId="27" fillId="0" borderId="17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4" fontId="27" fillId="0" borderId="13" xfId="0" applyNumberFormat="1" applyFont="1" applyFill="1" applyBorder="1" applyAlignment="1">
      <alignment vertical="center"/>
    </xf>
    <xf numFmtId="0" fontId="23" fillId="0" borderId="23" xfId="0" applyFont="1" applyFill="1" applyBorder="1" applyAlignment="1">
      <alignment horizontal="left" vertical="center"/>
    </xf>
    <xf numFmtId="4" fontId="27" fillId="0" borderId="19" xfId="0" applyNumberFormat="1" applyFont="1" applyFill="1" applyBorder="1" applyAlignment="1">
      <alignment vertical="center"/>
    </xf>
    <xf numFmtId="4" fontId="27" fillId="0" borderId="22" xfId="0" applyNumberFormat="1" applyFont="1" applyFill="1" applyBorder="1" applyAlignment="1">
      <alignment vertical="center"/>
    </xf>
    <xf numFmtId="0" fontId="18" fillId="0" borderId="22" xfId="0" applyFont="1" applyFill="1" applyBorder="1" applyAlignment="1">
      <alignment vertical="center" wrapText="1"/>
    </xf>
    <xf numFmtId="4" fontId="27" fillId="0" borderId="18" xfId="0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vertical="center" wrapText="1"/>
    </xf>
    <xf numFmtId="4" fontId="36" fillId="0" borderId="17" xfId="0" applyNumberFormat="1" applyFont="1" applyFill="1" applyBorder="1" applyAlignment="1">
      <alignment horizontal="right" vertical="center"/>
    </xf>
    <xf numFmtId="4" fontId="36" fillId="0" borderId="17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4" fontId="3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8" fillId="0" borderId="20" xfId="54" applyFont="1" applyFill="1" applyBorder="1" applyAlignment="1">
      <alignment horizontal="left" vertical="center" wrapText="1"/>
      <protection/>
    </xf>
    <xf numFmtId="4" fontId="27" fillId="0" borderId="23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0" fontId="18" fillId="0" borderId="22" xfId="54" applyFont="1" applyFill="1" applyBorder="1" applyAlignment="1">
      <alignment horizontal="left" vertical="center" wrapText="1"/>
      <protection/>
    </xf>
    <xf numFmtId="0" fontId="16" fillId="0" borderId="13" xfId="54" applyFont="1" applyFill="1" applyBorder="1" applyAlignment="1">
      <alignment horizontal="left" vertical="center" wrapText="1"/>
      <protection/>
    </xf>
    <xf numFmtId="0" fontId="16" fillId="0" borderId="14" xfId="54" applyFont="1" applyFill="1" applyBorder="1" applyAlignment="1">
      <alignment horizontal="left" vertical="center" wrapText="1"/>
      <protection/>
    </xf>
    <xf numFmtId="0" fontId="16" fillId="0" borderId="11" xfId="54" applyFont="1" applyFill="1" applyBorder="1" applyAlignment="1">
      <alignment horizontal="left" vertical="center" wrapText="1"/>
      <protection/>
    </xf>
    <xf numFmtId="0" fontId="16" fillId="0" borderId="21" xfId="54" applyFont="1" applyFill="1" applyBorder="1" applyAlignment="1">
      <alignment horizontal="left" vertical="center" wrapText="1"/>
      <protection/>
    </xf>
    <xf numFmtId="0" fontId="36" fillId="0" borderId="11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49" fontId="16" fillId="0" borderId="11" xfId="52" applyNumberFormat="1" applyFont="1" applyFill="1" applyBorder="1" applyAlignment="1">
      <alignment horizontal="left" vertical="center" wrapText="1"/>
      <protection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4" fontId="27" fillId="0" borderId="13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 wrapText="1"/>
    </xf>
    <xf numFmtId="4" fontId="27" fillId="0" borderId="19" xfId="0" applyNumberFormat="1" applyFont="1" applyFill="1" applyBorder="1" applyAlignment="1">
      <alignment vertical="center"/>
    </xf>
    <xf numFmtId="4" fontId="27" fillId="0" borderId="17" xfId="0" applyNumberFormat="1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4" fontId="27" fillId="0" borderId="14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left" vertical="center" wrapText="1"/>
    </xf>
    <xf numFmtId="4" fontId="36" fillId="0" borderId="12" xfId="0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30" fillId="0" borderId="22" xfId="0" applyFont="1" applyFill="1" applyBorder="1" applyAlignment="1">
      <alignment horizontal="left" vertical="center" wrapText="1"/>
    </xf>
    <xf numFmtId="4" fontId="27" fillId="0" borderId="24" xfId="0" applyNumberFormat="1" applyFont="1" applyFill="1" applyBorder="1" applyAlignment="1">
      <alignment vertical="center"/>
    </xf>
    <xf numFmtId="4" fontId="27" fillId="0" borderId="10" xfId="0" applyNumberFormat="1" applyFont="1" applyFill="1" applyBorder="1" applyAlignment="1">
      <alignment vertical="center"/>
    </xf>
    <xf numFmtId="0" fontId="30" fillId="0" borderId="15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left" vertical="center"/>
    </xf>
    <xf numFmtId="0" fontId="59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4" fontId="34" fillId="0" borderId="14" xfId="0" applyNumberFormat="1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vertical="center" wrapText="1"/>
    </xf>
    <xf numFmtId="4" fontId="77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0" fontId="77" fillId="0" borderId="0" xfId="0" applyFont="1" applyFill="1" applyAlignment="1">
      <alignment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4" fontId="27" fillId="0" borderId="15" xfId="0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/>
    </xf>
    <xf numFmtId="0" fontId="30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 wrapText="1"/>
    </xf>
    <xf numFmtId="0" fontId="79" fillId="0" borderId="0" xfId="0" applyFont="1" applyFill="1" applyAlignment="1">
      <alignment vertical="center"/>
    </xf>
    <xf numFmtId="0" fontId="22" fillId="0" borderId="13" xfId="0" applyFont="1" applyFill="1" applyBorder="1" applyAlignment="1">
      <alignment vertical="center"/>
    </xf>
    <xf numFmtId="4" fontId="27" fillId="0" borderId="24" xfId="0" applyNumberFormat="1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horizontal="right" vertical="center"/>
    </xf>
    <xf numFmtId="4" fontId="18" fillId="0" borderId="14" xfId="0" applyNumberFormat="1" applyFont="1" applyFill="1" applyBorder="1" applyAlignment="1">
      <alignment vertical="center"/>
    </xf>
    <xf numFmtId="4" fontId="39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horizontal="right"/>
    </xf>
    <xf numFmtId="0" fontId="28" fillId="0" borderId="15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36" fillId="0" borderId="20" xfId="0" applyFont="1" applyFill="1" applyBorder="1" applyAlignment="1">
      <alignment horizontal="center"/>
    </xf>
    <xf numFmtId="0" fontId="36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96" fillId="0" borderId="22" xfId="0" applyFont="1" applyFill="1" applyBorder="1" applyAlignment="1">
      <alignment horizontal="center" wrapText="1"/>
    </xf>
    <xf numFmtId="0" fontId="96" fillId="0" borderId="17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/>
    </xf>
    <xf numFmtId="0" fontId="17" fillId="0" borderId="24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23" fillId="0" borderId="17" xfId="0" applyFont="1" applyFill="1" applyBorder="1" applyAlignment="1">
      <alignment/>
    </xf>
    <xf numFmtId="0" fontId="2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96" fillId="0" borderId="2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96" fillId="0" borderId="1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96" fillId="0" borderId="13" xfId="0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4" fontId="33" fillId="0" borderId="14" xfId="0" applyNumberFormat="1" applyFont="1" applyFill="1" applyBorder="1" applyAlignment="1">
      <alignment/>
    </xf>
    <xf numFmtId="4" fontId="33" fillId="0" borderId="17" xfId="0" applyNumberFormat="1" applyFont="1" applyFill="1" applyBorder="1" applyAlignment="1">
      <alignment/>
    </xf>
    <xf numFmtId="4" fontId="33" fillId="0" borderId="13" xfId="0" applyNumberFormat="1" applyFont="1" applyFill="1" applyBorder="1" applyAlignment="1">
      <alignment/>
    </xf>
    <xf numFmtId="4" fontId="33" fillId="0" borderId="11" xfId="0" applyNumberFormat="1" applyFont="1" applyFill="1" applyBorder="1" applyAlignment="1">
      <alignment/>
    </xf>
    <xf numFmtId="4" fontId="23" fillId="0" borderId="0" xfId="0" applyNumberFormat="1" applyFont="1" applyFill="1" applyAlignment="1">
      <alignment horizontal="right" vertical="center"/>
    </xf>
    <xf numFmtId="0" fontId="103" fillId="0" borderId="22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4" fontId="22" fillId="0" borderId="23" xfId="0" applyNumberFormat="1" applyFont="1" applyFill="1" applyBorder="1" applyAlignment="1">
      <alignment/>
    </xf>
    <xf numFmtId="4" fontId="22" fillId="0" borderId="22" xfId="0" applyNumberFormat="1" applyFont="1" applyFill="1" applyBorder="1" applyAlignment="1">
      <alignment/>
    </xf>
    <xf numFmtId="4" fontId="22" fillId="0" borderId="20" xfId="0" applyNumberFormat="1" applyFont="1" applyFill="1" applyBorder="1" applyAlignment="1">
      <alignment/>
    </xf>
    <xf numFmtId="4" fontId="13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/>
    </xf>
    <xf numFmtId="0" fontId="13" fillId="0" borderId="22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vertical="center" wrapText="1"/>
    </xf>
    <xf numFmtId="0" fontId="96" fillId="0" borderId="17" xfId="0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right" vertical="center"/>
    </xf>
    <xf numFmtId="4" fontId="23" fillId="0" borderId="23" xfId="0" applyNumberFormat="1" applyFont="1" applyFill="1" applyBorder="1" applyAlignment="1">
      <alignment vertical="center"/>
    </xf>
    <xf numFmtId="4" fontId="23" fillId="0" borderId="22" xfId="0" applyNumberFormat="1" applyFont="1" applyFill="1" applyBorder="1" applyAlignment="1">
      <alignment vertical="center"/>
    </xf>
    <xf numFmtId="4" fontId="33" fillId="0" borderId="22" xfId="0" applyNumberFormat="1" applyFont="1" applyFill="1" applyBorder="1" applyAlignment="1">
      <alignment vertical="center" wrapText="1"/>
    </xf>
    <xf numFmtId="4" fontId="23" fillId="0" borderId="22" xfId="0" applyNumberFormat="1" applyFont="1" applyFill="1" applyBorder="1" applyAlignment="1">
      <alignment vertical="center" wrapText="1"/>
    </xf>
    <xf numFmtId="4" fontId="23" fillId="0" borderId="17" xfId="0" applyNumberFormat="1" applyFont="1" applyFill="1" applyBorder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97" fillId="0" borderId="22" xfId="0" applyNumberFormat="1" applyFont="1" applyFill="1" applyBorder="1" applyAlignment="1">
      <alignment vertical="center" wrapText="1"/>
    </xf>
    <xf numFmtId="4" fontId="16" fillId="0" borderId="17" xfId="0" applyNumberFormat="1" applyFont="1" applyFill="1" applyBorder="1" applyAlignment="1">
      <alignment horizontal="right" vertical="center"/>
    </xf>
    <xf numFmtId="4" fontId="17" fillId="0" borderId="22" xfId="0" applyNumberFormat="1" applyFont="1" applyFill="1" applyBorder="1" applyAlignment="1">
      <alignment vertical="center" wrapText="1"/>
    </xf>
    <xf numFmtId="0" fontId="22" fillId="0" borderId="22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4" fontId="97" fillId="0" borderId="14" xfId="0" applyNumberFormat="1" applyFont="1" applyFill="1" applyBorder="1" applyAlignment="1">
      <alignment vertical="center" wrapText="1"/>
    </xf>
    <xf numFmtId="0" fontId="22" fillId="0" borderId="19" xfId="0" applyFont="1" applyFill="1" applyBorder="1" applyAlignment="1">
      <alignment/>
    </xf>
    <xf numFmtId="0" fontId="22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0" fillId="0" borderId="0" xfId="53" applyFont="1" applyFill="1" applyBorder="1" applyAlignment="1">
      <alignment vertical="center" wrapText="1"/>
      <protection/>
    </xf>
    <xf numFmtId="4" fontId="87" fillId="0" borderId="0" xfId="53" applyNumberFormat="1" applyFont="1" applyFill="1" applyBorder="1" applyAlignment="1">
      <alignment vertical="center" wrapText="1"/>
      <protection/>
    </xf>
    <xf numFmtId="4" fontId="66" fillId="0" borderId="0" xfId="53" applyNumberFormat="1" applyFont="1" applyFill="1" applyBorder="1" applyAlignment="1">
      <alignment vertical="center"/>
      <protection/>
    </xf>
    <xf numFmtId="4" fontId="57" fillId="0" borderId="0" xfId="53" applyNumberFormat="1" applyFont="1" applyFill="1" applyBorder="1" applyAlignment="1">
      <alignment vertical="center"/>
      <protection/>
    </xf>
    <xf numFmtId="4" fontId="63" fillId="0" borderId="0" xfId="53" applyNumberFormat="1" applyFont="1" applyFill="1" applyBorder="1" applyAlignment="1">
      <alignment vertical="center"/>
      <protection/>
    </xf>
    <xf numFmtId="4" fontId="58" fillId="0" borderId="0" xfId="53" applyNumberFormat="1" applyFont="1" applyFill="1" applyBorder="1" applyAlignment="1">
      <alignment vertical="center"/>
      <protection/>
    </xf>
    <xf numFmtId="2" fontId="27" fillId="0" borderId="0" xfId="53" applyNumberFormat="1" applyFont="1" applyFill="1" applyBorder="1" applyAlignment="1">
      <alignment vertical="center"/>
      <protection/>
    </xf>
    <xf numFmtId="4" fontId="19" fillId="0" borderId="0" xfId="53" applyNumberFormat="1" applyFont="1" applyFill="1" applyBorder="1" applyAlignment="1">
      <alignment vertical="center"/>
      <protection/>
    </xf>
    <xf numFmtId="3" fontId="16" fillId="0" borderId="0" xfId="53" applyNumberFormat="1" applyFont="1" applyFill="1" applyBorder="1" applyAlignment="1">
      <alignment vertical="center"/>
      <protection/>
    </xf>
    <xf numFmtId="3" fontId="31" fillId="0" borderId="0" xfId="53" applyNumberFormat="1" applyFont="1" applyFill="1" applyBorder="1" applyAlignment="1">
      <alignment vertical="center"/>
      <protection/>
    </xf>
    <xf numFmtId="4" fontId="22" fillId="0" borderId="0" xfId="53" applyNumberFormat="1" applyFont="1" applyFill="1" applyBorder="1" applyAlignment="1">
      <alignment vertical="center"/>
      <protection/>
    </xf>
    <xf numFmtId="0" fontId="27" fillId="0" borderId="0" xfId="53" applyFont="1" applyFill="1" applyBorder="1" applyAlignment="1">
      <alignment vertical="center"/>
      <protection/>
    </xf>
    <xf numFmtId="0" fontId="22" fillId="0" borderId="0" xfId="53" applyFont="1" applyFill="1" applyBorder="1" applyAlignment="1">
      <alignment vertical="center"/>
      <protection/>
    </xf>
    <xf numFmtId="0" fontId="27" fillId="0" borderId="0" xfId="0" applyFont="1" applyFill="1" applyBorder="1" applyAlignment="1">
      <alignment/>
    </xf>
    <xf numFmtId="0" fontId="8" fillId="0" borderId="0" xfId="53" applyFont="1" applyFill="1" applyBorder="1" applyAlignment="1">
      <alignment vertical="center"/>
      <protection/>
    </xf>
    <xf numFmtId="4" fontId="27" fillId="0" borderId="0" xfId="53" applyNumberFormat="1" applyFont="1" applyFill="1" applyBorder="1" applyAlignment="1">
      <alignment vertical="center"/>
      <protection/>
    </xf>
    <xf numFmtId="4" fontId="26" fillId="0" borderId="0" xfId="53" applyNumberFormat="1" applyFont="1" applyFill="1" applyBorder="1" applyAlignment="1">
      <alignment vertical="center"/>
      <protection/>
    </xf>
    <xf numFmtId="4" fontId="16" fillId="0" borderId="0" xfId="53" applyNumberFormat="1" applyFont="1" applyFill="1" applyBorder="1" applyAlignment="1">
      <alignment vertical="center"/>
      <protection/>
    </xf>
    <xf numFmtId="4" fontId="65" fillId="0" borderId="0" xfId="53" applyNumberFormat="1" applyFont="1" applyFill="1" applyBorder="1" applyAlignment="1">
      <alignment vertical="center"/>
      <protection/>
    </xf>
    <xf numFmtId="4" fontId="8" fillId="0" borderId="0" xfId="53" applyNumberFormat="1" applyFont="1" applyFill="1" applyBorder="1" applyAlignment="1">
      <alignment vertical="center"/>
      <protection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wrapText="1"/>
    </xf>
    <xf numFmtId="0" fontId="32" fillId="0" borderId="0" xfId="0" applyFont="1" applyFill="1" applyAlignment="1">
      <alignment horizontal="center" vertical="center"/>
    </xf>
    <xf numFmtId="0" fontId="104" fillId="0" borderId="0" xfId="0" applyFont="1" applyFill="1" applyAlignment="1">
      <alignment/>
    </xf>
    <xf numFmtId="0" fontId="87" fillId="0" borderId="0" xfId="0" applyFont="1" applyFill="1" applyAlignment="1">
      <alignment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wrapText="1"/>
    </xf>
    <xf numFmtId="4" fontId="32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Alignment="1">
      <alignment wrapText="1"/>
    </xf>
    <xf numFmtId="4" fontId="22" fillId="0" borderId="0" xfId="0" applyNumberFormat="1" applyFont="1" applyFill="1" applyAlignment="1">
      <alignment wrapText="1"/>
    </xf>
    <xf numFmtId="1" fontId="8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4" fontId="97" fillId="0" borderId="0" xfId="0" applyNumberFormat="1" applyFont="1" applyFill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vertical="center" wrapText="1"/>
    </xf>
    <xf numFmtId="4" fontId="32" fillId="0" borderId="14" xfId="0" applyNumberFormat="1" applyFont="1" applyFill="1" applyBorder="1" applyAlignment="1">
      <alignment vertical="center" wrapText="1"/>
    </xf>
    <xf numFmtId="4" fontId="16" fillId="0" borderId="14" xfId="0" applyNumberFormat="1" applyFont="1" applyFill="1" applyBorder="1" applyAlignment="1">
      <alignment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/>
    </xf>
    <xf numFmtId="4" fontId="28" fillId="0" borderId="14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6" fillId="0" borderId="15" xfId="52" applyFont="1" applyFill="1" applyBorder="1" applyAlignment="1">
      <alignment vertical="center" wrapText="1"/>
      <protection/>
    </xf>
    <xf numFmtId="4" fontId="8" fillId="0" borderId="12" xfId="0" applyNumberFormat="1" applyFont="1" applyFill="1" applyBorder="1" applyAlignment="1">
      <alignment vertical="center" wrapText="1"/>
    </xf>
    <xf numFmtId="4" fontId="16" fillId="0" borderId="12" xfId="0" applyNumberFormat="1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vertical="center" wrapText="1"/>
    </xf>
    <xf numFmtId="4" fontId="79" fillId="0" borderId="0" xfId="0" applyNumberFormat="1" applyFont="1" applyFill="1" applyAlignment="1">
      <alignment vertical="center"/>
    </xf>
    <xf numFmtId="4" fontId="16" fillId="0" borderId="11" xfId="52" applyNumberFormat="1" applyFont="1" applyFill="1" applyBorder="1" applyAlignment="1">
      <alignment vertical="center"/>
      <protection/>
    </xf>
    <xf numFmtId="0" fontId="8" fillId="0" borderId="25" xfId="0" applyFont="1" applyFill="1" applyBorder="1" applyAlignment="1">
      <alignment vertical="center" wrapText="1"/>
    </xf>
    <xf numFmtId="4" fontId="18" fillId="0" borderId="15" xfId="0" applyNumberFormat="1" applyFont="1" applyFill="1" applyBorder="1" applyAlignment="1">
      <alignment vertical="center" wrapText="1"/>
    </xf>
    <xf numFmtId="4" fontId="16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4" fillId="0" borderId="1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vertical="center" wrapText="1"/>
    </xf>
    <xf numFmtId="0" fontId="96" fillId="0" borderId="11" xfId="0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vertical="center" wrapText="1"/>
    </xf>
    <xf numFmtId="0" fontId="97" fillId="0" borderId="11" xfId="0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/>
    </xf>
    <xf numFmtId="0" fontId="16" fillId="0" borderId="11" xfId="52" applyFont="1" applyFill="1" applyBorder="1" applyAlignment="1">
      <alignment vertical="center" wrapText="1"/>
      <protection/>
    </xf>
    <xf numFmtId="4" fontId="16" fillId="0" borderId="11" xfId="0" applyNumberFormat="1" applyFont="1" applyFill="1" applyBorder="1" applyAlignment="1">
      <alignment vertical="center" wrapText="1"/>
    </xf>
    <xf numFmtId="0" fontId="8" fillId="0" borderId="11" xfId="52" applyFont="1" applyFill="1" applyBorder="1" applyAlignment="1">
      <alignment vertical="center" wrapText="1"/>
      <protection/>
    </xf>
    <xf numFmtId="0" fontId="32" fillId="0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vertical="center" wrapText="1"/>
    </xf>
    <xf numFmtId="4" fontId="16" fillId="0" borderId="18" xfId="0" applyNumberFormat="1" applyFont="1" applyFill="1" applyBorder="1" applyAlignment="1">
      <alignment vertical="center" wrapText="1"/>
    </xf>
    <xf numFmtId="4" fontId="8" fillId="0" borderId="18" xfId="0" applyNumberFormat="1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8" fillId="0" borderId="18" xfId="52" applyFont="1" applyFill="1" applyBorder="1" applyAlignment="1">
      <alignment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16" fillId="0" borderId="18" xfId="52" applyFont="1" applyFill="1" applyBorder="1" applyAlignment="1">
      <alignment vertical="center" wrapText="1"/>
      <protection/>
    </xf>
    <xf numFmtId="0" fontId="33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2" fillId="0" borderId="11" xfId="52" applyFont="1" applyFill="1" applyBorder="1" applyAlignment="1">
      <alignment vertical="center" wrapText="1"/>
      <protection/>
    </xf>
    <xf numFmtId="4" fontId="12" fillId="0" borderId="11" xfId="0" applyNumberFormat="1" applyFont="1" applyFill="1" applyBorder="1" applyAlignment="1">
      <alignment vertical="center" wrapText="1"/>
    </xf>
    <xf numFmtId="4" fontId="14" fillId="0" borderId="11" xfId="0" applyNumberFormat="1" applyFont="1" applyFill="1" applyBorder="1" applyAlignment="1">
      <alignment vertical="center" wrapText="1"/>
    </xf>
    <xf numFmtId="0" fontId="97" fillId="0" borderId="11" xfId="0" applyFont="1" applyFill="1" applyBorder="1" applyAlignment="1">
      <alignment horizontal="center" vertical="center"/>
    </xf>
    <xf numFmtId="0" fontId="107" fillId="0" borderId="0" xfId="0" applyFont="1" applyFill="1" applyAlignment="1">
      <alignment vertical="center"/>
    </xf>
    <xf numFmtId="0" fontId="18" fillId="0" borderId="24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4" fontId="16" fillId="0" borderId="11" xfId="0" applyNumberFormat="1" applyFont="1" applyFill="1" applyBorder="1" applyAlignment="1">
      <alignment vertical="center"/>
    </xf>
    <xf numFmtId="0" fontId="33" fillId="0" borderId="2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07" fillId="0" borderId="0" xfId="0" applyFont="1" applyFill="1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6" fillId="0" borderId="11" xfId="52" applyFont="1" applyFill="1" applyBorder="1" applyAlignment="1">
      <alignment vertical="center" wrapText="1"/>
      <protection/>
    </xf>
    <xf numFmtId="4" fontId="16" fillId="0" borderId="15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/>
    </xf>
    <xf numFmtId="0" fontId="8" fillId="0" borderId="15" xfId="52" applyFont="1" applyFill="1" applyBorder="1" applyAlignment="1">
      <alignment vertical="center" wrapText="1"/>
      <protection/>
    </xf>
    <xf numFmtId="4" fontId="16" fillId="0" borderId="15" xfId="52" applyNumberFormat="1" applyFont="1" applyFill="1" applyBorder="1" applyAlignment="1">
      <alignment vertical="center"/>
      <protection/>
    </xf>
    <xf numFmtId="0" fontId="8" fillId="0" borderId="14" xfId="56" applyFont="1" applyFill="1" applyBorder="1" applyAlignment="1">
      <alignment vertical="center" wrapText="1"/>
      <protection/>
    </xf>
    <xf numFmtId="0" fontId="16" fillId="0" borderId="15" xfId="52" applyFont="1" applyFill="1" applyBorder="1" applyAlignment="1">
      <alignment vertical="center" wrapText="1"/>
      <protection/>
    </xf>
    <xf numFmtId="4" fontId="8" fillId="0" borderId="15" xfId="52" applyNumberFormat="1" applyFont="1" applyFill="1" applyBorder="1" applyAlignment="1">
      <alignment vertical="center" wrapText="1"/>
      <protection/>
    </xf>
    <xf numFmtId="0" fontId="8" fillId="0" borderId="15" xfId="52" applyFont="1" applyFill="1" applyBorder="1" applyAlignment="1">
      <alignment horizontal="left" vertical="center" wrapText="1"/>
      <protection/>
    </xf>
    <xf numFmtId="0" fontId="12" fillId="0" borderId="15" xfId="52" applyFont="1" applyFill="1" applyBorder="1" applyAlignment="1">
      <alignment vertical="center" wrapText="1"/>
      <protection/>
    </xf>
    <xf numFmtId="4" fontId="12" fillId="0" borderId="15" xfId="52" applyNumberFormat="1" applyFont="1" applyFill="1" applyBorder="1" applyAlignment="1">
      <alignment vertical="center"/>
      <protection/>
    </xf>
    <xf numFmtId="4" fontId="17" fillId="0" borderId="15" xfId="52" applyNumberFormat="1" applyFont="1" applyFill="1" applyBorder="1" applyAlignment="1">
      <alignment vertical="center"/>
      <protection/>
    </xf>
    <xf numFmtId="0" fontId="8" fillId="0" borderId="15" xfId="52" applyFont="1" applyFill="1" applyBorder="1" applyAlignment="1">
      <alignment vertical="center" wrapText="1"/>
      <protection/>
    </xf>
    <xf numFmtId="4" fontId="17" fillId="0" borderId="15" xfId="0" applyNumberFormat="1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/>
    </xf>
    <xf numFmtId="0" fontId="8" fillId="0" borderId="15" xfId="55" applyFont="1" applyFill="1" applyBorder="1" applyAlignment="1">
      <alignment horizontal="left" vertical="center" wrapText="1"/>
      <protection/>
    </xf>
    <xf numFmtId="0" fontId="8" fillId="0" borderId="11" xfId="55" applyFont="1" applyFill="1" applyBorder="1" applyAlignment="1">
      <alignment horizontal="left" vertical="center" wrapText="1"/>
      <protection/>
    </xf>
    <xf numFmtId="49" fontId="16" fillId="0" borderId="11" xfId="52" applyNumberFormat="1" applyFont="1" applyFill="1" applyBorder="1" applyAlignment="1">
      <alignment vertical="center" wrapText="1"/>
      <protection/>
    </xf>
    <xf numFmtId="4" fontId="16" fillId="0" borderId="13" xfId="52" applyNumberFormat="1" applyFont="1" applyFill="1" applyBorder="1" applyAlignment="1">
      <alignment vertical="center"/>
      <protection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4" fontId="18" fillId="0" borderId="15" xfId="52" applyNumberFormat="1" applyFont="1" applyFill="1" applyBorder="1" applyAlignment="1">
      <alignment vertical="center"/>
      <protection/>
    </xf>
    <xf numFmtId="0" fontId="96" fillId="0" borderId="14" xfId="0" applyFont="1" applyFill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97" fillId="0" borderId="14" xfId="0" applyFont="1" applyFill="1" applyBorder="1" applyAlignment="1">
      <alignment horizontal="center" vertical="center"/>
    </xf>
    <xf numFmtId="4" fontId="8" fillId="0" borderId="13" xfId="52" applyNumberFormat="1" applyFont="1" applyFill="1" applyBorder="1" applyAlignment="1">
      <alignment vertical="center" wrapText="1"/>
      <protection/>
    </xf>
    <xf numFmtId="0" fontId="8" fillId="0" borderId="13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4" fontId="16" fillId="0" borderId="11" xfId="56" applyNumberFormat="1" applyFont="1" applyFill="1" applyBorder="1" applyAlignment="1">
      <alignment vertical="center" wrapText="1"/>
      <protection/>
    </xf>
    <xf numFmtId="4" fontId="8" fillId="0" borderId="11" xfId="56" applyNumberFormat="1" applyFont="1" applyFill="1" applyBorder="1" applyAlignment="1">
      <alignment vertical="center" wrapText="1"/>
      <protection/>
    </xf>
    <xf numFmtId="0" fontId="16" fillId="0" borderId="0" xfId="52" applyFont="1" applyFill="1" applyAlignment="1">
      <alignment vertical="center" wrapText="1"/>
      <protection/>
    </xf>
    <xf numFmtId="4" fontId="8" fillId="0" borderId="11" xfId="52" applyNumberFormat="1" applyFont="1" applyFill="1" applyBorder="1" applyAlignment="1">
      <alignment vertical="center" wrapText="1"/>
      <protection/>
    </xf>
    <xf numFmtId="4" fontId="16" fillId="0" borderId="11" xfId="52" applyNumberFormat="1" applyFont="1" applyFill="1" applyBorder="1" applyAlignment="1">
      <alignment vertical="center" wrapText="1"/>
      <protection/>
    </xf>
    <xf numFmtId="4" fontId="8" fillId="0" borderId="0" xfId="52" applyNumberFormat="1" applyFont="1" applyFill="1" applyBorder="1" applyAlignment="1">
      <alignment vertical="center" wrapText="1"/>
      <protection/>
    </xf>
    <xf numFmtId="4" fontId="16" fillId="0" borderId="0" xfId="52" applyNumberFormat="1" applyFont="1" applyFill="1" applyBorder="1" applyAlignment="1">
      <alignment vertical="center"/>
      <protection/>
    </xf>
    <xf numFmtId="4" fontId="16" fillId="0" borderId="11" xfId="56" applyNumberFormat="1" applyFont="1" applyFill="1" applyBorder="1" applyAlignment="1">
      <alignment vertical="center" wrapText="1"/>
      <protection/>
    </xf>
    <xf numFmtId="4" fontId="10" fillId="0" borderId="0" xfId="0" applyNumberFormat="1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4" fontId="108" fillId="0" borderId="0" xfId="0" applyNumberFormat="1" applyFont="1" applyFill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8" fillId="0" borderId="11" xfId="56" applyFont="1" applyFill="1" applyBorder="1" applyAlignment="1">
      <alignment vertical="center" wrapText="1"/>
      <protection/>
    </xf>
    <xf numFmtId="4" fontId="16" fillId="25" borderId="11" xfId="56" applyNumberFormat="1" applyFont="1" applyFill="1" applyBorder="1" applyAlignment="1">
      <alignment horizontal="right" vertical="center" wrapText="1"/>
      <protection/>
    </xf>
    <xf numFmtId="4" fontId="16" fillId="0" borderId="11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37" fillId="0" borderId="15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4" fontId="28" fillId="0" borderId="11" xfId="0" applyNumberFormat="1" applyFont="1" applyFill="1" applyBorder="1" applyAlignment="1">
      <alignment vertical="center"/>
    </xf>
    <xf numFmtId="3" fontId="32" fillId="0" borderId="11" xfId="0" applyNumberFormat="1" applyFont="1" applyFill="1" applyBorder="1" applyAlignment="1">
      <alignment horizontal="center" vertical="center"/>
    </xf>
    <xf numFmtId="4" fontId="109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 wrapText="1"/>
    </xf>
    <xf numFmtId="4" fontId="110" fillId="0" borderId="0" xfId="0" applyNumberFormat="1" applyFont="1" applyFill="1" applyAlignment="1">
      <alignment vertical="center"/>
    </xf>
    <xf numFmtId="0" fontId="110" fillId="0" borderId="0" xfId="0" applyFont="1" applyFill="1" applyAlignment="1">
      <alignment vertical="center"/>
    </xf>
    <xf numFmtId="0" fontId="109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9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32" fillId="0" borderId="15" xfId="0" applyNumberFormat="1" applyFont="1" applyFill="1" applyBorder="1" applyAlignment="1">
      <alignment vertical="center" wrapText="1"/>
    </xf>
    <xf numFmtId="0" fontId="27" fillId="0" borderId="24" xfId="0" applyFont="1" applyFill="1" applyBorder="1" applyAlignment="1">
      <alignment horizontal="center" vertical="center" wrapText="1"/>
    </xf>
    <xf numFmtId="4" fontId="72" fillId="0" borderId="15" xfId="0" applyNumberFormat="1" applyFont="1" applyFill="1" applyBorder="1" applyAlignment="1">
      <alignment vertical="center"/>
    </xf>
    <xf numFmtId="4" fontId="70" fillId="0" borderId="15" xfId="0" applyNumberFormat="1" applyFont="1" applyFill="1" applyBorder="1" applyAlignment="1">
      <alignment vertical="center"/>
    </xf>
    <xf numFmtId="4" fontId="70" fillId="0" borderId="17" xfId="0" applyNumberFormat="1" applyFont="1" applyFill="1" applyBorder="1" applyAlignment="1">
      <alignment vertical="center" wrapText="1"/>
    </xf>
    <xf numFmtId="4" fontId="70" fillId="0" borderId="14" xfId="0" applyNumberFormat="1" applyFont="1" applyFill="1" applyBorder="1" applyAlignment="1">
      <alignment vertical="center" wrapText="1"/>
    </xf>
    <xf numFmtId="4" fontId="70" fillId="0" borderId="15" xfId="0" applyNumberFormat="1" applyFont="1" applyFill="1" applyBorder="1" applyAlignment="1">
      <alignment vertical="center"/>
    </xf>
    <xf numFmtId="4" fontId="70" fillId="0" borderId="20" xfId="0" applyNumberFormat="1" applyFont="1" applyFill="1" applyBorder="1" applyAlignment="1">
      <alignment vertical="center" wrapText="1"/>
    </xf>
    <xf numFmtId="4" fontId="71" fillId="0" borderId="15" xfId="0" applyNumberFormat="1" applyFont="1" applyFill="1" applyBorder="1" applyAlignment="1">
      <alignment vertical="center" wrapText="1"/>
    </xf>
    <xf numFmtId="4" fontId="72" fillId="0" borderId="15" xfId="0" applyNumberFormat="1" applyFont="1" applyFill="1" applyBorder="1" applyAlignment="1">
      <alignment vertical="center" wrapText="1"/>
    </xf>
    <xf numFmtId="4" fontId="70" fillId="0" borderId="15" xfId="0" applyNumberFormat="1" applyFont="1" applyFill="1" applyBorder="1" applyAlignment="1">
      <alignment vertical="center" wrapText="1"/>
    </xf>
    <xf numFmtId="4" fontId="72" fillId="0" borderId="15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60" fillId="0" borderId="0" xfId="0" applyFont="1" applyFill="1" applyAlignment="1">
      <alignment horizontal="left"/>
    </xf>
    <xf numFmtId="0" fontId="95" fillId="0" borderId="0" xfId="0" applyFont="1" applyFill="1" applyAlignment="1">
      <alignment/>
    </xf>
    <xf numFmtId="0" fontId="71" fillId="0" borderId="15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/>
    </xf>
    <xf numFmtId="0" fontId="71" fillId="0" borderId="18" xfId="0" applyFont="1" applyFill="1" applyBorder="1" applyAlignment="1">
      <alignment horizontal="left" vertical="center"/>
    </xf>
    <xf numFmtId="0" fontId="73" fillId="0" borderId="15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/>
    </xf>
    <xf numFmtId="0" fontId="73" fillId="0" borderId="18" xfId="0" applyFont="1" applyFill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/>
    </xf>
    <xf numFmtId="4" fontId="22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0" fontId="30" fillId="0" borderId="15" xfId="0" applyFont="1" applyFill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/>
    </xf>
    <xf numFmtId="0" fontId="105" fillId="0" borderId="18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15" fillId="0" borderId="15" xfId="53" applyFont="1" applyBorder="1" applyAlignment="1">
      <alignment horizontal="center" vertical="center"/>
      <protection/>
    </xf>
    <xf numFmtId="0" fontId="22" fillId="0" borderId="18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96" fillId="0" borderId="20" xfId="0" applyFont="1" applyFill="1" applyBorder="1" applyAlignment="1">
      <alignment horizontal="left" vertical="center" wrapText="1"/>
    </xf>
    <xf numFmtId="0" fontId="96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91" fillId="20" borderId="11" xfId="0" applyFont="1" applyFill="1" applyBorder="1" applyAlignment="1">
      <alignment horizontal="center" vertical="center"/>
    </xf>
    <xf numFmtId="0" fontId="16" fillId="20" borderId="11" xfId="0" applyFont="1" applyFill="1" applyBorder="1" applyAlignment="1">
      <alignment horizontal="center" vertical="center" wrapText="1"/>
    </xf>
    <xf numFmtId="0" fontId="92" fillId="20" borderId="11" xfId="0" applyFont="1" applyFill="1" applyBorder="1" applyAlignment="1">
      <alignment horizontal="center" vertical="center" wrapText="1"/>
    </xf>
    <xf numFmtId="4" fontId="91" fillId="24" borderId="15" xfId="0" applyNumberFormat="1" applyFont="1" applyFill="1" applyBorder="1" applyAlignment="1">
      <alignment horizontal="center" vertical="center"/>
    </xf>
    <xf numFmtId="0" fontId="91" fillId="24" borderId="10" xfId="0" applyFont="1" applyFill="1" applyBorder="1" applyAlignment="1">
      <alignment horizontal="center" vertical="center"/>
    </xf>
    <xf numFmtId="0" fontId="91" fillId="24" borderId="18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92" fillId="20" borderId="11" xfId="0" applyFont="1" applyFill="1" applyBorder="1" applyAlignment="1">
      <alignment horizontal="center" vertical="center"/>
    </xf>
    <xf numFmtId="0" fontId="92" fillId="0" borderId="20" xfId="0" applyFont="1" applyFill="1" applyBorder="1" applyAlignment="1">
      <alignment horizontal="center" vertical="center" wrapText="1"/>
    </xf>
    <xf numFmtId="0" fontId="92" fillId="0" borderId="17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90" fillId="0" borderId="12" xfId="0" applyFont="1" applyFill="1" applyBorder="1" applyAlignment="1">
      <alignment horizontal="left" vertical="center" wrapText="1"/>
    </xf>
    <xf numFmtId="0" fontId="90" fillId="0" borderId="19" xfId="0" applyFont="1" applyFill="1" applyBorder="1" applyAlignment="1">
      <alignment horizontal="left" vertical="center" wrapText="1"/>
    </xf>
    <xf numFmtId="0" fontId="90" fillId="0" borderId="13" xfId="0" applyFont="1" applyFill="1" applyBorder="1" applyAlignment="1">
      <alignment horizontal="left" vertical="center" wrapText="1"/>
    </xf>
    <xf numFmtId="0" fontId="90" fillId="0" borderId="24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88" fillId="0" borderId="20" xfId="0" applyFont="1" applyFill="1" applyBorder="1" applyAlignment="1">
      <alignment horizontal="center" vertical="center"/>
    </xf>
    <xf numFmtId="0" fontId="88" fillId="0" borderId="17" xfId="0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 wrapText="1"/>
    </xf>
    <xf numFmtId="0" fontId="88" fillId="0" borderId="17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9" fillId="0" borderId="20" xfId="0" applyFont="1" applyFill="1" applyBorder="1" applyAlignment="1">
      <alignment horizontal="center" vertical="center" wrapText="1"/>
    </xf>
    <xf numFmtId="0" fontId="89" fillId="0" borderId="17" xfId="0" applyFont="1" applyFill="1" applyBorder="1" applyAlignment="1">
      <alignment horizontal="center" vertical="center" wrapText="1"/>
    </xf>
    <xf numFmtId="0" fontId="89" fillId="0" borderId="14" xfId="0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Tabela nr 7" xfId="53"/>
    <cellStyle name="Normalny_tabela nr 8" xfId="54"/>
    <cellStyle name="Normalny_Uch.RMK marzec" xfId="55"/>
    <cellStyle name="Normalny_wkonanie inestycji I półrocze 2005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2"/>
  <sheetViews>
    <sheetView tabSelected="1" zoomScale="140" zoomScaleNormal="140" workbookViewId="0" topLeftCell="A1">
      <selection activeCell="A2" sqref="A2"/>
    </sheetView>
  </sheetViews>
  <sheetFormatPr defaultColWidth="9.140625" defaultRowHeight="12.75"/>
  <cols>
    <col min="1" max="1" width="4.7109375" style="109" customWidth="1"/>
    <col min="2" max="2" width="5.8515625" style="109" customWidth="1"/>
    <col min="3" max="3" width="5.28125" style="249" customWidth="1"/>
    <col min="4" max="4" width="27.28125" style="109" customWidth="1"/>
    <col min="5" max="5" width="13.57421875" style="65" customWidth="1"/>
    <col min="6" max="6" width="11.7109375" style="126" customWidth="1"/>
    <col min="7" max="7" width="13.7109375" style="65" customWidth="1"/>
    <col min="8" max="8" width="11.00390625" style="92" customWidth="1"/>
    <col min="9" max="9" width="6.57421875" style="92" customWidth="1"/>
    <col min="10" max="10" width="15.00390625" style="65" customWidth="1"/>
    <col min="11" max="11" width="12.57421875" style="65" bestFit="1" customWidth="1"/>
    <col min="12" max="12" width="13.00390625" style="51" customWidth="1"/>
    <col min="13" max="13" width="11.57421875" style="51" customWidth="1"/>
    <col min="14" max="14" width="6.28125" style="51" customWidth="1"/>
    <col min="15" max="15" width="11.421875" style="51" customWidth="1"/>
    <col min="16" max="16384" width="9.140625" style="51" customWidth="1"/>
  </cols>
  <sheetData>
    <row r="1" ht="12.75">
      <c r="B1" s="109" t="s">
        <v>83</v>
      </c>
    </row>
    <row r="2" spans="5:7" ht="20.25">
      <c r="E2" s="160" t="s">
        <v>537</v>
      </c>
      <c r="G2" s="160"/>
    </row>
    <row r="5" spans="2:4" ht="18.75">
      <c r="B5" s="162" t="s">
        <v>687</v>
      </c>
      <c r="C5" s="250"/>
      <c r="D5" s="163"/>
    </row>
    <row r="6" spans="2:4" ht="18.75">
      <c r="B6" s="162" t="s">
        <v>762</v>
      </c>
      <c r="C6" s="250"/>
      <c r="D6" s="163"/>
    </row>
    <row r="7" spans="2:4" ht="18.75">
      <c r="B7" s="162"/>
      <c r="C7" s="250"/>
      <c r="D7" s="163"/>
    </row>
    <row r="8" spans="1:8" ht="12.75">
      <c r="A8" s="165"/>
      <c r="B8" s="165"/>
      <c r="C8" s="251"/>
      <c r="D8" s="110"/>
      <c r="F8" s="180"/>
      <c r="H8" s="621" t="s">
        <v>84</v>
      </c>
    </row>
    <row r="9" spans="1:9" ht="29.25" customHeight="1">
      <c r="A9" s="1221" t="s">
        <v>85</v>
      </c>
      <c r="B9" s="1221" t="s">
        <v>86</v>
      </c>
      <c r="C9" s="1224" t="s">
        <v>294</v>
      </c>
      <c r="D9" s="1227" t="s">
        <v>295</v>
      </c>
      <c r="E9" s="1219" t="s">
        <v>666</v>
      </c>
      <c r="F9" s="1220"/>
      <c r="G9" s="1219" t="s">
        <v>763</v>
      </c>
      <c r="H9" s="1220"/>
      <c r="I9" s="237" t="s">
        <v>639</v>
      </c>
    </row>
    <row r="10" spans="1:9" ht="13.5" customHeight="1">
      <c r="A10" s="1222"/>
      <c r="B10" s="1222"/>
      <c r="C10" s="1225"/>
      <c r="D10" s="1228"/>
      <c r="E10" s="166" t="s">
        <v>83</v>
      </c>
      <c r="F10" s="111" t="s">
        <v>717</v>
      </c>
      <c r="G10" s="166" t="s">
        <v>83</v>
      </c>
      <c r="H10" s="622" t="s">
        <v>717</v>
      </c>
      <c r="I10" s="344"/>
    </row>
    <row r="11" spans="1:9" ht="42.75" customHeight="1">
      <c r="A11" s="1223"/>
      <c r="B11" s="1223"/>
      <c r="C11" s="1226"/>
      <c r="D11" s="1229"/>
      <c r="E11" s="347" t="s">
        <v>296</v>
      </c>
      <c r="F11" s="346" t="s">
        <v>297</v>
      </c>
      <c r="G11" s="347" t="s">
        <v>296</v>
      </c>
      <c r="H11" s="623" t="s">
        <v>297</v>
      </c>
      <c r="I11" s="340"/>
    </row>
    <row r="12" spans="1:9" ht="23.25" customHeight="1">
      <c r="A12" s="7" t="s">
        <v>547</v>
      </c>
      <c r="B12" s="8"/>
      <c r="C12" s="253"/>
      <c r="D12" s="60"/>
      <c r="E12" s="55"/>
      <c r="F12" s="238"/>
      <c r="G12" s="55"/>
      <c r="H12" s="624"/>
      <c r="I12" s="337"/>
    </row>
    <row r="13" spans="1:11" s="243" customFormat="1" ht="23.25" customHeight="1">
      <c r="A13" s="240" t="s">
        <v>607</v>
      </c>
      <c r="B13" s="241"/>
      <c r="C13" s="241"/>
      <c r="D13" s="218" t="s">
        <v>292</v>
      </c>
      <c r="E13" s="45">
        <f aca="true" t="shared" si="0" ref="E13:H14">E14</f>
        <v>61844</v>
      </c>
      <c r="F13" s="242">
        <f t="shared" si="0"/>
        <v>61844</v>
      </c>
      <c r="G13" s="45">
        <f t="shared" si="0"/>
        <v>60631.33</v>
      </c>
      <c r="H13" s="339">
        <f t="shared" si="0"/>
        <v>60631.33</v>
      </c>
      <c r="I13" s="444">
        <f>G13/E13*100</f>
        <v>98.03914688571244</v>
      </c>
      <c r="J13" s="458"/>
      <c r="K13" s="458"/>
    </row>
    <row r="14" spans="1:11" s="163" customFormat="1" ht="23.25" customHeight="1">
      <c r="A14" s="244"/>
      <c r="B14" s="245" t="s">
        <v>608</v>
      </c>
      <c r="C14" s="254"/>
      <c r="D14" s="246" t="s">
        <v>494</v>
      </c>
      <c r="E14" s="133">
        <f t="shared" si="0"/>
        <v>61844</v>
      </c>
      <c r="F14" s="133">
        <f t="shared" si="0"/>
        <v>61844</v>
      </c>
      <c r="G14" s="133">
        <f t="shared" si="0"/>
        <v>60631.33</v>
      </c>
      <c r="H14" s="463">
        <f t="shared" si="0"/>
        <v>60631.33</v>
      </c>
      <c r="I14" s="348">
        <f aca="true" t="shared" si="1" ref="I14:I87">G14/E14*100</f>
        <v>98.03914688571244</v>
      </c>
      <c r="J14" s="322"/>
      <c r="K14" s="322"/>
    </row>
    <row r="15" spans="1:11" s="109" customFormat="1" ht="65.25" customHeight="1">
      <c r="A15" s="201"/>
      <c r="B15" s="13"/>
      <c r="C15" s="255">
        <v>2010</v>
      </c>
      <c r="D15" s="14" t="s">
        <v>455</v>
      </c>
      <c r="E15" s="134">
        <v>61844</v>
      </c>
      <c r="F15" s="238">
        <v>61844</v>
      </c>
      <c r="G15" s="134">
        <v>60631.33</v>
      </c>
      <c r="H15" s="338">
        <v>60631.33</v>
      </c>
      <c r="I15" s="348">
        <f t="shared" si="1"/>
        <v>98.03914688571244</v>
      </c>
      <c r="J15" s="126"/>
      <c r="K15" s="126"/>
    </row>
    <row r="16" spans="1:9" ht="19.5" customHeight="1">
      <c r="A16" s="9">
        <v>600</v>
      </c>
      <c r="B16" s="10"/>
      <c r="C16" s="256"/>
      <c r="D16" s="11" t="s">
        <v>87</v>
      </c>
      <c r="E16" s="220">
        <f>E17+E21+E24</f>
        <v>1121994.32</v>
      </c>
      <c r="F16" s="179"/>
      <c r="G16" s="220">
        <f>G17+G21+G24</f>
        <v>1103862.75</v>
      </c>
      <c r="H16" s="453"/>
      <c r="I16" s="444">
        <f t="shared" si="1"/>
        <v>98.38398736278808</v>
      </c>
    </row>
    <row r="17" spans="1:11" s="69" customFormat="1" ht="22.5" customHeight="1">
      <c r="A17" s="43"/>
      <c r="B17" s="31">
        <v>60004</v>
      </c>
      <c r="C17" s="254"/>
      <c r="D17" s="46" t="s">
        <v>88</v>
      </c>
      <c r="E17" s="125">
        <f>SUM(E18:E20)</f>
        <v>1051994.32</v>
      </c>
      <c r="F17" s="189"/>
      <c r="G17" s="125">
        <f>SUM(G18:G20)</f>
        <v>1053229.3</v>
      </c>
      <c r="H17" s="456"/>
      <c r="I17" s="348">
        <f t="shared" si="1"/>
        <v>100.1173941699609</v>
      </c>
      <c r="J17" s="321"/>
      <c r="K17" s="321"/>
    </row>
    <row r="18" spans="1:11" s="69" customFormat="1" ht="37.5" customHeight="1">
      <c r="A18" s="43"/>
      <c r="B18" s="38"/>
      <c r="C18" s="255" t="s">
        <v>776</v>
      </c>
      <c r="D18" s="14" t="s">
        <v>458</v>
      </c>
      <c r="E18" s="125"/>
      <c r="F18" s="223"/>
      <c r="G18" s="84">
        <v>1105.23</v>
      </c>
      <c r="H18" s="625"/>
      <c r="I18" s="348"/>
      <c r="J18" s="321"/>
      <c r="K18" s="321"/>
    </row>
    <row r="19" spans="1:11" s="69" customFormat="1" ht="22.5" customHeight="1">
      <c r="A19" s="43"/>
      <c r="B19" s="38"/>
      <c r="C19" s="255" t="s">
        <v>454</v>
      </c>
      <c r="D19" s="14" t="s">
        <v>298</v>
      </c>
      <c r="E19" s="125"/>
      <c r="F19" s="223"/>
      <c r="G19" s="84">
        <v>129.75</v>
      </c>
      <c r="H19" s="625"/>
      <c r="I19" s="348"/>
      <c r="J19" s="321"/>
      <c r="K19" s="321"/>
    </row>
    <row r="20" spans="1:9" ht="63.75" customHeight="1">
      <c r="A20" s="12"/>
      <c r="B20" s="15"/>
      <c r="C20" s="255">
        <v>2310</v>
      </c>
      <c r="D20" s="14" t="s">
        <v>317</v>
      </c>
      <c r="E20" s="68">
        <v>1051994.32</v>
      </c>
      <c r="F20" s="227"/>
      <c r="G20" s="68">
        <v>1051994.32</v>
      </c>
      <c r="H20" s="626"/>
      <c r="I20" s="348">
        <f t="shared" si="1"/>
        <v>100</v>
      </c>
    </row>
    <row r="21" spans="1:9" ht="27.75" customHeight="1">
      <c r="A21" s="12"/>
      <c r="B21" s="61">
        <v>60016</v>
      </c>
      <c r="C21" s="245"/>
      <c r="D21" s="33" t="s">
        <v>532</v>
      </c>
      <c r="E21" s="124">
        <f>SUM(E22:E23)</f>
        <v>50000</v>
      </c>
      <c r="F21" s="223"/>
      <c r="G21" s="124">
        <f>SUM(G22:G23)</f>
        <v>50633.45</v>
      </c>
      <c r="H21" s="341"/>
      <c r="I21" s="343"/>
    </row>
    <row r="22" spans="1:9" ht="36.75" customHeight="1">
      <c r="A22" s="12"/>
      <c r="B22" s="102"/>
      <c r="C22" s="255" t="s">
        <v>776</v>
      </c>
      <c r="D22" s="14" t="s">
        <v>458</v>
      </c>
      <c r="E22" s="124"/>
      <c r="F22" s="223"/>
      <c r="G22" s="68">
        <v>633.45</v>
      </c>
      <c r="H22" s="341"/>
      <c r="I22" s="343"/>
    </row>
    <row r="23" spans="1:9" ht="72.75" customHeight="1">
      <c r="A23" s="12"/>
      <c r="B23" s="15"/>
      <c r="C23" s="255">
        <v>6300</v>
      </c>
      <c r="D23" s="14" t="s">
        <v>703</v>
      </c>
      <c r="E23" s="68">
        <v>50000</v>
      </c>
      <c r="F23" s="179"/>
      <c r="G23" s="68">
        <v>50000</v>
      </c>
      <c r="H23" s="341"/>
      <c r="I23" s="338"/>
    </row>
    <row r="24" spans="1:11" s="69" customFormat="1" ht="31.5" customHeight="1">
      <c r="A24" s="43"/>
      <c r="B24" s="32">
        <v>60095</v>
      </c>
      <c r="C24" s="254"/>
      <c r="D24" s="46" t="s">
        <v>494</v>
      </c>
      <c r="E24" s="124">
        <f>E25</f>
        <v>20000</v>
      </c>
      <c r="F24" s="223"/>
      <c r="G24" s="124">
        <f>G25</f>
        <v>0</v>
      </c>
      <c r="H24" s="625"/>
      <c r="I24" s="453"/>
      <c r="J24" s="321"/>
      <c r="K24" s="321"/>
    </row>
    <row r="25" spans="1:9" ht="23.25" customHeight="1">
      <c r="A25" s="12"/>
      <c r="B25" s="15"/>
      <c r="C25" s="255" t="s">
        <v>549</v>
      </c>
      <c r="D25" s="14" t="s">
        <v>550</v>
      </c>
      <c r="E25" s="68">
        <v>20000</v>
      </c>
      <c r="F25" s="179"/>
      <c r="G25" s="68"/>
      <c r="H25" s="453"/>
      <c r="I25" s="348"/>
    </row>
    <row r="26" spans="1:9" ht="20.25" customHeight="1">
      <c r="A26" s="16">
        <v>700</v>
      </c>
      <c r="B26" s="17"/>
      <c r="C26" s="241"/>
      <c r="D26" s="18" t="s">
        <v>89</v>
      </c>
      <c r="E26" s="45">
        <f>E27+E35</f>
        <v>18290500</v>
      </c>
      <c r="F26" s="134"/>
      <c r="G26" s="45">
        <f>G27+G35</f>
        <v>18749096.580000002</v>
      </c>
      <c r="H26" s="338"/>
      <c r="I26" s="444">
        <f t="shared" si="1"/>
        <v>102.50729384106505</v>
      </c>
    </row>
    <row r="27" spans="1:11" s="69" customFormat="1" ht="25.5" customHeight="1">
      <c r="A27" s="43"/>
      <c r="B27" s="31">
        <v>70005</v>
      </c>
      <c r="C27" s="254"/>
      <c r="D27" s="46" t="s">
        <v>493</v>
      </c>
      <c r="E27" s="124">
        <f>SUM(E28:E34)</f>
        <v>16981000</v>
      </c>
      <c r="F27" s="189"/>
      <c r="G27" s="124">
        <f>SUM(G28:G34)</f>
        <v>17373880.14</v>
      </c>
      <c r="H27" s="456"/>
      <c r="I27" s="348">
        <f t="shared" si="1"/>
        <v>102.31364548613155</v>
      </c>
      <c r="J27" s="321"/>
      <c r="K27" s="321"/>
    </row>
    <row r="28" spans="1:9" ht="51.75" customHeight="1">
      <c r="A28" s="12"/>
      <c r="B28" s="15"/>
      <c r="C28" s="255" t="s">
        <v>554</v>
      </c>
      <c r="D28" s="14" t="s">
        <v>764</v>
      </c>
      <c r="E28" s="68">
        <v>1700000</v>
      </c>
      <c r="F28" s="179"/>
      <c r="G28" s="68">
        <v>1538296.86</v>
      </c>
      <c r="H28" s="453"/>
      <c r="I28" s="348">
        <f t="shared" si="1"/>
        <v>90.4880505882353</v>
      </c>
    </row>
    <row r="29" spans="1:9" ht="18" customHeight="1">
      <c r="A29" s="12"/>
      <c r="B29" s="15"/>
      <c r="C29" s="255" t="s">
        <v>549</v>
      </c>
      <c r="D29" s="14" t="s">
        <v>550</v>
      </c>
      <c r="E29" s="68">
        <v>60000</v>
      </c>
      <c r="F29" s="179"/>
      <c r="G29" s="68">
        <v>37192.11</v>
      </c>
      <c r="H29" s="453"/>
      <c r="I29" s="348">
        <f t="shared" si="1"/>
        <v>61.986850000000004</v>
      </c>
    </row>
    <row r="30" spans="1:9" ht="90.75" customHeight="1">
      <c r="A30" s="12"/>
      <c r="B30" s="15"/>
      <c r="C30" s="255" t="s">
        <v>556</v>
      </c>
      <c r="D30" s="14" t="s">
        <v>449</v>
      </c>
      <c r="E30" s="68">
        <v>11175000</v>
      </c>
      <c r="F30" s="179"/>
      <c r="G30" s="68">
        <v>11297418.57</v>
      </c>
      <c r="H30" s="453"/>
      <c r="I30" s="348">
        <f t="shared" si="1"/>
        <v>101.09546818791945</v>
      </c>
    </row>
    <row r="31" spans="1:9" ht="51" customHeight="1">
      <c r="A31" s="12"/>
      <c r="B31" s="15"/>
      <c r="C31" s="255" t="s">
        <v>752</v>
      </c>
      <c r="D31" s="14" t="s">
        <v>753</v>
      </c>
      <c r="E31" s="68">
        <v>200000</v>
      </c>
      <c r="F31" s="179"/>
      <c r="G31" s="68">
        <v>233454.57</v>
      </c>
      <c r="H31" s="453"/>
      <c r="I31" s="348">
        <f t="shared" si="1"/>
        <v>116.72728500000001</v>
      </c>
    </row>
    <row r="32" spans="1:9" ht="50.25" customHeight="1">
      <c r="A32" s="12"/>
      <c r="B32" s="15"/>
      <c r="C32" s="255" t="s">
        <v>754</v>
      </c>
      <c r="D32" s="14" t="s">
        <v>755</v>
      </c>
      <c r="E32" s="68">
        <v>3646000</v>
      </c>
      <c r="F32" s="179"/>
      <c r="G32" s="68">
        <v>3922401.1</v>
      </c>
      <c r="H32" s="453"/>
      <c r="I32" s="348">
        <f t="shared" si="1"/>
        <v>107.58094075699395</v>
      </c>
    </row>
    <row r="33" spans="1:9" ht="18" customHeight="1">
      <c r="A33" s="12"/>
      <c r="B33" s="15"/>
      <c r="C33" s="255" t="s">
        <v>454</v>
      </c>
      <c r="D33" s="14" t="s">
        <v>298</v>
      </c>
      <c r="E33" s="68">
        <v>90000</v>
      </c>
      <c r="F33" s="179"/>
      <c r="G33" s="68">
        <v>215726.65</v>
      </c>
      <c r="H33" s="453"/>
      <c r="I33" s="348">
        <f t="shared" si="1"/>
        <v>239.69627777777777</v>
      </c>
    </row>
    <row r="34" spans="1:9" ht="21" customHeight="1">
      <c r="A34" s="12"/>
      <c r="B34" s="15"/>
      <c r="C34" s="255" t="s">
        <v>756</v>
      </c>
      <c r="D34" s="14" t="s">
        <v>774</v>
      </c>
      <c r="E34" s="68">
        <v>110000</v>
      </c>
      <c r="F34" s="179"/>
      <c r="G34" s="68">
        <v>129390.28</v>
      </c>
      <c r="H34" s="453"/>
      <c r="I34" s="348">
        <f t="shared" si="1"/>
        <v>117.62752727272728</v>
      </c>
    </row>
    <row r="35" spans="1:11" s="69" customFormat="1" ht="24.75" customHeight="1">
      <c r="A35" s="43"/>
      <c r="B35" s="32">
        <v>70095</v>
      </c>
      <c r="C35" s="254"/>
      <c r="D35" s="46" t="s">
        <v>494</v>
      </c>
      <c r="E35" s="124">
        <f>SUM(E36:E39)</f>
        <v>1309500</v>
      </c>
      <c r="F35" s="223"/>
      <c r="G35" s="124">
        <f>SUM(G36:G39)</f>
        <v>1375216.44</v>
      </c>
      <c r="H35" s="625"/>
      <c r="I35" s="348">
        <f t="shared" si="1"/>
        <v>105.01843757159222</v>
      </c>
      <c r="J35" s="321"/>
      <c r="K35" s="321"/>
    </row>
    <row r="36" spans="1:11" s="69" customFormat="1" ht="24.75" customHeight="1">
      <c r="A36" s="43"/>
      <c r="B36" s="38"/>
      <c r="C36" s="255" t="s">
        <v>549</v>
      </c>
      <c r="D36" s="14" t="s">
        <v>550</v>
      </c>
      <c r="E36" s="68">
        <v>3500</v>
      </c>
      <c r="F36" s="223"/>
      <c r="G36" s="68">
        <v>31479.05</v>
      </c>
      <c r="H36" s="625"/>
      <c r="I36" s="348"/>
      <c r="J36" s="321"/>
      <c r="K36" s="321"/>
    </row>
    <row r="37" spans="1:11" s="69" customFormat="1" ht="24.75" customHeight="1">
      <c r="A37" s="43"/>
      <c r="B37" s="38"/>
      <c r="C37" s="255" t="s">
        <v>454</v>
      </c>
      <c r="D37" s="14" t="s">
        <v>298</v>
      </c>
      <c r="E37" s="68">
        <v>1000</v>
      </c>
      <c r="F37" s="223"/>
      <c r="G37" s="68">
        <v>22445.92</v>
      </c>
      <c r="H37" s="625"/>
      <c r="I37" s="348"/>
      <c r="J37" s="321"/>
      <c r="K37" s="321"/>
    </row>
    <row r="38" spans="1:11" s="69" customFormat="1" ht="24.75" customHeight="1">
      <c r="A38" s="43"/>
      <c r="B38" s="38"/>
      <c r="C38" s="255" t="s">
        <v>756</v>
      </c>
      <c r="D38" s="14" t="s">
        <v>774</v>
      </c>
      <c r="E38" s="68">
        <v>10000</v>
      </c>
      <c r="F38" s="223"/>
      <c r="G38" s="68">
        <v>26291.47</v>
      </c>
      <c r="H38" s="625"/>
      <c r="I38" s="348">
        <f t="shared" si="1"/>
        <v>262.91470000000004</v>
      </c>
      <c r="J38" s="321"/>
      <c r="K38" s="321"/>
    </row>
    <row r="39" spans="1:9" ht="64.5" customHeight="1">
      <c r="A39" s="12"/>
      <c r="B39" s="15"/>
      <c r="C39" s="252">
        <v>6290</v>
      </c>
      <c r="D39" s="14" t="s">
        <v>465</v>
      </c>
      <c r="E39" s="68">
        <v>1295000</v>
      </c>
      <c r="F39" s="227"/>
      <c r="G39" s="68">
        <v>1295000</v>
      </c>
      <c r="H39" s="626"/>
      <c r="I39" s="348">
        <f t="shared" si="1"/>
        <v>100</v>
      </c>
    </row>
    <row r="40" spans="1:11" s="243" customFormat="1" ht="27.75" customHeight="1">
      <c r="A40" s="16">
        <v>710</v>
      </c>
      <c r="B40" s="16"/>
      <c r="C40" s="241"/>
      <c r="D40" s="44" t="s">
        <v>503</v>
      </c>
      <c r="E40" s="45">
        <f>E41</f>
        <v>0</v>
      </c>
      <c r="F40" s="248"/>
      <c r="G40" s="45">
        <f>G41</f>
        <v>20965.07</v>
      </c>
      <c r="H40" s="627"/>
      <c r="I40" s="444"/>
      <c r="J40" s="458"/>
      <c r="K40" s="458"/>
    </row>
    <row r="41" spans="1:11" s="243" customFormat="1" ht="27.75" customHeight="1">
      <c r="A41" s="67"/>
      <c r="B41" s="101">
        <v>71004</v>
      </c>
      <c r="C41" s="31"/>
      <c r="D41" s="33" t="s">
        <v>601</v>
      </c>
      <c r="E41" s="124">
        <f>E42</f>
        <v>0</v>
      </c>
      <c r="F41" s="316"/>
      <c r="G41" s="124">
        <f>G42</f>
        <v>20965.07</v>
      </c>
      <c r="H41" s="628"/>
      <c r="I41" s="348"/>
      <c r="J41" s="458"/>
      <c r="K41" s="458"/>
    </row>
    <row r="42" spans="1:11" s="243" customFormat="1" ht="39" customHeight="1">
      <c r="A42" s="67"/>
      <c r="B42" s="16"/>
      <c r="C42" s="255" t="s">
        <v>776</v>
      </c>
      <c r="D42" s="14" t="s">
        <v>458</v>
      </c>
      <c r="E42" s="68"/>
      <c r="F42" s="315"/>
      <c r="G42" s="68">
        <v>20965.07</v>
      </c>
      <c r="H42" s="626"/>
      <c r="I42" s="348"/>
      <c r="J42" s="458"/>
      <c r="K42" s="458"/>
    </row>
    <row r="43" spans="1:9" ht="27" customHeight="1">
      <c r="A43" s="16">
        <v>750</v>
      </c>
      <c r="B43" s="17"/>
      <c r="C43" s="241"/>
      <c r="D43" s="18" t="s">
        <v>495</v>
      </c>
      <c r="E43" s="45">
        <f>E44+E47</f>
        <v>1004700</v>
      </c>
      <c r="F43" s="45">
        <f>F44+F47</f>
        <v>485100</v>
      </c>
      <c r="G43" s="45">
        <f>G44+G47</f>
        <v>992674.96</v>
      </c>
      <c r="H43" s="339">
        <f>H44+H47</f>
        <v>485100</v>
      </c>
      <c r="I43" s="444">
        <f t="shared" si="1"/>
        <v>98.80312132975017</v>
      </c>
    </row>
    <row r="44" spans="1:11" s="69" customFormat="1" ht="24.75" customHeight="1">
      <c r="A44" s="43"/>
      <c r="B44" s="32">
        <v>75011</v>
      </c>
      <c r="C44" s="254"/>
      <c r="D44" s="46" t="s">
        <v>548</v>
      </c>
      <c r="E44" s="124">
        <f>SUM(E45:E46)</f>
        <v>485100</v>
      </c>
      <c r="F44" s="124">
        <f>SUM(F45:F46)</f>
        <v>485100</v>
      </c>
      <c r="G44" s="124">
        <f>SUM(G45:G46)</f>
        <v>485227.1</v>
      </c>
      <c r="H44" s="463">
        <f>SUM(H45:H46)</f>
        <v>485100</v>
      </c>
      <c r="I44" s="348">
        <f t="shared" si="1"/>
        <v>100.02620078334363</v>
      </c>
      <c r="J44" s="321"/>
      <c r="K44" s="321"/>
    </row>
    <row r="45" spans="1:9" ht="64.5" customHeight="1">
      <c r="A45" s="12"/>
      <c r="B45" s="15"/>
      <c r="C45" s="255">
        <v>2010</v>
      </c>
      <c r="D45" s="14" t="s">
        <v>455</v>
      </c>
      <c r="E45" s="68">
        <v>485100</v>
      </c>
      <c r="F45" s="121">
        <v>485100</v>
      </c>
      <c r="G45" s="68">
        <v>485100</v>
      </c>
      <c r="H45" s="337">
        <v>485100</v>
      </c>
      <c r="I45" s="348">
        <f t="shared" si="1"/>
        <v>100</v>
      </c>
    </row>
    <row r="46" spans="1:9" ht="64.5" customHeight="1">
      <c r="A46" s="12"/>
      <c r="B46" s="15"/>
      <c r="C46" s="255">
        <v>2360</v>
      </c>
      <c r="D46" s="14" t="s">
        <v>456</v>
      </c>
      <c r="E46" s="68"/>
      <c r="F46" s="122"/>
      <c r="G46" s="68">
        <v>127.1</v>
      </c>
      <c r="H46" s="348"/>
      <c r="I46" s="348"/>
    </row>
    <row r="47" spans="1:11" s="69" customFormat="1" ht="30.75" customHeight="1">
      <c r="A47" s="43"/>
      <c r="B47" s="31">
        <v>75023</v>
      </c>
      <c r="C47" s="254"/>
      <c r="D47" s="46" t="s">
        <v>281</v>
      </c>
      <c r="E47" s="124">
        <f>SUM(E48:E54)</f>
        <v>519600</v>
      </c>
      <c r="F47" s="189"/>
      <c r="G47" s="124">
        <f>SUM(G48:G54)</f>
        <v>507447.86</v>
      </c>
      <c r="H47" s="456"/>
      <c r="I47" s="348">
        <f t="shared" si="1"/>
        <v>97.66125096227867</v>
      </c>
      <c r="J47" s="321"/>
      <c r="K47" s="321"/>
    </row>
    <row r="48" spans="1:9" ht="38.25" customHeight="1">
      <c r="A48" s="12"/>
      <c r="B48" s="15"/>
      <c r="C48" s="255" t="s">
        <v>686</v>
      </c>
      <c r="D48" s="14" t="s">
        <v>458</v>
      </c>
      <c r="E48" s="68">
        <v>66600</v>
      </c>
      <c r="F48" s="179"/>
      <c r="G48" s="68">
        <v>66670.26</v>
      </c>
      <c r="H48" s="453"/>
      <c r="I48" s="348">
        <f t="shared" si="1"/>
        <v>100.10549549549548</v>
      </c>
    </row>
    <row r="49" spans="1:9" ht="19.5" customHeight="1">
      <c r="A49" s="12"/>
      <c r="B49" s="15"/>
      <c r="C49" s="255" t="s">
        <v>549</v>
      </c>
      <c r="D49" s="14" t="s">
        <v>550</v>
      </c>
      <c r="E49" s="68">
        <v>22000</v>
      </c>
      <c r="F49" s="179"/>
      <c r="G49" s="68">
        <f>30798.47-5430.26</f>
        <v>25368.21</v>
      </c>
      <c r="H49" s="453"/>
      <c r="I49" s="348">
        <f t="shared" si="1"/>
        <v>115.31004545454545</v>
      </c>
    </row>
    <row r="50" spans="1:9" ht="88.5" customHeight="1">
      <c r="A50" s="12"/>
      <c r="B50" s="15"/>
      <c r="C50" s="255" t="s">
        <v>556</v>
      </c>
      <c r="D50" s="14" t="s">
        <v>449</v>
      </c>
      <c r="E50" s="68">
        <v>415000</v>
      </c>
      <c r="F50" s="179"/>
      <c r="G50" s="68">
        <v>397067.76</v>
      </c>
      <c r="H50" s="453"/>
      <c r="I50" s="348">
        <f t="shared" si="1"/>
        <v>95.67897831325301</v>
      </c>
    </row>
    <row r="51" spans="1:9" ht="21.75" customHeight="1">
      <c r="A51" s="12"/>
      <c r="B51" s="15"/>
      <c r="C51" s="255" t="s">
        <v>552</v>
      </c>
      <c r="D51" s="14" t="s">
        <v>553</v>
      </c>
      <c r="E51" s="68"/>
      <c r="F51" s="179"/>
      <c r="G51" s="68">
        <v>7252.14</v>
      </c>
      <c r="H51" s="453"/>
      <c r="I51" s="348"/>
    </row>
    <row r="52" spans="1:9" ht="29.25" customHeight="1">
      <c r="A52" s="12"/>
      <c r="B52" s="15"/>
      <c r="C52" s="255" t="s">
        <v>746</v>
      </c>
      <c r="D52" s="14" t="s">
        <v>747</v>
      </c>
      <c r="E52" s="68"/>
      <c r="F52" s="179"/>
      <c r="G52" s="68">
        <v>99</v>
      </c>
      <c r="H52" s="453"/>
      <c r="I52" s="348"/>
    </row>
    <row r="53" spans="1:9" ht="21.75" customHeight="1">
      <c r="A53" s="12"/>
      <c r="B53" s="15"/>
      <c r="C53" s="252" t="s">
        <v>454</v>
      </c>
      <c r="D53" s="14" t="s">
        <v>298</v>
      </c>
      <c r="E53" s="68"/>
      <c r="F53" s="179"/>
      <c r="G53" s="68">
        <v>3026.37</v>
      </c>
      <c r="H53" s="453"/>
      <c r="I53" s="348"/>
    </row>
    <row r="54" spans="1:9" ht="21.75" customHeight="1">
      <c r="A54" s="12"/>
      <c r="B54" s="15"/>
      <c r="C54" s="255" t="s">
        <v>756</v>
      </c>
      <c r="D54" s="14" t="s">
        <v>757</v>
      </c>
      <c r="E54" s="68">
        <v>16000</v>
      </c>
      <c r="F54" s="179"/>
      <c r="G54" s="68">
        <v>7964.12</v>
      </c>
      <c r="H54" s="453"/>
      <c r="I54" s="348">
        <f t="shared" si="1"/>
        <v>49.77575</v>
      </c>
    </row>
    <row r="55" spans="1:9" ht="41.25" customHeight="1">
      <c r="A55" s="16">
        <v>751</v>
      </c>
      <c r="B55" s="17"/>
      <c r="C55" s="241"/>
      <c r="D55" s="18" t="s">
        <v>282</v>
      </c>
      <c r="E55" s="85">
        <f aca="true" t="shared" si="2" ref="E55:H56">E56</f>
        <v>13500</v>
      </c>
      <c r="F55" s="85">
        <f t="shared" si="2"/>
        <v>13500</v>
      </c>
      <c r="G55" s="85">
        <f t="shared" si="2"/>
        <v>12931.61</v>
      </c>
      <c r="H55" s="629">
        <f t="shared" si="2"/>
        <v>12931.61</v>
      </c>
      <c r="I55" s="444">
        <f t="shared" si="1"/>
        <v>95.78970370370371</v>
      </c>
    </row>
    <row r="56" spans="1:11" s="69" customFormat="1" ht="38.25" customHeight="1">
      <c r="A56" s="43"/>
      <c r="B56" s="31">
        <v>75101</v>
      </c>
      <c r="C56" s="254"/>
      <c r="D56" s="46" t="s">
        <v>283</v>
      </c>
      <c r="E56" s="125">
        <f t="shared" si="2"/>
        <v>13500</v>
      </c>
      <c r="F56" s="222">
        <f t="shared" si="2"/>
        <v>13500</v>
      </c>
      <c r="G56" s="125">
        <f t="shared" si="2"/>
        <v>12931.61</v>
      </c>
      <c r="H56" s="630">
        <f t="shared" si="2"/>
        <v>12931.61</v>
      </c>
      <c r="I56" s="348">
        <f t="shared" si="1"/>
        <v>95.78970370370371</v>
      </c>
      <c r="J56" s="321"/>
      <c r="K56" s="321"/>
    </row>
    <row r="57" spans="1:9" ht="64.5" customHeight="1">
      <c r="A57" s="12"/>
      <c r="B57" s="15"/>
      <c r="C57" s="252">
        <v>2010</v>
      </c>
      <c r="D57" s="14" t="s">
        <v>455</v>
      </c>
      <c r="E57" s="225">
        <v>13500</v>
      </c>
      <c r="F57" s="179">
        <v>13500</v>
      </c>
      <c r="G57" s="225">
        <v>12931.61</v>
      </c>
      <c r="H57" s="453">
        <v>12931.61</v>
      </c>
      <c r="I57" s="348">
        <f t="shared" si="1"/>
        <v>95.78970370370371</v>
      </c>
    </row>
    <row r="58" spans="1:11" s="71" customFormat="1" ht="35.25" customHeight="1">
      <c r="A58" s="16">
        <v>754</v>
      </c>
      <c r="B58" s="21"/>
      <c r="C58" s="241"/>
      <c r="D58" s="44" t="s">
        <v>496</v>
      </c>
      <c r="E58" s="45">
        <f>E59</f>
        <v>470000</v>
      </c>
      <c r="F58" s="242"/>
      <c r="G58" s="45">
        <f>G59</f>
        <v>459816.33999999997</v>
      </c>
      <c r="H58" s="339"/>
      <c r="I58" s="444">
        <f t="shared" si="1"/>
        <v>97.83326382978723</v>
      </c>
      <c r="J58" s="70"/>
      <c r="K58" s="70"/>
    </row>
    <row r="59" spans="1:11" s="69" customFormat="1" ht="21" customHeight="1">
      <c r="A59" s="43"/>
      <c r="B59" s="32">
        <v>75416</v>
      </c>
      <c r="C59" s="263"/>
      <c r="D59" s="46" t="s">
        <v>573</v>
      </c>
      <c r="E59" s="187">
        <f>E60+E61</f>
        <v>470000</v>
      </c>
      <c r="F59" s="223"/>
      <c r="G59" s="187">
        <f>G60+G61</f>
        <v>459816.33999999997</v>
      </c>
      <c r="H59" s="625"/>
      <c r="I59" s="348">
        <f t="shared" si="1"/>
        <v>97.83326382978723</v>
      </c>
      <c r="J59" s="321"/>
      <c r="K59" s="321"/>
    </row>
    <row r="60" spans="1:9" ht="32.25" customHeight="1">
      <c r="A60" s="12"/>
      <c r="B60" s="15"/>
      <c r="C60" s="255" t="s">
        <v>457</v>
      </c>
      <c r="D60" s="14" t="s">
        <v>318</v>
      </c>
      <c r="E60" s="68">
        <v>470000</v>
      </c>
      <c r="F60" s="179"/>
      <c r="G60" s="68">
        <v>459807.43</v>
      </c>
      <c r="H60" s="453"/>
      <c r="I60" s="348">
        <f t="shared" si="1"/>
        <v>97.83136808510639</v>
      </c>
    </row>
    <row r="61" spans="1:9" ht="24" customHeight="1">
      <c r="A61" s="12"/>
      <c r="B61" s="15"/>
      <c r="C61" s="255" t="s">
        <v>549</v>
      </c>
      <c r="D61" s="14" t="s">
        <v>550</v>
      </c>
      <c r="E61" s="68"/>
      <c r="F61" s="179"/>
      <c r="G61" s="68">
        <v>8.91</v>
      </c>
      <c r="H61" s="453"/>
      <c r="I61" s="348"/>
    </row>
    <row r="62" spans="1:9" ht="69" customHeight="1">
      <c r="A62" s="16">
        <v>756</v>
      </c>
      <c r="B62" s="17"/>
      <c r="C62" s="241"/>
      <c r="D62" s="18" t="s">
        <v>81</v>
      </c>
      <c r="E62" s="45">
        <f>E63+E66+E75+E87+E95</f>
        <v>133393675.78</v>
      </c>
      <c r="F62" s="121"/>
      <c r="G62" s="45">
        <f>G63+G66+G75+G87+G95</f>
        <v>130109838.35</v>
      </c>
      <c r="H62" s="337"/>
      <c r="I62" s="444">
        <f t="shared" si="1"/>
        <v>97.53823604395167</v>
      </c>
    </row>
    <row r="63" spans="1:11" s="69" customFormat="1" ht="27.75" customHeight="1">
      <c r="A63" s="43"/>
      <c r="B63" s="32">
        <v>75601</v>
      </c>
      <c r="C63" s="254"/>
      <c r="D63" s="46" t="s">
        <v>319</v>
      </c>
      <c r="E63" s="124">
        <f>SUM(E64:E65)</f>
        <v>187000</v>
      </c>
      <c r="F63" s="223"/>
      <c r="G63" s="124">
        <f>SUM(G64:G65)</f>
        <v>189674.52000000002</v>
      </c>
      <c r="H63" s="625"/>
      <c r="I63" s="348">
        <f t="shared" si="1"/>
        <v>101.4302245989305</v>
      </c>
      <c r="J63" s="321"/>
      <c r="K63" s="321"/>
    </row>
    <row r="64" spans="1:9" ht="39" customHeight="1">
      <c r="A64" s="12"/>
      <c r="B64" s="15"/>
      <c r="C64" s="255" t="s">
        <v>320</v>
      </c>
      <c r="D64" s="14" t="s">
        <v>321</v>
      </c>
      <c r="E64" s="68">
        <v>185000</v>
      </c>
      <c r="F64" s="179"/>
      <c r="G64" s="68">
        <v>186121.1</v>
      </c>
      <c r="H64" s="453"/>
      <c r="I64" s="348">
        <f t="shared" si="1"/>
        <v>100.606</v>
      </c>
    </row>
    <row r="65" spans="1:9" ht="30.75" customHeight="1">
      <c r="A65" s="12"/>
      <c r="B65" s="15"/>
      <c r="C65" s="255" t="s">
        <v>450</v>
      </c>
      <c r="D65" s="14" t="s">
        <v>453</v>
      </c>
      <c r="E65" s="119">
        <v>2000</v>
      </c>
      <c r="F65" s="179"/>
      <c r="G65" s="119">
        <v>3553.42</v>
      </c>
      <c r="H65" s="453"/>
      <c r="I65" s="348">
        <f t="shared" si="1"/>
        <v>177.671</v>
      </c>
    </row>
    <row r="66" spans="1:11" s="69" customFormat="1" ht="66" customHeight="1">
      <c r="A66" s="43"/>
      <c r="B66" s="31">
        <v>75615</v>
      </c>
      <c r="C66" s="254"/>
      <c r="D66" s="46" t="s">
        <v>474</v>
      </c>
      <c r="E66" s="124">
        <f>SUM(E67:E74)</f>
        <v>54304720</v>
      </c>
      <c r="F66" s="223"/>
      <c r="G66" s="124">
        <f>SUM(G67:G74)</f>
        <v>53793662.36</v>
      </c>
      <c r="H66" s="625"/>
      <c r="I66" s="348">
        <f t="shared" si="1"/>
        <v>99.05890751301176</v>
      </c>
      <c r="J66" s="321"/>
      <c r="K66" s="321"/>
    </row>
    <row r="67" spans="1:9" ht="15.75" customHeight="1">
      <c r="A67" s="12"/>
      <c r="B67" s="15"/>
      <c r="C67" s="255" t="s">
        <v>475</v>
      </c>
      <c r="D67" s="14" t="s">
        <v>306</v>
      </c>
      <c r="E67" s="68">
        <v>50800000</v>
      </c>
      <c r="F67" s="179"/>
      <c r="G67" s="68">
        <v>50513044.87</v>
      </c>
      <c r="H67" s="453"/>
      <c r="I67" s="348">
        <f t="shared" si="1"/>
        <v>99.43512769685039</v>
      </c>
    </row>
    <row r="68" spans="1:9" ht="16.5" customHeight="1">
      <c r="A68" s="12"/>
      <c r="B68" s="15"/>
      <c r="C68" s="255" t="s">
        <v>476</v>
      </c>
      <c r="D68" s="14" t="s">
        <v>477</v>
      </c>
      <c r="E68" s="68">
        <v>42000</v>
      </c>
      <c r="F68" s="179"/>
      <c r="G68" s="68">
        <v>47876.4</v>
      </c>
      <c r="H68" s="453"/>
      <c r="I68" s="348">
        <f t="shared" si="1"/>
        <v>113.99142857142857</v>
      </c>
    </row>
    <row r="69" spans="1:9" ht="15.75" customHeight="1">
      <c r="A69" s="12"/>
      <c r="B69" s="15"/>
      <c r="C69" s="255" t="s">
        <v>478</v>
      </c>
      <c r="D69" s="14" t="s">
        <v>479</v>
      </c>
      <c r="E69" s="68">
        <v>8000</v>
      </c>
      <c r="F69" s="179"/>
      <c r="G69" s="68">
        <v>6776</v>
      </c>
      <c r="H69" s="453"/>
      <c r="I69" s="348">
        <f t="shared" si="1"/>
        <v>84.7</v>
      </c>
    </row>
    <row r="70" spans="1:9" ht="18.75" customHeight="1">
      <c r="A70" s="12"/>
      <c r="B70" s="15"/>
      <c r="C70" s="255" t="s">
        <v>480</v>
      </c>
      <c r="D70" s="14" t="s">
        <v>481</v>
      </c>
      <c r="E70" s="68">
        <v>850000</v>
      </c>
      <c r="F70" s="179"/>
      <c r="G70" s="68">
        <v>695981.43</v>
      </c>
      <c r="H70" s="453"/>
      <c r="I70" s="348">
        <f t="shared" si="1"/>
        <v>81.88016823529412</v>
      </c>
    </row>
    <row r="71" spans="1:9" ht="27.75" customHeight="1">
      <c r="A71" s="12"/>
      <c r="B71" s="15"/>
      <c r="C71" s="255" t="s">
        <v>482</v>
      </c>
      <c r="D71" s="14" t="s">
        <v>483</v>
      </c>
      <c r="E71" s="68">
        <v>2350000</v>
      </c>
      <c r="F71" s="179"/>
      <c r="G71" s="68">
        <v>2149871.52</v>
      </c>
      <c r="H71" s="453"/>
      <c r="I71" s="348">
        <f t="shared" si="1"/>
        <v>91.4838944680851</v>
      </c>
    </row>
    <row r="72" spans="1:9" ht="18" customHeight="1">
      <c r="A72" s="12"/>
      <c r="B72" s="15"/>
      <c r="C72" s="255" t="s">
        <v>549</v>
      </c>
      <c r="D72" s="14" t="s">
        <v>550</v>
      </c>
      <c r="E72" s="68">
        <v>1000</v>
      </c>
      <c r="F72" s="179"/>
      <c r="G72" s="68">
        <v>1645.6</v>
      </c>
      <c r="H72" s="453"/>
      <c r="I72" s="348">
        <f t="shared" si="1"/>
        <v>164.56</v>
      </c>
    </row>
    <row r="73" spans="1:9" ht="27.75" customHeight="1">
      <c r="A73" s="12"/>
      <c r="B73" s="15"/>
      <c r="C73" s="255" t="s">
        <v>450</v>
      </c>
      <c r="D73" s="14" t="s">
        <v>453</v>
      </c>
      <c r="E73" s="68">
        <v>110000</v>
      </c>
      <c r="F73" s="179"/>
      <c r="G73" s="68">
        <v>212130.54</v>
      </c>
      <c r="H73" s="453"/>
      <c r="I73" s="348">
        <f t="shared" si="1"/>
        <v>192.84594545454544</v>
      </c>
    </row>
    <row r="74" spans="1:9" ht="30.75" customHeight="1">
      <c r="A74" s="12"/>
      <c r="B74" s="15"/>
      <c r="C74" s="255">
        <v>2680</v>
      </c>
      <c r="D74" s="14" t="s">
        <v>484</v>
      </c>
      <c r="E74" s="68">
        <v>143720</v>
      </c>
      <c r="F74" s="179"/>
      <c r="G74" s="68">
        <v>166336</v>
      </c>
      <c r="H74" s="453"/>
      <c r="I74" s="348">
        <f t="shared" si="1"/>
        <v>115.73615363206233</v>
      </c>
    </row>
    <row r="75" spans="1:11" s="69" customFormat="1" ht="66" customHeight="1">
      <c r="A75" s="43"/>
      <c r="B75" s="32">
        <v>75616</v>
      </c>
      <c r="C75" s="254"/>
      <c r="D75" s="46" t="s">
        <v>466</v>
      </c>
      <c r="E75" s="124">
        <f>SUM(E76:E86)</f>
        <v>12220210</v>
      </c>
      <c r="F75" s="223"/>
      <c r="G75" s="124">
        <f>SUM(G76:G86)</f>
        <v>13777683.129999997</v>
      </c>
      <c r="H75" s="625"/>
      <c r="I75" s="348">
        <f t="shared" si="1"/>
        <v>112.74506027310494</v>
      </c>
      <c r="J75" s="321"/>
      <c r="K75" s="321"/>
    </row>
    <row r="76" spans="1:9" ht="18" customHeight="1">
      <c r="A76" s="12"/>
      <c r="B76" s="15"/>
      <c r="C76" s="255" t="s">
        <v>475</v>
      </c>
      <c r="D76" s="14" t="s">
        <v>306</v>
      </c>
      <c r="E76" s="68">
        <v>6700000</v>
      </c>
      <c r="F76" s="179"/>
      <c r="G76" s="68">
        <v>8693542.23</v>
      </c>
      <c r="H76" s="453"/>
      <c r="I76" s="348">
        <f t="shared" si="1"/>
        <v>129.75436164179106</v>
      </c>
    </row>
    <row r="77" spans="1:9" ht="18" customHeight="1">
      <c r="A77" s="12"/>
      <c r="B77" s="15"/>
      <c r="C77" s="255" t="s">
        <v>476</v>
      </c>
      <c r="D77" s="14" t="s">
        <v>477</v>
      </c>
      <c r="E77" s="68">
        <v>165000</v>
      </c>
      <c r="F77" s="179"/>
      <c r="G77" s="68">
        <v>149403.74</v>
      </c>
      <c r="H77" s="453"/>
      <c r="I77" s="348">
        <f t="shared" si="1"/>
        <v>90.5477212121212</v>
      </c>
    </row>
    <row r="78" spans="1:9" ht="18.75" customHeight="1">
      <c r="A78" s="12"/>
      <c r="B78" s="15"/>
      <c r="C78" s="255" t="s">
        <v>478</v>
      </c>
      <c r="D78" s="14" t="s">
        <v>479</v>
      </c>
      <c r="E78" s="68">
        <v>1400</v>
      </c>
      <c r="F78" s="179"/>
      <c r="G78" s="68">
        <v>999.83</v>
      </c>
      <c r="H78" s="453"/>
      <c r="I78" s="348">
        <f t="shared" si="1"/>
        <v>71.41642857142857</v>
      </c>
    </row>
    <row r="79" spans="1:9" ht="16.5" customHeight="1">
      <c r="A79" s="12"/>
      <c r="B79" s="15"/>
      <c r="C79" s="255" t="s">
        <v>480</v>
      </c>
      <c r="D79" s="14" t="s">
        <v>481</v>
      </c>
      <c r="E79" s="68">
        <v>700000</v>
      </c>
      <c r="F79" s="179"/>
      <c r="G79" s="68">
        <v>617312.68</v>
      </c>
      <c r="H79" s="453"/>
      <c r="I79" s="348">
        <f t="shared" si="1"/>
        <v>88.18752571428573</v>
      </c>
    </row>
    <row r="80" spans="1:9" ht="16.5" customHeight="1">
      <c r="A80" s="12"/>
      <c r="B80" s="15"/>
      <c r="C80" s="255" t="s">
        <v>462</v>
      </c>
      <c r="D80" s="14" t="s">
        <v>705</v>
      </c>
      <c r="E80" s="68">
        <v>260000</v>
      </c>
      <c r="F80" s="179"/>
      <c r="G80" s="68">
        <v>358393.76</v>
      </c>
      <c r="H80" s="453"/>
      <c r="I80" s="348">
        <f t="shared" si="1"/>
        <v>137.84375384615387</v>
      </c>
    </row>
    <row r="81" spans="1:9" ht="16.5" customHeight="1">
      <c r="A81" s="12"/>
      <c r="B81" s="15"/>
      <c r="C81" s="255" t="s">
        <v>741</v>
      </c>
      <c r="D81" s="14" t="s">
        <v>742</v>
      </c>
      <c r="E81" s="68">
        <v>123810</v>
      </c>
      <c r="F81" s="179"/>
      <c r="G81" s="68">
        <v>35773.7</v>
      </c>
      <c r="H81" s="453"/>
      <c r="I81" s="348">
        <f t="shared" si="1"/>
        <v>28.894031176803164</v>
      </c>
    </row>
    <row r="82" spans="1:9" ht="16.5" customHeight="1">
      <c r="A82" s="12"/>
      <c r="B82" s="15"/>
      <c r="C82" s="255" t="s">
        <v>706</v>
      </c>
      <c r="D82" s="14" t="s">
        <v>707</v>
      </c>
      <c r="E82" s="68">
        <v>1340000</v>
      </c>
      <c r="F82" s="179"/>
      <c r="G82" s="68">
        <v>1149628.17</v>
      </c>
      <c r="H82" s="453"/>
      <c r="I82" s="348">
        <f t="shared" si="1"/>
        <v>85.79314701492537</v>
      </c>
    </row>
    <row r="83" spans="1:9" ht="24" customHeight="1">
      <c r="A83" s="12"/>
      <c r="B83" s="15"/>
      <c r="C83" s="255" t="s">
        <v>482</v>
      </c>
      <c r="D83" s="14" t="s">
        <v>483</v>
      </c>
      <c r="E83" s="68">
        <v>2800000</v>
      </c>
      <c r="F83" s="179"/>
      <c r="G83" s="68">
        <v>2584129.03</v>
      </c>
      <c r="H83" s="453"/>
      <c r="I83" s="348">
        <f t="shared" si="1"/>
        <v>92.29032249999999</v>
      </c>
    </row>
    <row r="84" spans="1:9" ht="25.5" customHeight="1">
      <c r="A84" s="12"/>
      <c r="B84" s="15"/>
      <c r="C84" s="255" t="s">
        <v>457</v>
      </c>
      <c r="D84" s="14" t="s">
        <v>318</v>
      </c>
      <c r="E84" s="68"/>
      <c r="F84" s="179"/>
      <c r="G84" s="68">
        <v>2873.6</v>
      </c>
      <c r="H84" s="453"/>
      <c r="I84" s="348"/>
    </row>
    <row r="85" spans="1:9" ht="18" customHeight="1">
      <c r="A85" s="12"/>
      <c r="B85" s="15"/>
      <c r="C85" s="255" t="s">
        <v>549</v>
      </c>
      <c r="D85" s="14" t="s">
        <v>550</v>
      </c>
      <c r="E85" s="68">
        <v>20000</v>
      </c>
      <c r="F85" s="179"/>
      <c r="G85" s="68">
        <v>20603.45</v>
      </c>
      <c r="H85" s="453"/>
      <c r="I85" s="348">
        <f t="shared" si="1"/>
        <v>103.01724999999999</v>
      </c>
    </row>
    <row r="86" spans="1:9" ht="27.75" customHeight="1">
      <c r="A86" s="12"/>
      <c r="B86" s="15"/>
      <c r="C86" s="255" t="s">
        <v>450</v>
      </c>
      <c r="D86" s="14" t="s">
        <v>453</v>
      </c>
      <c r="E86" s="68">
        <v>110000</v>
      </c>
      <c r="F86" s="179"/>
      <c r="G86" s="68">
        <v>165022.94</v>
      </c>
      <c r="H86" s="453"/>
      <c r="I86" s="348">
        <f t="shared" si="1"/>
        <v>150.02085454545454</v>
      </c>
    </row>
    <row r="87" spans="1:11" s="69" customFormat="1" ht="45.75" customHeight="1">
      <c r="A87" s="43"/>
      <c r="B87" s="31">
        <v>75618</v>
      </c>
      <c r="C87" s="254" t="s">
        <v>83</v>
      </c>
      <c r="D87" s="46" t="s">
        <v>708</v>
      </c>
      <c r="E87" s="124">
        <f>SUM(E88:E94)</f>
        <v>3693000</v>
      </c>
      <c r="F87" s="223"/>
      <c r="G87" s="124">
        <f>SUM(G88:G94)</f>
        <v>3489599.6300000004</v>
      </c>
      <c r="H87" s="625"/>
      <c r="I87" s="348">
        <f t="shared" si="1"/>
        <v>94.49227267803954</v>
      </c>
      <c r="J87" s="321"/>
      <c r="K87" s="321"/>
    </row>
    <row r="88" spans="1:9" ht="20.25" customHeight="1">
      <c r="A88" s="12"/>
      <c r="B88" s="15"/>
      <c r="C88" s="255" t="s">
        <v>709</v>
      </c>
      <c r="D88" s="14" t="s">
        <v>710</v>
      </c>
      <c r="E88" s="68">
        <v>1750000</v>
      </c>
      <c r="F88" s="179"/>
      <c r="G88" s="68">
        <v>1621657.66</v>
      </c>
      <c r="H88" s="453"/>
      <c r="I88" s="348">
        <f aca="true" t="shared" si="3" ref="I88:I156">G88/E88*100</f>
        <v>92.666152</v>
      </c>
    </row>
    <row r="89" spans="1:9" ht="36.75" customHeight="1">
      <c r="A89" s="12"/>
      <c r="B89" s="15"/>
      <c r="C89" s="252" t="s">
        <v>711</v>
      </c>
      <c r="D89" s="3" t="s">
        <v>467</v>
      </c>
      <c r="E89" s="68">
        <v>1580000</v>
      </c>
      <c r="F89" s="179"/>
      <c r="G89" s="68">
        <v>1583543.21</v>
      </c>
      <c r="H89" s="453"/>
      <c r="I89" s="348">
        <f t="shared" si="3"/>
        <v>100.22425379746835</v>
      </c>
    </row>
    <row r="90" spans="1:9" ht="51" customHeight="1">
      <c r="A90" s="12"/>
      <c r="B90" s="15"/>
      <c r="C90" s="255" t="s">
        <v>712</v>
      </c>
      <c r="D90" s="14" t="s">
        <v>713</v>
      </c>
      <c r="E90" s="68">
        <v>362000</v>
      </c>
      <c r="F90" s="179"/>
      <c r="G90" s="68">
        <f>282977.07-5.2</f>
        <v>282971.87</v>
      </c>
      <c r="H90" s="453"/>
      <c r="I90" s="348">
        <f t="shared" si="3"/>
        <v>78.16902486187846</v>
      </c>
    </row>
    <row r="91" spans="1:9" ht="30.75" customHeight="1">
      <c r="A91" s="12"/>
      <c r="B91" s="15"/>
      <c r="C91" s="255" t="s">
        <v>457</v>
      </c>
      <c r="D91" s="14" t="s">
        <v>318</v>
      </c>
      <c r="E91" s="68"/>
      <c r="F91" s="179"/>
      <c r="G91" s="68">
        <v>720</v>
      </c>
      <c r="H91" s="453"/>
      <c r="I91" s="348"/>
    </row>
    <row r="92" spans="1:9" ht="38.25" customHeight="1">
      <c r="A92" s="12"/>
      <c r="B92" s="15"/>
      <c r="C92" s="255" t="s">
        <v>686</v>
      </c>
      <c r="D92" s="14" t="s">
        <v>458</v>
      </c>
      <c r="E92" s="68"/>
      <c r="F92" s="179"/>
      <c r="G92" s="68">
        <v>340.2</v>
      </c>
      <c r="H92" s="453"/>
      <c r="I92" s="348"/>
    </row>
    <row r="93" spans="1:9" ht="21.75" customHeight="1">
      <c r="A93" s="12"/>
      <c r="B93" s="15"/>
      <c r="C93" s="255" t="s">
        <v>549</v>
      </c>
      <c r="D93" s="14" t="s">
        <v>550</v>
      </c>
      <c r="E93" s="68">
        <v>500</v>
      </c>
      <c r="F93" s="179"/>
      <c r="G93" s="68">
        <v>202.4</v>
      </c>
      <c r="H93" s="453"/>
      <c r="I93" s="348">
        <f t="shared" si="3"/>
        <v>40.48</v>
      </c>
    </row>
    <row r="94" spans="1:9" ht="19.5" customHeight="1">
      <c r="A94" s="12"/>
      <c r="B94" s="15"/>
      <c r="C94" s="252" t="s">
        <v>454</v>
      </c>
      <c r="D94" s="14" t="s">
        <v>298</v>
      </c>
      <c r="E94" s="68">
        <v>500</v>
      </c>
      <c r="F94" s="179"/>
      <c r="G94" s="68">
        <v>164.29</v>
      </c>
      <c r="H94" s="453"/>
      <c r="I94" s="348">
        <f t="shared" si="3"/>
        <v>32.858</v>
      </c>
    </row>
    <row r="95" spans="1:11" s="69" customFormat="1" ht="38.25" customHeight="1">
      <c r="A95" s="43"/>
      <c r="B95" s="31">
        <v>75621</v>
      </c>
      <c r="C95" s="254"/>
      <c r="D95" s="46" t="s">
        <v>714</v>
      </c>
      <c r="E95" s="124">
        <f>SUM(E96:E97)</f>
        <v>62988745.78</v>
      </c>
      <c r="F95" s="223"/>
      <c r="G95" s="124">
        <f>SUM(G96:G97)</f>
        <v>58859218.71</v>
      </c>
      <c r="H95" s="625"/>
      <c r="I95" s="348">
        <f t="shared" si="3"/>
        <v>93.44402397783384</v>
      </c>
      <c r="J95" s="321"/>
      <c r="K95" s="321"/>
    </row>
    <row r="96" spans="1:9" ht="29.25" customHeight="1">
      <c r="A96" s="12"/>
      <c r="B96" s="15"/>
      <c r="C96" s="255" t="s">
        <v>715</v>
      </c>
      <c r="D96" s="14" t="s">
        <v>557</v>
      </c>
      <c r="E96" s="68">
        <v>55240806</v>
      </c>
      <c r="F96" s="179"/>
      <c r="G96" s="68">
        <v>53707525</v>
      </c>
      <c r="H96" s="453"/>
      <c r="I96" s="348">
        <f t="shared" si="3"/>
        <v>97.22436888411802</v>
      </c>
    </row>
    <row r="97" spans="1:9" ht="24.75" customHeight="1">
      <c r="A97" s="12"/>
      <c r="B97" s="15"/>
      <c r="C97" s="255" t="s">
        <v>558</v>
      </c>
      <c r="D97" s="14" t="s">
        <v>559</v>
      </c>
      <c r="E97" s="68">
        <v>7747939.78</v>
      </c>
      <c r="F97" s="179"/>
      <c r="G97" s="68">
        <v>5151693.71</v>
      </c>
      <c r="H97" s="453"/>
      <c r="I97" s="348">
        <f t="shared" si="3"/>
        <v>66.49114288805171</v>
      </c>
    </row>
    <row r="98" spans="1:9" ht="25.5" customHeight="1">
      <c r="A98" s="16">
        <v>758</v>
      </c>
      <c r="B98" s="17"/>
      <c r="C98" s="241"/>
      <c r="D98" s="18" t="s">
        <v>497</v>
      </c>
      <c r="E98" s="45">
        <f>E99+E101+E103+E110+E112+E114</f>
        <v>51885485.21</v>
      </c>
      <c r="F98" s="121"/>
      <c r="G98" s="45">
        <f>G99+G101+G103+G110+G112+G114</f>
        <v>52999313.800000004</v>
      </c>
      <c r="H98" s="337"/>
      <c r="I98" s="444">
        <f t="shared" si="3"/>
        <v>102.14670554875207</v>
      </c>
    </row>
    <row r="99" spans="1:11" s="69" customFormat="1" ht="40.5" customHeight="1">
      <c r="A99" s="43"/>
      <c r="B99" s="31">
        <v>75801</v>
      </c>
      <c r="C99" s="254"/>
      <c r="D99" s="46" t="s">
        <v>560</v>
      </c>
      <c r="E99" s="124">
        <f>E100</f>
        <v>42421147</v>
      </c>
      <c r="F99" s="189"/>
      <c r="G99" s="124">
        <f>G100</f>
        <v>42421147</v>
      </c>
      <c r="H99" s="456"/>
      <c r="I99" s="348">
        <f t="shared" si="3"/>
        <v>100</v>
      </c>
      <c r="J99" s="321"/>
      <c r="K99" s="321"/>
    </row>
    <row r="100" spans="1:9" ht="25.5" customHeight="1">
      <c r="A100" s="12"/>
      <c r="B100" s="15"/>
      <c r="C100" s="252">
        <v>2920</v>
      </c>
      <c r="D100" s="14" t="s">
        <v>561</v>
      </c>
      <c r="E100" s="225">
        <v>42421147</v>
      </c>
      <c r="F100" s="179"/>
      <c r="G100" s="225">
        <v>42421147</v>
      </c>
      <c r="H100" s="453"/>
      <c r="I100" s="348">
        <f t="shared" si="3"/>
        <v>100</v>
      </c>
    </row>
    <row r="101" spans="1:9" ht="30" customHeight="1">
      <c r="A101" s="12"/>
      <c r="B101" s="32">
        <v>75802</v>
      </c>
      <c r="C101" s="254"/>
      <c r="D101" s="46" t="s">
        <v>668</v>
      </c>
      <c r="E101" s="124"/>
      <c r="F101" s="223"/>
      <c r="G101" s="124">
        <f>G102</f>
        <v>214676</v>
      </c>
      <c r="H101" s="625"/>
      <c r="I101" s="348"/>
    </row>
    <row r="102" spans="1:9" ht="25.5" customHeight="1">
      <c r="A102" s="12"/>
      <c r="B102" s="15"/>
      <c r="C102" s="255" t="s">
        <v>632</v>
      </c>
      <c r="D102" s="618" t="s">
        <v>633</v>
      </c>
      <c r="E102" s="225"/>
      <c r="F102" s="179"/>
      <c r="G102" s="225">
        <v>214676</v>
      </c>
      <c r="H102" s="453"/>
      <c r="I102" s="348"/>
    </row>
    <row r="103" spans="1:11" s="69" customFormat="1" ht="21" customHeight="1">
      <c r="A103" s="43"/>
      <c r="B103" s="31">
        <v>75814</v>
      </c>
      <c r="C103" s="254"/>
      <c r="D103" s="46" t="s">
        <v>75</v>
      </c>
      <c r="E103" s="124">
        <f>SUM(E104:E109)</f>
        <v>8697566.21</v>
      </c>
      <c r="F103" s="223"/>
      <c r="G103" s="124">
        <f>SUM(G104:G109)</f>
        <v>9057375.85</v>
      </c>
      <c r="H103" s="625"/>
      <c r="I103" s="348">
        <f t="shared" si="3"/>
        <v>104.13690026971348</v>
      </c>
      <c r="J103" s="321"/>
      <c r="K103" s="321"/>
    </row>
    <row r="104" spans="1:11" s="69" customFormat="1" ht="21" customHeight="1">
      <c r="A104" s="43"/>
      <c r="B104" s="38"/>
      <c r="C104" s="255" t="s">
        <v>549</v>
      </c>
      <c r="D104" s="14" t="s">
        <v>550</v>
      </c>
      <c r="E104" s="124"/>
      <c r="F104" s="223"/>
      <c r="G104" s="68">
        <v>8.8</v>
      </c>
      <c r="H104" s="625"/>
      <c r="I104" s="348"/>
      <c r="J104" s="321"/>
      <c r="K104" s="321"/>
    </row>
    <row r="105" spans="1:9" ht="19.5" customHeight="1">
      <c r="A105" s="12"/>
      <c r="B105" s="15"/>
      <c r="C105" s="252" t="s">
        <v>454</v>
      </c>
      <c r="D105" s="14" t="s">
        <v>298</v>
      </c>
      <c r="E105" s="68">
        <v>633576</v>
      </c>
      <c r="F105" s="179"/>
      <c r="G105" s="68">
        <v>1117477.46</v>
      </c>
      <c r="H105" s="453"/>
      <c r="I105" s="348">
        <f t="shared" si="3"/>
        <v>176.3762295288963</v>
      </c>
    </row>
    <row r="106" spans="1:9" ht="19.5" customHeight="1">
      <c r="A106" s="12"/>
      <c r="B106" s="15"/>
      <c r="C106" s="252" t="s">
        <v>756</v>
      </c>
      <c r="D106" s="14" t="s">
        <v>757</v>
      </c>
      <c r="E106" s="68">
        <v>3200000</v>
      </c>
      <c r="F106" s="179"/>
      <c r="G106" s="68">
        <v>3074127.34</v>
      </c>
      <c r="H106" s="453"/>
      <c r="I106" s="348">
        <f t="shared" si="3"/>
        <v>96.06647937499999</v>
      </c>
    </row>
    <row r="107" spans="1:9" ht="89.25" customHeight="1">
      <c r="A107" s="12"/>
      <c r="B107" s="15"/>
      <c r="C107" s="252">
        <v>2910</v>
      </c>
      <c r="D107" s="14" t="s">
        <v>609</v>
      </c>
      <c r="E107" s="68">
        <v>290000</v>
      </c>
      <c r="F107" s="179"/>
      <c r="G107" s="68">
        <v>291771.68</v>
      </c>
      <c r="H107" s="453"/>
      <c r="I107" s="348">
        <f t="shared" si="3"/>
        <v>100.61092413793102</v>
      </c>
    </row>
    <row r="108" spans="1:9" ht="48.75" customHeight="1">
      <c r="A108" s="12"/>
      <c r="B108" s="15"/>
      <c r="C108" s="252" t="s">
        <v>574</v>
      </c>
      <c r="D108" s="14" t="s">
        <v>567</v>
      </c>
      <c r="E108" s="68">
        <v>1170949.67</v>
      </c>
      <c r="F108" s="179"/>
      <c r="G108" s="68">
        <v>1170949.71</v>
      </c>
      <c r="H108" s="453"/>
      <c r="I108" s="348">
        <f t="shared" si="3"/>
        <v>100.00000341603068</v>
      </c>
    </row>
    <row r="109" spans="1:9" ht="54" customHeight="1">
      <c r="A109" s="12"/>
      <c r="B109" s="15"/>
      <c r="C109" s="252">
        <v>6680</v>
      </c>
      <c r="D109" s="14" t="s">
        <v>567</v>
      </c>
      <c r="E109" s="68">
        <v>3403040.54</v>
      </c>
      <c r="F109" s="179"/>
      <c r="G109" s="68">
        <v>3403040.86</v>
      </c>
      <c r="H109" s="453"/>
      <c r="I109" s="348">
        <f t="shared" si="3"/>
        <v>100.00000940335549</v>
      </c>
    </row>
    <row r="110" spans="1:11" s="69" customFormat="1" ht="26.25" customHeight="1">
      <c r="A110" s="43"/>
      <c r="B110" s="32">
        <v>75815</v>
      </c>
      <c r="C110" s="258"/>
      <c r="D110" s="46" t="s">
        <v>468</v>
      </c>
      <c r="E110" s="124">
        <f>E111</f>
        <v>0</v>
      </c>
      <c r="F110" s="223"/>
      <c r="G110" s="124">
        <f>G111</f>
        <v>547015.02</v>
      </c>
      <c r="H110" s="625"/>
      <c r="I110" s="348"/>
      <c r="J110" s="321"/>
      <c r="K110" s="321"/>
    </row>
    <row r="111" spans="1:9" ht="28.5" customHeight="1">
      <c r="A111" s="12"/>
      <c r="B111" s="15"/>
      <c r="C111" s="255" t="s">
        <v>740</v>
      </c>
      <c r="D111" s="14" t="s">
        <v>468</v>
      </c>
      <c r="E111" s="68">
        <v>0</v>
      </c>
      <c r="F111" s="179"/>
      <c r="G111" s="68">
        <v>547015.02</v>
      </c>
      <c r="H111" s="453"/>
      <c r="I111" s="348"/>
    </row>
    <row r="112" spans="1:11" s="69" customFormat="1" ht="24.75" customHeight="1">
      <c r="A112" s="43"/>
      <c r="B112" s="32">
        <v>75816</v>
      </c>
      <c r="C112" s="258"/>
      <c r="D112" s="46" t="s">
        <v>628</v>
      </c>
      <c r="E112" s="124">
        <f>E113</f>
        <v>0</v>
      </c>
      <c r="F112" s="223"/>
      <c r="G112" s="124">
        <f>G113</f>
        <v>-7672.07</v>
      </c>
      <c r="H112" s="625"/>
      <c r="I112" s="456"/>
      <c r="J112" s="321"/>
      <c r="K112" s="321"/>
    </row>
    <row r="113" spans="1:9" ht="25.5" customHeight="1">
      <c r="A113" s="12"/>
      <c r="B113" s="15"/>
      <c r="C113" s="252" t="s">
        <v>670</v>
      </c>
      <c r="D113" s="14" t="s">
        <v>629</v>
      </c>
      <c r="E113" s="68">
        <v>0</v>
      </c>
      <c r="F113" s="179"/>
      <c r="G113" s="68">
        <v>-7672.07</v>
      </c>
      <c r="H113" s="453"/>
      <c r="I113" s="348"/>
    </row>
    <row r="114" spans="1:11" s="69" customFormat="1" ht="25.5" customHeight="1">
      <c r="A114" s="43"/>
      <c r="B114" s="31">
        <v>75831</v>
      </c>
      <c r="C114" s="258"/>
      <c r="D114" s="46" t="s">
        <v>562</v>
      </c>
      <c r="E114" s="124">
        <f>E115</f>
        <v>766772</v>
      </c>
      <c r="F114" s="223"/>
      <c r="G114" s="124">
        <f>G115</f>
        <v>766772</v>
      </c>
      <c r="H114" s="625"/>
      <c r="I114" s="348">
        <f t="shared" si="3"/>
        <v>100</v>
      </c>
      <c r="J114" s="321"/>
      <c r="K114" s="321"/>
    </row>
    <row r="115" spans="1:9" ht="22.5" customHeight="1">
      <c r="A115" s="12"/>
      <c r="B115" s="15"/>
      <c r="C115" s="255">
        <v>2920</v>
      </c>
      <c r="D115" s="14" t="s">
        <v>561</v>
      </c>
      <c r="E115" s="119">
        <v>766772</v>
      </c>
      <c r="F115" s="179"/>
      <c r="G115" s="119">
        <v>766772</v>
      </c>
      <c r="H115" s="453"/>
      <c r="I115" s="348">
        <f t="shared" si="3"/>
        <v>100</v>
      </c>
    </row>
    <row r="116" spans="1:9" ht="20.25" customHeight="1">
      <c r="A116" s="16">
        <v>801</v>
      </c>
      <c r="B116" s="21"/>
      <c r="C116" s="241"/>
      <c r="D116" s="18" t="s">
        <v>499</v>
      </c>
      <c r="E116" s="45">
        <f>E117+E124+E131+E137+E141</f>
        <v>6562603</v>
      </c>
      <c r="F116" s="121"/>
      <c r="G116" s="45">
        <f>G117+G124+G131+G137+G141</f>
        <v>6542301.6</v>
      </c>
      <c r="H116" s="337"/>
      <c r="I116" s="444">
        <f t="shared" si="3"/>
        <v>99.69065018865227</v>
      </c>
    </row>
    <row r="117" spans="1:11" s="69" customFormat="1" ht="21" customHeight="1">
      <c r="A117" s="43"/>
      <c r="B117" s="32">
        <v>80101</v>
      </c>
      <c r="C117" s="245"/>
      <c r="D117" s="46" t="s">
        <v>500</v>
      </c>
      <c r="E117" s="187">
        <f>SUM(E118:E123)</f>
        <v>782836</v>
      </c>
      <c r="F117" s="223"/>
      <c r="G117" s="187">
        <f>SUM(G118:G123)</f>
        <v>802593.11</v>
      </c>
      <c r="H117" s="625"/>
      <c r="I117" s="348">
        <f t="shared" si="3"/>
        <v>102.52378659131669</v>
      </c>
      <c r="J117" s="321"/>
      <c r="K117" s="321"/>
    </row>
    <row r="118" spans="1:11" s="69" customFormat="1" ht="21" customHeight="1">
      <c r="A118" s="47"/>
      <c r="B118" s="43"/>
      <c r="C118" s="255" t="s">
        <v>549</v>
      </c>
      <c r="D118" s="14" t="s">
        <v>550</v>
      </c>
      <c r="E118" s="119">
        <v>4700</v>
      </c>
      <c r="F118" s="179"/>
      <c r="G118" s="119">
        <v>5034.56</v>
      </c>
      <c r="H118" s="453"/>
      <c r="I118" s="348">
        <f t="shared" si="3"/>
        <v>107.11829787234043</v>
      </c>
      <c r="J118" s="321"/>
      <c r="K118" s="321"/>
    </row>
    <row r="119" spans="1:9" ht="86.25" customHeight="1">
      <c r="A119" s="23"/>
      <c r="B119" s="12"/>
      <c r="C119" s="259" t="s">
        <v>556</v>
      </c>
      <c r="D119" s="14" t="s">
        <v>449</v>
      </c>
      <c r="E119" s="68">
        <v>409975</v>
      </c>
      <c r="F119" s="179"/>
      <c r="G119" s="68">
        <v>425033.81</v>
      </c>
      <c r="H119" s="453"/>
      <c r="I119" s="348">
        <f t="shared" si="3"/>
        <v>103.67310445758888</v>
      </c>
    </row>
    <row r="120" spans="1:9" ht="20.25" customHeight="1">
      <c r="A120" s="23"/>
      <c r="B120" s="12"/>
      <c r="C120" s="259" t="s">
        <v>454</v>
      </c>
      <c r="D120" s="14" t="s">
        <v>298</v>
      </c>
      <c r="E120" s="68">
        <v>225</v>
      </c>
      <c r="F120" s="179"/>
      <c r="G120" s="68">
        <v>1137.62</v>
      </c>
      <c r="H120" s="453"/>
      <c r="I120" s="348">
        <f t="shared" si="3"/>
        <v>505.6088888888889</v>
      </c>
    </row>
    <row r="121" spans="1:9" ht="27" customHeight="1">
      <c r="A121" s="23"/>
      <c r="B121" s="12"/>
      <c r="C121" s="257" t="s">
        <v>641</v>
      </c>
      <c r="D121" s="14" t="s">
        <v>642</v>
      </c>
      <c r="E121" s="68">
        <v>1000</v>
      </c>
      <c r="F121" s="179"/>
      <c r="G121" s="68">
        <v>1000</v>
      </c>
      <c r="H121" s="453"/>
      <c r="I121" s="348">
        <f t="shared" si="3"/>
        <v>100</v>
      </c>
    </row>
    <row r="122" spans="1:9" ht="18.75" customHeight="1">
      <c r="A122" s="23"/>
      <c r="B122" s="12"/>
      <c r="C122" s="255" t="s">
        <v>756</v>
      </c>
      <c r="D122" s="14" t="s">
        <v>757</v>
      </c>
      <c r="E122" s="68">
        <v>20586</v>
      </c>
      <c r="F122" s="179"/>
      <c r="G122" s="68">
        <v>31041.89</v>
      </c>
      <c r="H122" s="453"/>
      <c r="I122" s="348">
        <f t="shared" si="3"/>
        <v>150.79126590887012</v>
      </c>
    </row>
    <row r="123" spans="1:9" ht="52.5" customHeight="1">
      <c r="A123" s="23"/>
      <c r="B123" s="12"/>
      <c r="C123" s="259">
        <v>6330</v>
      </c>
      <c r="D123" s="14" t="s">
        <v>469</v>
      </c>
      <c r="E123" s="68">
        <v>346350</v>
      </c>
      <c r="F123" s="179"/>
      <c r="G123" s="68">
        <v>339345.23</v>
      </c>
      <c r="H123" s="453"/>
      <c r="I123" s="348">
        <f t="shared" si="3"/>
        <v>97.97754583513786</v>
      </c>
    </row>
    <row r="124" spans="1:11" s="69" customFormat="1" ht="25.5" customHeight="1">
      <c r="A124" s="47"/>
      <c r="B124" s="32">
        <v>80104</v>
      </c>
      <c r="C124" s="245"/>
      <c r="D124" s="46" t="s">
        <v>563</v>
      </c>
      <c r="E124" s="124">
        <f>SUM(E125:E130)</f>
        <v>4234317</v>
      </c>
      <c r="F124" s="223"/>
      <c r="G124" s="124">
        <f>SUM(G125:G130)</f>
        <v>4244677.85</v>
      </c>
      <c r="H124" s="625"/>
      <c r="I124" s="348">
        <f t="shared" si="3"/>
        <v>100.24468763203132</v>
      </c>
      <c r="J124" s="321"/>
      <c r="K124" s="321"/>
    </row>
    <row r="125" spans="1:9" ht="87" customHeight="1">
      <c r="A125" s="23"/>
      <c r="B125" s="12"/>
      <c r="C125" s="255" t="s">
        <v>556</v>
      </c>
      <c r="D125" s="14" t="s">
        <v>449</v>
      </c>
      <c r="E125" s="68">
        <v>246115</v>
      </c>
      <c r="F125" s="179"/>
      <c r="G125" s="68">
        <v>231809.59</v>
      </c>
      <c r="H125" s="453"/>
      <c r="I125" s="348">
        <f t="shared" si="3"/>
        <v>94.1875099039067</v>
      </c>
    </row>
    <row r="126" spans="1:9" ht="18.75" customHeight="1">
      <c r="A126" s="23"/>
      <c r="B126" s="12"/>
      <c r="C126" s="259" t="s">
        <v>552</v>
      </c>
      <c r="D126" s="14" t="s">
        <v>553</v>
      </c>
      <c r="E126" s="68">
        <v>3334294</v>
      </c>
      <c r="F126" s="179"/>
      <c r="G126" s="68">
        <v>3213819.34</v>
      </c>
      <c r="H126" s="453"/>
      <c r="I126" s="348">
        <f t="shared" si="3"/>
        <v>96.38680152380084</v>
      </c>
    </row>
    <row r="127" spans="1:9" ht="18.75" customHeight="1">
      <c r="A127" s="23"/>
      <c r="B127" s="12"/>
      <c r="C127" s="259" t="s">
        <v>454</v>
      </c>
      <c r="D127" s="14" t="s">
        <v>298</v>
      </c>
      <c r="E127" s="68">
        <v>6562</v>
      </c>
      <c r="F127" s="179"/>
      <c r="G127" s="68">
        <v>7163.26</v>
      </c>
      <c r="H127" s="453"/>
      <c r="I127" s="348">
        <f t="shared" si="3"/>
        <v>109.16275525754344</v>
      </c>
    </row>
    <row r="128" spans="1:9" ht="18.75" customHeight="1">
      <c r="A128" s="23"/>
      <c r="B128" s="12"/>
      <c r="C128" s="260" t="s">
        <v>756</v>
      </c>
      <c r="D128" s="14" t="s">
        <v>757</v>
      </c>
      <c r="E128" s="68">
        <v>40276</v>
      </c>
      <c r="F128" s="179"/>
      <c r="G128" s="68">
        <v>40419.86</v>
      </c>
      <c r="H128" s="453"/>
      <c r="I128" s="348">
        <f t="shared" si="3"/>
        <v>100.35718542059789</v>
      </c>
    </row>
    <row r="129" spans="1:9" ht="65.25" customHeight="1">
      <c r="A129" s="23"/>
      <c r="B129" s="12"/>
      <c r="C129" s="259">
        <v>2310</v>
      </c>
      <c r="D129" s="14" t="s">
        <v>317</v>
      </c>
      <c r="E129" s="68">
        <v>540000</v>
      </c>
      <c r="F129" s="179"/>
      <c r="G129" s="68">
        <v>687589</v>
      </c>
      <c r="H129" s="453"/>
      <c r="I129" s="348">
        <f t="shared" si="3"/>
        <v>127.33129629629629</v>
      </c>
    </row>
    <row r="130" spans="1:9" ht="65.25" customHeight="1">
      <c r="A130" s="23"/>
      <c r="B130" s="12"/>
      <c r="C130" s="259" t="s">
        <v>429</v>
      </c>
      <c r="D130" s="14" t="s">
        <v>564</v>
      </c>
      <c r="E130" s="68">
        <v>67070</v>
      </c>
      <c r="F130" s="179"/>
      <c r="G130" s="68">
        <v>63876.8</v>
      </c>
      <c r="H130" s="453"/>
      <c r="I130" s="348">
        <f t="shared" si="3"/>
        <v>95.23900402564486</v>
      </c>
    </row>
    <row r="131" spans="1:11" s="69" customFormat="1" ht="21" customHeight="1">
      <c r="A131" s="47"/>
      <c r="B131" s="32">
        <v>80110</v>
      </c>
      <c r="C131" s="245"/>
      <c r="D131" s="46" t="s">
        <v>501</v>
      </c>
      <c r="E131" s="124">
        <f>SUM(E132:E136)</f>
        <v>112233</v>
      </c>
      <c r="F131" s="223"/>
      <c r="G131" s="124">
        <f>SUM(G132:G136)</f>
        <v>122965.78</v>
      </c>
      <c r="H131" s="625"/>
      <c r="I131" s="348">
        <f t="shared" si="3"/>
        <v>109.56294494489143</v>
      </c>
      <c r="J131" s="321"/>
      <c r="K131" s="321"/>
    </row>
    <row r="132" spans="1:11" s="69" customFormat="1" ht="21" customHeight="1">
      <c r="A132" s="47"/>
      <c r="B132" s="43"/>
      <c r="C132" s="255" t="s">
        <v>549</v>
      </c>
      <c r="D132" s="14" t="s">
        <v>550</v>
      </c>
      <c r="E132" s="68">
        <v>600</v>
      </c>
      <c r="F132" s="223"/>
      <c r="G132" s="68">
        <v>689</v>
      </c>
      <c r="H132" s="625"/>
      <c r="I132" s="348">
        <f t="shared" si="3"/>
        <v>114.83333333333334</v>
      </c>
      <c r="J132" s="321"/>
      <c r="K132" s="321"/>
    </row>
    <row r="133" spans="1:9" ht="90.75" customHeight="1">
      <c r="A133" s="23"/>
      <c r="B133" s="12"/>
      <c r="C133" s="255" t="s">
        <v>556</v>
      </c>
      <c r="D133" s="14" t="s">
        <v>449</v>
      </c>
      <c r="E133" s="68">
        <v>88353</v>
      </c>
      <c r="F133" s="179"/>
      <c r="G133" s="68">
        <v>91723.5</v>
      </c>
      <c r="H133" s="453"/>
      <c r="I133" s="348">
        <f t="shared" si="3"/>
        <v>103.81481104206989</v>
      </c>
    </row>
    <row r="134" spans="1:9" ht="24" customHeight="1">
      <c r="A134" s="23"/>
      <c r="B134" s="12"/>
      <c r="C134" s="259" t="s">
        <v>454</v>
      </c>
      <c r="D134" s="14" t="s">
        <v>298</v>
      </c>
      <c r="E134" s="68">
        <v>1300</v>
      </c>
      <c r="F134" s="179"/>
      <c r="G134" s="68">
        <v>375.6</v>
      </c>
      <c r="H134" s="453"/>
      <c r="I134" s="348">
        <f t="shared" si="3"/>
        <v>28.892307692307696</v>
      </c>
    </row>
    <row r="135" spans="1:9" ht="30.75" customHeight="1">
      <c r="A135" s="23"/>
      <c r="B135" s="12"/>
      <c r="C135" s="257" t="s">
        <v>641</v>
      </c>
      <c r="D135" s="14" t="s">
        <v>642</v>
      </c>
      <c r="E135" s="68">
        <v>17950</v>
      </c>
      <c r="F135" s="179"/>
      <c r="G135" s="68">
        <v>17950</v>
      </c>
      <c r="H135" s="453"/>
      <c r="I135" s="348">
        <f t="shared" si="3"/>
        <v>100</v>
      </c>
    </row>
    <row r="136" spans="1:9" ht="21" customHeight="1">
      <c r="A136" s="23"/>
      <c r="B136" s="12"/>
      <c r="C136" s="260" t="s">
        <v>756</v>
      </c>
      <c r="D136" s="14" t="s">
        <v>757</v>
      </c>
      <c r="E136" s="68">
        <v>4030</v>
      </c>
      <c r="F136" s="179"/>
      <c r="G136" s="68">
        <v>12227.68</v>
      </c>
      <c r="H136" s="453"/>
      <c r="I136" s="348">
        <f t="shared" si="3"/>
        <v>303.4163771712159</v>
      </c>
    </row>
    <row r="137" spans="1:11" s="69" customFormat="1" ht="21" customHeight="1">
      <c r="A137" s="47"/>
      <c r="B137" s="32">
        <v>80148</v>
      </c>
      <c r="C137" s="261"/>
      <c r="D137" s="33" t="s">
        <v>79</v>
      </c>
      <c r="E137" s="124">
        <f>SUM(E138:E140)</f>
        <v>1427521</v>
      </c>
      <c r="F137" s="223"/>
      <c r="G137" s="124">
        <f>SUM(G138:G140)</f>
        <v>1366371.3599999999</v>
      </c>
      <c r="H137" s="625"/>
      <c r="I137" s="348">
        <f t="shared" si="3"/>
        <v>95.71637545086902</v>
      </c>
      <c r="J137" s="321"/>
      <c r="K137" s="321"/>
    </row>
    <row r="138" spans="1:9" ht="21" customHeight="1">
      <c r="A138" s="23"/>
      <c r="B138" s="12"/>
      <c r="C138" s="259" t="s">
        <v>552</v>
      </c>
      <c r="D138" s="14" t="s">
        <v>553</v>
      </c>
      <c r="E138" s="68">
        <v>1363607</v>
      </c>
      <c r="F138" s="179"/>
      <c r="G138" s="68">
        <v>1290329.67</v>
      </c>
      <c r="H138" s="453"/>
      <c r="I138" s="348">
        <f t="shared" si="3"/>
        <v>94.6262134177956</v>
      </c>
    </row>
    <row r="139" spans="1:9" ht="21" customHeight="1">
      <c r="A139" s="23"/>
      <c r="B139" s="12"/>
      <c r="C139" s="259" t="s">
        <v>454</v>
      </c>
      <c r="D139" s="14" t="s">
        <v>298</v>
      </c>
      <c r="E139" s="68"/>
      <c r="F139" s="179"/>
      <c r="G139" s="68">
        <v>81.74</v>
      </c>
      <c r="H139" s="453"/>
      <c r="I139" s="348"/>
    </row>
    <row r="140" spans="1:9" ht="21" customHeight="1">
      <c r="A140" s="23"/>
      <c r="B140" s="12"/>
      <c r="C140" s="260" t="s">
        <v>756</v>
      </c>
      <c r="D140" s="14" t="s">
        <v>757</v>
      </c>
      <c r="E140" s="68">
        <v>63914</v>
      </c>
      <c r="F140" s="179"/>
      <c r="G140" s="68">
        <v>75959.95</v>
      </c>
      <c r="H140" s="453"/>
      <c r="I140" s="348">
        <f t="shared" si="3"/>
        <v>118.84712269612292</v>
      </c>
    </row>
    <row r="141" spans="1:11" s="69" customFormat="1" ht="21" customHeight="1">
      <c r="A141" s="47"/>
      <c r="B141" s="32">
        <v>80195</v>
      </c>
      <c r="C141" s="261"/>
      <c r="D141" s="46" t="s">
        <v>494</v>
      </c>
      <c r="E141" s="124">
        <f>E142</f>
        <v>5696</v>
      </c>
      <c r="F141" s="223"/>
      <c r="G141" s="124">
        <f>G142</f>
        <v>5693.5</v>
      </c>
      <c r="H141" s="625"/>
      <c r="I141" s="348">
        <f t="shared" si="3"/>
        <v>99.9561095505618</v>
      </c>
      <c r="J141" s="321"/>
      <c r="K141" s="321"/>
    </row>
    <row r="142" spans="1:9" ht="42" customHeight="1">
      <c r="A142" s="23"/>
      <c r="B142" s="6"/>
      <c r="C142" s="255">
        <v>2030</v>
      </c>
      <c r="D142" s="14" t="s">
        <v>606</v>
      </c>
      <c r="E142" s="68">
        <v>5696</v>
      </c>
      <c r="F142" s="179"/>
      <c r="G142" s="124">
        <v>5693.5</v>
      </c>
      <c r="H142" s="453"/>
      <c r="I142" s="348">
        <f t="shared" si="3"/>
        <v>99.9561095505618</v>
      </c>
    </row>
    <row r="143" spans="1:9" ht="20.25" customHeight="1">
      <c r="A143" s="16">
        <v>851</v>
      </c>
      <c r="B143" s="17"/>
      <c r="C143" s="241"/>
      <c r="D143" s="18" t="s">
        <v>82</v>
      </c>
      <c r="E143" s="45">
        <f>E144</f>
        <v>465200</v>
      </c>
      <c r="F143" s="121"/>
      <c r="G143" s="45">
        <f>G144</f>
        <v>409575.18</v>
      </c>
      <c r="H143" s="337"/>
      <c r="I143" s="444">
        <f t="shared" si="3"/>
        <v>88.04281599312124</v>
      </c>
    </row>
    <row r="144" spans="1:11" s="69" customFormat="1" ht="21.75" customHeight="1">
      <c r="A144" s="43"/>
      <c r="B144" s="36">
        <v>85158</v>
      </c>
      <c r="C144" s="254"/>
      <c r="D144" s="46" t="s">
        <v>305</v>
      </c>
      <c r="E144" s="187">
        <f>SUM(E145:E148)</f>
        <v>465200</v>
      </c>
      <c r="F144" s="223"/>
      <c r="G144" s="187">
        <f>SUM(G145:G148)</f>
        <v>409575.18</v>
      </c>
      <c r="H144" s="625"/>
      <c r="I144" s="348">
        <f t="shared" si="3"/>
        <v>88.04281599312124</v>
      </c>
      <c r="J144" s="321"/>
      <c r="K144" s="321"/>
    </row>
    <row r="145" spans="1:9" ht="18.75" customHeight="1">
      <c r="A145" s="12"/>
      <c r="B145" s="22"/>
      <c r="C145" s="259" t="s">
        <v>552</v>
      </c>
      <c r="D145" s="14" t="s">
        <v>553</v>
      </c>
      <c r="E145" s="68">
        <v>351900</v>
      </c>
      <c r="F145" s="179"/>
      <c r="G145" s="68">
        <v>297124.75</v>
      </c>
      <c r="H145" s="453"/>
      <c r="I145" s="348">
        <f t="shared" si="3"/>
        <v>84.43442739414606</v>
      </c>
    </row>
    <row r="146" spans="1:9" ht="17.25" customHeight="1">
      <c r="A146" s="12"/>
      <c r="B146" s="24"/>
      <c r="C146" s="259" t="s">
        <v>454</v>
      </c>
      <c r="D146" s="14" t="s">
        <v>298</v>
      </c>
      <c r="E146" s="68">
        <v>210</v>
      </c>
      <c r="F146" s="179"/>
      <c r="G146" s="68">
        <v>294.35</v>
      </c>
      <c r="H146" s="453"/>
      <c r="I146" s="348">
        <f t="shared" si="3"/>
        <v>140.16666666666669</v>
      </c>
    </row>
    <row r="147" spans="1:9" ht="18.75" customHeight="1">
      <c r="A147" s="12"/>
      <c r="B147" s="24"/>
      <c r="C147" s="260" t="s">
        <v>756</v>
      </c>
      <c r="D147" s="14" t="s">
        <v>757</v>
      </c>
      <c r="E147" s="68">
        <v>10090</v>
      </c>
      <c r="F147" s="179"/>
      <c r="G147" s="68">
        <v>9600.08</v>
      </c>
      <c r="H147" s="453"/>
      <c r="I147" s="348">
        <f t="shared" si="3"/>
        <v>95.14449950445986</v>
      </c>
    </row>
    <row r="148" spans="1:9" ht="64.5" customHeight="1">
      <c r="A148" s="12"/>
      <c r="B148" s="24"/>
      <c r="C148" s="260">
        <v>2710</v>
      </c>
      <c r="D148" s="34" t="s">
        <v>773</v>
      </c>
      <c r="E148" s="68">
        <v>103000</v>
      </c>
      <c r="F148" s="179"/>
      <c r="G148" s="68">
        <v>102556</v>
      </c>
      <c r="H148" s="453"/>
      <c r="I148" s="348">
        <f t="shared" si="3"/>
        <v>99.56893203883496</v>
      </c>
    </row>
    <row r="149" spans="1:9" ht="22.5" customHeight="1">
      <c r="A149" s="16">
        <v>852</v>
      </c>
      <c r="B149" s="17"/>
      <c r="C149" s="241"/>
      <c r="D149" s="18" t="s">
        <v>279</v>
      </c>
      <c r="E149" s="45">
        <f>E150+E153+E155+E158+E161+E164+E166+E170+E172+E177</f>
        <v>30504279</v>
      </c>
      <c r="F149" s="242">
        <f>F150+F153+F155+F158+F161+F164+F166+F170+F172+F177</f>
        <v>21430994</v>
      </c>
      <c r="G149" s="45">
        <f>G150+G153+G155+G158+G161+G164+G166+G170+G172+G177</f>
        <v>30213117.979999997</v>
      </c>
      <c r="H149" s="339">
        <f>H150+H153+H155+H158+H161+H164+H166+H170+H172+H177</f>
        <v>21152160.68</v>
      </c>
      <c r="I149" s="444">
        <f t="shared" si="3"/>
        <v>99.04550761550534</v>
      </c>
    </row>
    <row r="150" spans="1:11" s="69" customFormat="1" ht="22.5" customHeight="1">
      <c r="A150" s="43"/>
      <c r="B150" s="36">
        <v>85203</v>
      </c>
      <c r="C150" s="254"/>
      <c r="D150" s="46" t="s">
        <v>551</v>
      </c>
      <c r="E150" s="124">
        <f>SUM(E151:E152)</f>
        <v>236400</v>
      </c>
      <c r="F150" s="175">
        <f>SUM(F151:F152)</f>
        <v>236300</v>
      </c>
      <c r="G150" s="124">
        <f>SUM(G151:G152)</f>
        <v>236380.17</v>
      </c>
      <c r="H150" s="631">
        <f>SUM(H151:H152)</f>
        <v>236300</v>
      </c>
      <c r="I150" s="348">
        <f t="shared" si="3"/>
        <v>99.99161167512692</v>
      </c>
      <c r="J150" s="321"/>
      <c r="K150" s="321"/>
    </row>
    <row r="151" spans="1:9" ht="64.5" customHeight="1">
      <c r="A151" s="23"/>
      <c r="B151" s="20"/>
      <c r="C151" s="259">
        <v>2010</v>
      </c>
      <c r="D151" s="14" t="s">
        <v>455</v>
      </c>
      <c r="E151" s="68">
        <v>236300</v>
      </c>
      <c r="F151" s="121">
        <v>236300</v>
      </c>
      <c r="G151" s="68">
        <v>236300</v>
      </c>
      <c r="H151" s="337">
        <v>236300</v>
      </c>
      <c r="I151" s="348">
        <f t="shared" si="3"/>
        <v>100</v>
      </c>
    </row>
    <row r="152" spans="1:9" ht="63.75" customHeight="1">
      <c r="A152" s="23"/>
      <c r="B152" s="5"/>
      <c r="C152" s="255">
        <v>2360</v>
      </c>
      <c r="D152" s="14" t="s">
        <v>456</v>
      </c>
      <c r="E152" s="68">
        <v>100</v>
      </c>
      <c r="F152" s="121"/>
      <c r="G152" s="68">
        <v>80.17</v>
      </c>
      <c r="H152" s="337"/>
      <c r="I152" s="348">
        <f t="shared" si="3"/>
        <v>80.17</v>
      </c>
    </row>
    <row r="153" spans="1:11" s="69" customFormat="1" ht="29.25" customHeight="1">
      <c r="A153" s="47"/>
      <c r="B153" s="48">
        <v>85206</v>
      </c>
      <c r="C153" s="254"/>
      <c r="D153" s="46" t="s">
        <v>430</v>
      </c>
      <c r="E153" s="124">
        <f>E154</f>
        <v>19186</v>
      </c>
      <c r="F153" s="175"/>
      <c r="G153" s="124">
        <f>G154</f>
        <v>19185.6</v>
      </c>
      <c r="H153" s="631"/>
      <c r="I153" s="348">
        <f t="shared" si="3"/>
        <v>99.99791514646095</v>
      </c>
      <c r="J153" s="321"/>
      <c r="K153" s="321"/>
    </row>
    <row r="154" spans="1:9" ht="49.5" customHeight="1">
      <c r="A154" s="23"/>
      <c r="B154" s="5"/>
      <c r="C154" s="255">
        <v>2030</v>
      </c>
      <c r="D154" s="14" t="s">
        <v>606</v>
      </c>
      <c r="E154" s="68">
        <v>19186</v>
      </c>
      <c r="F154" s="121"/>
      <c r="G154" s="68">
        <v>19185.6</v>
      </c>
      <c r="H154" s="337"/>
      <c r="I154" s="348">
        <f t="shared" si="3"/>
        <v>99.99791514646095</v>
      </c>
    </row>
    <row r="155" spans="1:11" s="69" customFormat="1" ht="66" customHeight="1">
      <c r="A155" s="43"/>
      <c r="B155" s="32">
        <v>85212</v>
      </c>
      <c r="C155" s="254"/>
      <c r="D155" s="46" t="s">
        <v>471</v>
      </c>
      <c r="E155" s="124">
        <f>SUM(E156:E157)</f>
        <v>20452110</v>
      </c>
      <c r="F155" s="175">
        <f>SUM(F156:F157)</f>
        <v>20400000</v>
      </c>
      <c r="G155" s="124">
        <f>SUM(G156:G157)</f>
        <v>20342433.49</v>
      </c>
      <c r="H155" s="631">
        <f>SUM(H156:H157)</f>
        <v>20143898</v>
      </c>
      <c r="I155" s="348">
        <f t="shared" si="3"/>
        <v>99.46373987818372</v>
      </c>
      <c r="J155" s="321"/>
      <c r="K155" s="321"/>
    </row>
    <row r="156" spans="1:9" ht="65.25" customHeight="1">
      <c r="A156" s="23"/>
      <c r="B156" s="12"/>
      <c r="C156" s="259">
        <v>2010</v>
      </c>
      <c r="D156" s="14" t="s">
        <v>455</v>
      </c>
      <c r="E156" s="68">
        <v>20400000</v>
      </c>
      <c r="F156" s="121">
        <v>20400000</v>
      </c>
      <c r="G156" s="68">
        <v>20143898</v>
      </c>
      <c r="H156" s="337">
        <v>20143898</v>
      </c>
      <c r="I156" s="348">
        <f t="shared" si="3"/>
        <v>98.74459803921567</v>
      </c>
    </row>
    <row r="157" spans="1:9" ht="66.75" customHeight="1">
      <c r="A157" s="23"/>
      <c r="B157" s="12"/>
      <c r="C157" s="255">
        <v>2360</v>
      </c>
      <c r="D157" s="14" t="s">
        <v>456</v>
      </c>
      <c r="E157" s="68">
        <v>52110</v>
      </c>
      <c r="F157" s="121"/>
      <c r="G157" s="68">
        <f>198555.05-19.56</f>
        <v>198535.49</v>
      </c>
      <c r="H157" s="337"/>
      <c r="I157" s="348">
        <f aca="true" t="shared" si="4" ref="I157:I214">G157/E157*100</f>
        <v>380.99307234695834</v>
      </c>
    </row>
    <row r="158" spans="1:11" s="69" customFormat="1" ht="93" customHeight="1">
      <c r="A158" s="43"/>
      <c r="B158" s="32">
        <v>85213</v>
      </c>
      <c r="C158" s="254"/>
      <c r="D158" s="46" t="s">
        <v>470</v>
      </c>
      <c r="E158" s="124">
        <f>E159+E160</f>
        <v>272940</v>
      </c>
      <c r="F158" s="175">
        <f>F159+F160</f>
        <v>121200</v>
      </c>
      <c r="G158" s="124">
        <f>G159+G160</f>
        <v>258829.03999999998</v>
      </c>
      <c r="H158" s="631">
        <f>H159+H160</f>
        <v>120629.04</v>
      </c>
      <c r="I158" s="348">
        <f t="shared" si="4"/>
        <v>94.8300139224738</v>
      </c>
      <c r="J158" s="321"/>
      <c r="K158" s="321"/>
    </row>
    <row r="159" spans="1:9" ht="64.5" customHeight="1">
      <c r="A159" s="12"/>
      <c r="B159" s="15"/>
      <c r="C159" s="255">
        <v>2010</v>
      </c>
      <c r="D159" s="14" t="s">
        <v>455</v>
      </c>
      <c r="E159" s="68">
        <v>121200</v>
      </c>
      <c r="F159" s="121">
        <v>121200</v>
      </c>
      <c r="G159" s="68">
        <v>120629.04</v>
      </c>
      <c r="H159" s="337">
        <v>120629.04</v>
      </c>
      <c r="I159" s="348">
        <f t="shared" si="4"/>
        <v>99.52891089108911</v>
      </c>
    </row>
    <row r="160" spans="1:9" ht="42.75" customHeight="1">
      <c r="A160" s="12"/>
      <c r="B160" s="15"/>
      <c r="C160" s="255">
        <v>2030</v>
      </c>
      <c r="D160" s="14" t="s">
        <v>606</v>
      </c>
      <c r="E160" s="68">
        <v>151740</v>
      </c>
      <c r="F160" s="121"/>
      <c r="G160" s="68">
        <v>138200</v>
      </c>
      <c r="H160" s="337"/>
      <c r="I160" s="348">
        <f t="shared" si="4"/>
        <v>91.07684196652168</v>
      </c>
    </row>
    <row r="161" spans="1:11" s="69" customFormat="1" ht="40.5" customHeight="1">
      <c r="A161" s="43"/>
      <c r="B161" s="31">
        <v>85214</v>
      </c>
      <c r="C161" s="254"/>
      <c r="D161" s="46" t="s">
        <v>307</v>
      </c>
      <c r="E161" s="124">
        <f>SUM(E162:E163)</f>
        <v>3506000</v>
      </c>
      <c r="F161" s="189"/>
      <c r="G161" s="124">
        <f>SUM(G162:G163)</f>
        <v>3428336.31</v>
      </c>
      <c r="H161" s="456"/>
      <c r="I161" s="348">
        <f t="shared" si="4"/>
        <v>97.78483485453509</v>
      </c>
      <c r="J161" s="321"/>
      <c r="K161" s="321"/>
    </row>
    <row r="162" spans="1:9" ht="21" customHeight="1">
      <c r="A162" s="12"/>
      <c r="B162" s="15"/>
      <c r="C162" s="255" t="s">
        <v>756</v>
      </c>
      <c r="D162" s="14" t="s">
        <v>757</v>
      </c>
      <c r="E162" s="35">
        <v>6000</v>
      </c>
      <c r="F162" s="112"/>
      <c r="G162" s="55">
        <v>5416.45</v>
      </c>
      <c r="H162" s="344"/>
      <c r="I162" s="348">
        <f t="shared" si="4"/>
        <v>90.27416666666667</v>
      </c>
    </row>
    <row r="163" spans="1:9" ht="45" customHeight="1">
      <c r="A163" s="12"/>
      <c r="B163" s="15"/>
      <c r="C163" s="255">
        <v>2030</v>
      </c>
      <c r="D163" s="14" t="s">
        <v>606</v>
      </c>
      <c r="E163" s="35">
        <v>3500000</v>
      </c>
      <c r="F163" s="115"/>
      <c r="G163" s="55">
        <v>3422919.86</v>
      </c>
      <c r="H163" s="340"/>
      <c r="I163" s="348">
        <f t="shared" si="4"/>
        <v>97.79771028571427</v>
      </c>
    </row>
    <row r="164" spans="1:9" ht="24" customHeight="1">
      <c r="A164" s="12"/>
      <c r="B164" s="32">
        <v>85216</v>
      </c>
      <c r="C164" s="254"/>
      <c r="D164" s="46" t="s">
        <v>690</v>
      </c>
      <c r="E164" s="37">
        <f>E165</f>
        <v>1686000</v>
      </c>
      <c r="F164" s="112"/>
      <c r="G164" s="37">
        <f>G165</f>
        <v>1614502.05</v>
      </c>
      <c r="H164" s="344"/>
      <c r="I164" s="348">
        <f t="shared" si="4"/>
        <v>95.75931494661923</v>
      </c>
    </row>
    <row r="165" spans="1:9" ht="45" customHeight="1">
      <c r="A165" s="12"/>
      <c r="B165" s="15"/>
      <c r="C165" s="255">
        <v>2030</v>
      </c>
      <c r="D165" s="14" t="s">
        <v>606</v>
      </c>
      <c r="E165" s="35">
        <v>1686000</v>
      </c>
      <c r="F165" s="134"/>
      <c r="G165" s="35">
        <v>1614502.05</v>
      </c>
      <c r="H165" s="338"/>
      <c r="I165" s="348">
        <f t="shared" si="4"/>
        <v>95.75931494661923</v>
      </c>
    </row>
    <row r="166" spans="1:11" s="69" customFormat="1" ht="21.75" customHeight="1">
      <c r="A166" s="43"/>
      <c r="B166" s="31">
        <v>85219</v>
      </c>
      <c r="C166" s="254"/>
      <c r="D166" s="46" t="s">
        <v>308</v>
      </c>
      <c r="E166" s="37">
        <f>SUM(E167:E169)</f>
        <v>771421</v>
      </c>
      <c r="F166" s="177">
        <f>SUM(F167:F169)</f>
        <v>54094</v>
      </c>
      <c r="G166" s="37">
        <f>SUM(G167:G169)</f>
        <v>771113.4</v>
      </c>
      <c r="H166" s="632">
        <f>SUM(H167:H169)</f>
        <v>54092.84</v>
      </c>
      <c r="I166" s="348">
        <f t="shared" si="4"/>
        <v>99.96012553456544</v>
      </c>
      <c r="J166" s="321"/>
      <c r="K166" s="321"/>
    </row>
    <row r="167" spans="1:9" ht="20.25" customHeight="1">
      <c r="A167" s="12"/>
      <c r="B167" s="15"/>
      <c r="C167" s="255" t="s">
        <v>756</v>
      </c>
      <c r="D167" s="14" t="s">
        <v>757</v>
      </c>
      <c r="E167" s="35">
        <v>2500</v>
      </c>
      <c r="F167" s="112"/>
      <c r="G167" s="232">
        <v>2193.56</v>
      </c>
      <c r="H167" s="344"/>
      <c r="I167" s="348">
        <f t="shared" si="4"/>
        <v>87.7424</v>
      </c>
    </row>
    <row r="168" spans="1:9" ht="72" customHeight="1">
      <c r="A168" s="12"/>
      <c r="B168" s="15"/>
      <c r="C168" s="255">
        <v>2010</v>
      </c>
      <c r="D168" s="14" t="s">
        <v>455</v>
      </c>
      <c r="E168" s="35">
        <v>54094</v>
      </c>
      <c r="F168" s="134">
        <v>54094</v>
      </c>
      <c r="G168" s="35">
        <v>54092.84</v>
      </c>
      <c r="H168" s="338">
        <v>54092.84</v>
      </c>
      <c r="I168" s="348">
        <f t="shared" si="4"/>
        <v>99.99785558472288</v>
      </c>
    </row>
    <row r="169" spans="1:9" ht="41.25" customHeight="1">
      <c r="A169" s="12"/>
      <c r="B169" s="15"/>
      <c r="C169" s="255">
        <v>2030</v>
      </c>
      <c r="D169" s="14" t="s">
        <v>606</v>
      </c>
      <c r="E169" s="35">
        <v>714827</v>
      </c>
      <c r="F169" s="115"/>
      <c r="G169" s="231">
        <v>714827</v>
      </c>
      <c r="H169" s="340"/>
      <c r="I169" s="348">
        <f t="shared" si="4"/>
        <v>100</v>
      </c>
    </row>
    <row r="170" spans="1:9" ht="41.25" customHeight="1">
      <c r="A170" s="12"/>
      <c r="B170" s="32">
        <v>85220</v>
      </c>
      <c r="C170" s="261"/>
      <c r="D170" s="46" t="s">
        <v>604</v>
      </c>
      <c r="E170" s="124">
        <f>E171</f>
        <v>0</v>
      </c>
      <c r="F170" s="133"/>
      <c r="G170" s="124">
        <f>G171</f>
        <v>4429.59</v>
      </c>
      <c r="H170" s="340"/>
      <c r="I170" s="348"/>
    </row>
    <row r="171" spans="1:9" ht="27" customHeight="1">
      <c r="A171" s="12"/>
      <c r="B171" s="24"/>
      <c r="C171" s="259" t="s">
        <v>756</v>
      </c>
      <c r="D171" s="14" t="s">
        <v>757</v>
      </c>
      <c r="E171" s="68"/>
      <c r="F171" s="179"/>
      <c r="G171" s="68">
        <v>4429.59</v>
      </c>
      <c r="H171" s="340"/>
      <c r="I171" s="348"/>
    </row>
    <row r="172" spans="1:11" s="69" customFormat="1" ht="28.5" customHeight="1">
      <c r="A172" s="43"/>
      <c r="B172" s="31">
        <v>85228</v>
      </c>
      <c r="C172" s="254"/>
      <c r="D172" s="46" t="s">
        <v>640</v>
      </c>
      <c r="E172" s="124">
        <f>SUM(E173:E176)</f>
        <v>702650</v>
      </c>
      <c r="F172" s="124">
        <f>SUM(F173:F176)</f>
        <v>357000</v>
      </c>
      <c r="G172" s="124">
        <f>SUM(G173:G176)</f>
        <v>684797.73</v>
      </c>
      <c r="H172" s="463">
        <f>SUM(H173:H176)</f>
        <v>348840.8</v>
      </c>
      <c r="I172" s="348">
        <f t="shared" si="4"/>
        <v>97.45929410090372</v>
      </c>
      <c r="J172" s="321"/>
      <c r="K172" s="321"/>
    </row>
    <row r="173" spans="1:11" s="69" customFormat="1" ht="28.5" customHeight="1">
      <c r="A173" s="43"/>
      <c r="B173" s="38"/>
      <c r="C173" s="255" t="s">
        <v>549</v>
      </c>
      <c r="D173" s="14" t="s">
        <v>550</v>
      </c>
      <c r="E173" s="68"/>
      <c r="F173" s="227"/>
      <c r="G173" s="68">
        <v>140.8</v>
      </c>
      <c r="H173" s="626"/>
      <c r="I173" s="348"/>
      <c r="J173" s="321"/>
      <c r="K173" s="321"/>
    </row>
    <row r="174" spans="1:9" ht="19.5" customHeight="1">
      <c r="A174" s="12"/>
      <c r="B174" s="15"/>
      <c r="C174" s="255" t="s">
        <v>552</v>
      </c>
      <c r="D174" s="14" t="s">
        <v>553</v>
      </c>
      <c r="E174" s="68">
        <v>345000</v>
      </c>
      <c r="F174" s="121"/>
      <c r="G174" s="68">
        <v>334977.28</v>
      </c>
      <c r="H174" s="337"/>
      <c r="I174" s="348">
        <f t="shared" si="4"/>
        <v>97.09486376811594</v>
      </c>
    </row>
    <row r="175" spans="1:9" ht="66" customHeight="1">
      <c r="A175" s="12"/>
      <c r="B175" s="15"/>
      <c r="C175" s="255">
        <v>2010</v>
      </c>
      <c r="D175" s="14" t="s">
        <v>455</v>
      </c>
      <c r="E175" s="68">
        <v>357000</v>
      </c>
      <c r="F175" s="121">
        <v>357000</v>
      </c>
      <c r="G175" s="68">
        <v>348840.8</v>
      </c>
      <c r="H175" s="337">
        <v>348840.8</v>
      </c>
      <c r="I175" s="348">
        <f t="shared" si="4"/>
        <v>97.71450980392157</v>
      </c>
    </row>
    <row r="176" spans="1:9" ht="63.75" customHeight="1">
      <c r="A176" s="12"/>
      <c r="B176" s="15"/>
      <c r="C176" s="255">
        <v>2360</v>
      </c>
      <c r="D176" s="14" t="s">
        <v>456</v>
      </c>
      <c r="E176" s="68">
        <v>650</v>
      </c>
      <c r="F176" s="121"/>
      <c r="G176" s="68">
        <f>819.29+19.56</f>
        <v>838.8499999999999</v>
      </c>
      <c r="H176" s="337"/>
      <c r="I176" s="348">
        <f t="shared" si="4"/>
        <v>129.05384615384614</v>
      </c>
    </row>
    <row r="177" spans="1:11" s="69" customFormat="1" ht="20.25" customHeight="1">
      <c r="A177" s="43"/>
      <c r="B177" s="31">
        <v>85295</v>
      </c>
      <c r="C177" s="254"/>
      <c r="D177" s="46" t="s">
        <v>494</v>
      </c>
      <c r="E177" s="124">
        <f>SUM(E178:E182)</f>
        <v>2857572</v>
      </c>
      <c r="F177" s="124">
        <f>SUM(F178:F182)</f>
        <v>262400</v>
      </c>
      <c r="G177" s="124">
        <f>SUM(G178:G182)</f>
        <v>2853110.6</v>
      </c>
      <c r="H177" s="463">
        <f>SUM(H178:H182)</f>
        <v>248400</v>
      </c>
      <c r="I177" s="348">
        <f t="shared" si="4"/>
        <v>99.8438744500576</v>
      </c>
      <c r="J177" s="321"/>
      <c r="K177" s="321"/>
    </row>
    <row r="178" spans="1:11" s="69" customFormat="1" ht="20.25" customHeight="1">
      <c r="A178" s="43"/>
      <c r="B178" s="38"/>
      <c r="C178" s="255" t="s">
        <v>549</v>
      </c>
      <c r="D178" s="14" t="s">
        <v>550</v>
      </c>
      <c r="E178" s="119"/>
      <c r="F178" s="179"/>
      <c r="G178" s="119">
        <v>562.4</v>
      </c>
      <c r="H178" s="453"/>
      <c r="I178" s="348"/>
      <c r="J178" s="321"/>
      <c r="K178" s="321"/>
    </row>
    <row r="179" spans="1:9" ht="30.75" customHeight="1">
      <c r="A179" s="12"/>
      <c r="B179" s="15"/>
      <c r="C179" s="255" t="s">
        <v>641</v>
      </c>
      <c r="D179" s="14" t="s">
        <v>642</v>
      </c>
      <c r="E179" s="119">
        <v>500</v>
      </c>
      <c r="F179" s="179"/>
      <c r="G179" s="119">
        <v>0</v>
      </c>
      <c r="H179" s="453"/>
      <c r="I179" s="348">
        <f t="shared" si="4"/>
        <v>0</v>
      </c>
    </row>
    <row r="180" spans="1:9" ht="20.25" customHeight="1">
      <c r="A180" s="12"/>
      <c r="B180" s="15"/>
      <c r="C180" s="255" t="s">
        <v>756</v>
      </c>
      <c r="D180" s="14" t="s">
        <v>757</v>
      </c>
      <c r="E180" s="94">
        <v>20000</v>
      </c>
      <c r="F180" s="179"/>
      <c r="G180" s="94">
        <v>29476.2</v>
      </c>
      <c r="H180" s="453"/>
      <c r="I180" s="348">
        <f t="shared" si="4"/>
        <v>147.381</v>
      </c>
    </row>
    <row r="181" spans="1:9" ht="66" customHeight="1">
      <c r="A181" s="12"/>
      <c r="B181" s="15"/>
      <c r="C181" s="255">
        <v>2010</v>
      </c>
      <c r="D181" s="14" t="s">
        <v>455</v>
      </c>
      <c r="E181" s="68">
        <v>262400</v>
      </c>
      <c r="F181" s="134">
        <v>262400</v>
      </c>
      <c r="G181" s="68">
        <v>248400</v>
      </c>
      <c r="H181" s="338">
        <v>248400</v>
      </c>
      <c r="I181" s="348">
        <f t="shared" si="4"/>
        <v>94.66463414634147</v>
      </c>
    </row>
    <row r="182" spans="1:9" ht="45.75" customHeight="1">
      <c r="A182" s="12"/>
      <c r="B182" s="15"/>
      <c r="C182" s="255">
        <v>2030</v>
      </c>
      <c r="D182" s="14" t="s">
        <v>606</v>
      </c>
      <c r="E182" s="68">
        <v>2574672</v>
      </c>
      <c r="F182" s="179"/>
      <c r="G182" s="68">
        <v>2574672</v>
      </c>
      <c r="H182" s="453"/>
      <c r="I182" s="348">
        <f t="shared" si="4"/>
        <v>100</v>
      </c>
    </row>
    <row r="183" spans="1:9" ht="32.25" customHeight="1">
      <c r="A183" s="16">
        <v>853</v>
      </c>
      <c r="B183" s="17"/>
      <c r="C183" s="262"/>
      <c r="D183" s="18" t="s">
        <v>523</v>
      </c>
      <c r="E183" s="45">
        <f>E184+E190</f>
        <v>7071713</v>
      </c>
      <c r="F183" s="122"/>
      <c r="G183" s="45">
        <f>G184+G190</f>
        <v>6873410.72</v>
      </c>
      <c r="H183" s="348"/>
      <c r="I183" s="444">
        <f t="shared" si="4"/>
        <v>97.1958381229555</v>
      </c>
    </row>
    <row r="184" spans="1:11" s="69" customFormat="1" ht="20.25" customHeight="1">
      <c r="A184" s="43"/>
      <c r="B184" s="32">
        <v>85305</v>
      </c>
      <c r="C184" s="258"/>
      <c r="D184" s="46" t="s">
        <v>643</v>
      </c>
      <c r="E184" s="124">
        <f>SUM(E185:E189)</f>
        <v>445390</v>
      </c>
      <c r="F184" s="189"/>
      <c r="G184" s="124">
        <f>SUM(G185:G189)</f>
        <v>364544.62</v>
      </c>
      <c r="H184" s="456"/>
      <c r="I184" s="348">
        <f t="shared" si="4"/>
        <v>81.84840701407755</v>
      </c>
      <c r="J184" s="321"/>
      <c r="K184" s="321"/>
    </row>
    <row r="185" spans="1:11" s="69" customFormat="1" ht="20.25" customHeight="1">
      <c r="A185" s="43"/>
      <c r="B185" s="38"/>
      <c r="C185" s="255" t="s">
        <v>549</v>
      </c>
      <c r="D185" s="14" t="s">
        <v>550</v>
      </c>
      <c r="E185" s="124"/>
      <c r="F185" s="223"/>
      <c r="G185" s="124">
        <v>600</v>
      </c>
      <c r="H185" s="625"/>
      <c r="I185" s="348"/>
      <c r="J185" s="321"/>
      <c r="K185" s="321"/>
    </row>
    <row r="186" spans="1:9" ht="88.5" customHeight="1">
      <c r="A186" s="12"/>
      <c r="B186" s="15"/>
      <c r="C186" s="255" t="s">
        <v>556</v>
      </c>
      <c r="D186" s="14" t="s">
        <v>449</v>
      </c>
      <c r="E186" s="68">
        <v>25411</v>
      </c>
      <c r="F186" s="179"/>
      <c r="G186" s="68">
        <v>21175.8</v>
      </c>
      <c r="H186" s="453"/>
      <c r="I186" s="348">
        <f t="shared" si="4"/>
        <v>83.33320215654638</v>
      </c>
    </row>
    <row r="187" spans="1:9" ht="15.75" customHeight="1">
      <c r="A187" s="12"/>
      <c r="B187" s="15"/>
      <c r="C187" s="255" t="s">
        <v>552</v>
      </c>
      <c r="D187" s="14" t="s">
        <v>553</v>
      </c>
      <c r="E187" s="68">
        <v>418924</v>
      </c>
      <c r="F187" s="179"/>
      <c r="G187" s="68">
        <v>340182.81</v>
      </c>
      <c r="H187" s="453"/>
      <c r="I187" s="348">
        <f t="shared" si="4"/>
        <v>81.20394391345447</v>
      </c>
    </row>
    <row r="188" spans="1:9" ht="15.75" customHeight="1">
      <c r="A188" s="12"/>
      <c r="B188" s="15"/>
      <c r="C188" s="255" t="s">
        <v>454</v>
      </c>
      <c r="D188" s="14" t="s">
        <v>298</v>
      </c>
      <c r="E188" s="68">
        <v>310</v>
      </c>
      <c r="F188" s="179"/>
      <c r="G188" s="68">
        <v>384.36</v>
      </c>
      <c r="H188" s="453"/>
      <c r="I188" s="348">
        <f t="shared" si="4"/>
        <v>123.98709677419355</v>
      </c>
    </row>
    <row r="189" spans="1:9" ht="18.75" customHeight="1">
      <c r="A189" s="12"/>
      <c r="B189" s="15"/>
      <c r="C189" s="255" t="s">
        <v>756</v>
      </c>
      <c r="D189" s="14" t="s">
        <v>757</v>
      </c>
      <c r="E189" s="68">
        <v>745</v>
      </c>
      <c r="F189" s="179"/>
      <c r="G189" s="68">
        <v>2201.65</v>
      </c>
      <c r="H189" s="453"/>
      <c r="I189" s="348">
        <f t="shared" si="4"/>
        <v>295.5234899328859</v>
      </c>
    </row>
    <row r="190" spans="1:11" s="69" customFormat="1" ht="26.25" customHeight="1">
      <c r="A190" s="43"/>
      <c r="B190" s="129">
        <v>85395</v>
      </c>
      <c r="C190" s="254"/>
      <c r="D190" s="46" t="s">
        <v>494</v>
      </c>
      <c r="E190" s="124">
        <f>SUM(E191:E196)</f>
        <v>6626323</v>
      </c>
      <c r="F190" s="223"/>
      <c r="G190" s="124">
        <f>SUM(G191:G196)</f>
        <v>6508866.1</v>
      </c>
      <c r="H190" s="625"/>
      <c r="I190" s="348">
        <f t="shared" si="4"/>
        <v>98.2274196413305</v>
      </c>
      <c r="J190" s="321"/>
      <c r="K190" s="321"/>
    </row>
    <row r="191" spans="1:11" s="69" customFormat="1" ht="26.25" customHeight="1">
      <c r="A191" s="43"/>
      <c r="B191" s="38"/>
      <c r="C191" s="255" t="s">
        <v>540</v>
      </c>
      <c r="D191" s="14" t="s">
        <v>757</v>
      </c>
      <c r="E191" s="124"/>
      <c r="F191" s="223"/>
      <c r="G191" s="68">
        <v>5.7</v>
      </c>
      <c r="H191" s="625"/>
      <c r="I191" s="348"/>
      <c r="J191" s="321"/>
      <c r="K191" s="321"/>
    </row>
    <row r="192" spans="1:11" s="69" customFormat="1" ht="19.5" customHeight="1">
      <c r="A192" s="43"/>
      <c r="B192" s="38"/>
      <c r="C192" s="255" t="s">
        <v>541</v>
      </c>
      <c r="D192" s="14" t="s">
        <v>757</v>
      </c>
      <c r="E192" s="124"/>
      <c r="F192" s="223"/>
      <c r="G192" s="68">
        <v>0.3</v>
      </c>
      <c r="H192" s="625"/>
      <c r="I192" s="348"/>
      <c r="J192" s="321"/>
      <c r="K192" s="321"/>
    </row>
    <row r="193" spans="1:11" s="69" customFormat="1" ht="81" customHeight="1">
      <c r="A193" s="43"/>
      <c r="B193" s="38"/>
      <c r="C193" s="252">
        <v>2007</v>
      </c>
      <c r="D193" s="14" t="s">
        <v>761</v>
      </c>
      <c r="E193" s="68">
        <v>4486251.21</v>
      </c>
      <c r="F193" s="223"/>
      <c r="G193" s="68">
        <v>4284415.45</v>
      </c>
      <c r="H193" s="625"/>
      <c r="I193" s="348">
        <f t="shared" si="4"/>
        <v>95.5010152006178</v>
      </c>
      <c r="J193" s="321"/>
      <c r="K193" s="321"/>
    </row>
    <row r="194" spans="1:9" ht="77.25" customHeight="1">
      <c r="A194" s="12"/>
      <c r="B194" s="15"/>
      <c r="C194" s="252">
        <v>2009</v>
      </c>
      <c r="D194" s="14" t="s">
        <v>761</v>
      </c>
      <c r="E194" s="68">
        <v>465891.87</v>
      </c>
      <c r="F194" s="179"/>
      <c r="G194" s="68">
        <v>390214.51</v>
      </c>
      <c r="H194" s="453"/>
      <c r="I194" s="348">
        <f t="shared" si="4"/>
        <v>83.75645404587121</v>
      </c>
    </row>
    <row r="195" spans="1:9" ht="77.25" customHeight="1">
      <c r="A195" s="12"/>
      <c r="B195" s="15"/>
      <c r="C195" s="252">
        <v>6207</v>
      </c>
      <c r="D195" s="14" t="s">
        <v>610</v>
      </c>
      <c r="E195" s="68">
        <v>1433610.41</v>
      </c>
      <c r="F195" s="179"/>
      <c r="G195" s="68">
        <v>1595409.37</v>
      </c>
      <c r="H195" s="453"/>
      <c r="I195" s="348">
        <f t="shared" si="4"/>
        <v>111.28611782332133</v>
      </c>
    </row>
    <row r="196" spans="1:9" ht="81.75" customHeight="1">
      <c r="A196" s="12"/>
      <c r="B196" s="15"/>
      <c r="C196" s="252">
        <v>6209</v>
      </c>
      <c r="D196" s="14" t="s">
        <v>610</v>
      </c>
      <c r="E196" s="68">
        <v>240569.51</v>
      </c>
      <c r="F196" s="179"/>
      <c r="G196" s="68">
        <v>238820.77</v>
      </c>
      <c r="H196" s="453"/>
      <c r="I196" s="348">
        <f t="shared" si="4"/>
        <v>99.27308327643016</v>
      </c>
    </row>
    <row r="197" spans="1:11" s="71" customFormat="1" ht="30.75" customHeight="1">
      <c r="A197" s="16">
        <v>854</v>
      </c>
      <c r="B197" s="21"/>
      <c r="C197" s="241"/>
      <c r="D197" s="18" t="s">
        <v>309</v>
      </c>
      <c r="E197" s="45">
        <f>E198+E200</f>
        <v>910128</v>
      </c>
      <c r="F197" s="233"/>
      <c r="G197" s="45">
        <f>G198+G200</f>
        <v>693763.71</v>
      </c>
      <c r="H197" s="633"/>
      <c r="I197" s="444">
        <f t="shared" si="4"/>
        <v>76.22704828331838</v>
      </c>
      <c r="J197" s="70"/>
      <c r="K197" s="70"/>
    </row>
    <row r="198" spans="1:11" s="71" customFormat="1" ht="30.75" customHeight="1">
      <c r="A198" s="67"/>
      <c r="B198" s="32">
        <v>85401</v>
      </c>
      <c r="C198" s="254"/>
      <c r="D198" s="46" t="s">
        <v>695</v>
      </c>
      <c r="E198" s="124">
        <f>E199</f>
        <v>0</v>
      </c>
      <c r="F198" s="223"/>
      <c r="G198" s="124">
        <f>G199</f>
        <v>15.75</v>
      </c>
      <c r="H198" s="633"/>
      <c r="I198" s="348"/>
      <c r="J198" s="70"/>
      <c r="K198" s="70"/>
    </row>
    <row r="199" spans="1:11" s="71" customFormat="1" ht="21.75" customHeight="1">
      <c r="A199" s="67"/>
      <c r="B199" s="16"/>
      <c r="C199" s="259" t="s">
        <v>756</v>
      </c>
      <c r="D199" s="14" t="s">
        <v>757</v>
      </c>
      <c r="E199" s="68"/>
      <c r="F199" s="179"/>
      <c r="G199" s="68">
        <v>15.75</v>
      </c>
      <c r="H199" s="633"/>
      <c r="I199" s="348"/>
      <c r="J199" s="70"/>
      <c r="K199" s="70"/>
    </row>
    <row r="200" spans="1:11" s="69" customFormat="1" ht="24.75" customHeight="1">
      <c r="A200" s="43"/>
      <c r="B200" s="32">
        <v>85415</v>
      </c>
      <c r="C200" s="254"/>
      <c r="D200" s="46" t="s">
        <v>444</v>
      </c>
      <c r="E200" s="124">
        <f>E201</f>
        <v>910128</v>
      </c>
      <c r="F200" s="223"/>
      <c r="G200" s="124">
        <f>G201</f>
        <v>693747.96</v>
      </c>
      <c r="H200" s="625"/>
      <c r="I200" s="348">
        <f t="shared" si="4"/>
        <v>76.22531775750224</v>
      </c>
      <c r="J200" s="321"/>
      <c r="K200" s="321"/>
    </row>
    <row r="201" spans="1:9" ht="45.75" customHeight="1">
      <c r="A201" s="12"/>
      <c r="B201" s="15"/>
      <c r="C201" s="255">
        <v>2030</v>
      </c>
      <c r="D201" s="14" t="s">
        <v>606</v>
      </c>
      <c r="E201" s="68">
        <v>910128</v>
      </c>
      <c r="F201" s="179"/>
      <c r="G201" s="68">
        <v>693747.96</v>
      </c>
      <c r="H201" s="453"/>
      <c r="I201" s="348">
        <f t="shared" si="4"/>
        <v>76.22531775750224</v>
      </c>
    </row>
    <row r="202" spans="1:9" ht="32.25" customHeight="1">
      <c r="A202" s="16">
        <v>900</v>
      </c>
      <c r="B202" s="16"/>
      <c r="C202" s="241"/>
      <c r="D202" s="18" t="s">
        <v>502</v>
      </c>
      <c r="E202" s="45">
        <f>E203+E206+E208+E210</f>
        <v>6363654</v>
      </c>
      <c r="F202" s="134"/>
      <c r="G202" s="45">
        <f>G203+G206+G208+G210</f>
        <v>8074933.64</v>
      </c>
      <c r="H202" s="338"/>
      <c r="I202" s="348">
        <f t="shared" si="4"/>
        <v>126.89146267223201</v>
      </c>
    </row>
    <row r="203" spans="1:11" s="69" customFormat="1" ht="28.5" customHeight="1">
      <c r="A203" s="47"/>
      <c r="B203" s="61">
        <v>90015</v>
      </c>
      <c r="C203" s="32"/>
      <c r="D203" s="33" t="s">
        <v>486</v>
      </c>
      <c r="E203" s="124">
        <f>SUM(E204:E205)</f>
        <v>0</v>
      </c>
      <c r="F203" s="223"/>
      <c r="G203" s="124">
        <f>SUM(G204:G205)</f>
        <v>4664.51</v>
      </c>
      <c r="H203" s="625"/>
      <c r="I203" s="348"/>
      <c r="J203" s="321"/>
      <c r="K203" s="321"/>
    </row>
    <row r="204" spans="1:9" ht="39" customHeight="1">
      <c r="A204" s="23"/>
      <c r="B204" s="12"/>
      <c r="C204" s="259" t="s">
        <v>686</v>
      </c>
      <c r="D204" s="14" t="s">
        <v>458</v>
      </c>
      <c r="E204" s="68"/>
      <c r="F204" s="179"/>
      <c r="G204" s="68">
        <v>2850</v>
      </c>
      <c r="H204" s="453"/>
      <c r="I204" s="348"/>
    </row>
    <row r="205" spans="1:9" ht="27" customHeight="1">
      <c r="A205" s="23"/>
      <c r="B205" s="12"/>
      <c r="C205" s="259" t="s">
        <v>756</v>
      </c>
      <c r="D205" s="14" t="s">
        <v>757</v>
      </c>
      <c r="E205" s="68"/>
      <c r="F205" s="179"/>
      <c r="G205" s="68">
        <v>1814.51</v>
      </c>
      <c r="H205" s="453"/>
      <c r="I205" s="348"/>
    </row>
    <row r="206" spans="1:11" s="69" customFormat="1" ht="42" customHeight="1">
      <c r="A206" s="43"/>
      <c r="B206" s="32">
        <v>90019</v>
      </c>
      <c r="C206" s="254"/>
      <c r="D206" s="46" t="s">
        <v>811</v>
      </c>
      <c r="E206" s="124">
        <f>SUM(E207:E207)</f>
        <v>6000000</v>
      </c>
      <c r="F206" s="223"/>
      <c r="G206" s="124">
        <f>SUM(G207:G207)</f>
        <v>7622275.63</v>
      </c>
      <c r="H206" s="625"/>
      <c r="I206" s="348">
        <f t="shared" si="4"/>
        <v>127.03792716666666</v>
      </c>
      <c r="J206" s="321"/>
      <c r="K206" s="321"/>
    </row>
    <row r="207" spans="1:9" ht="23.25" customHeight="1">
      <c r="A207" s="23"/>
      <c r="B207" s="12"/>
      <c r="C207" s="259" t="s">
        <v>549</v>
      </c>
      <c r="D207" s="14" t="s">
        <v>550</v>
      </c>
      <c r="E207" s="68">
        <v>6000000</v>
      </c>
      <c r="F207" s="179"/>
      <c r="G207" s="68">
        <v>7622275.63</v>
      </c>
      <c r="H207" s="453"/>
      <c r="I207" s="348">
        <f t="shared" si="4"/>
        <v>127.03792716666666</v>
      </c>
    </row>
    <row r="208" spans="1:11" s="69" customFormat="1" ht="43.5" customHeight="1">
      <c r="A208" s="47"/>
      <c r="B208" s="32">
        <v>90020</v>
      </c>
      <c r="C208" s="245"/>
      <c r="D208" s="46" t="s">
        <v>743</v>
      </c>
      <c r="E208" s="124">
        <f>E209</f>
        <v>0</v>
      </c>
      <c r="F208" s="223"/>
      <c r="G208" s="124">
        <f>G209</f>
        <v>52780.38</v>
      </c>
      <c r="H208" s="625"/>
      <c r="I208" s="348"/>
      <c r="J208" s="321"/>
      <c r="K208" s="321"/>
    </row>
    <row r="209" spans="1:9" ht="23.25" customHeight="1">
      <c r="A209" s="23"/>
      <c r="B209" s="6"/>
      <c r="C209" s="259" t="s">
        <v>744</v>
      </c>
      <c r="D209" s="14" t="s">
        <v>745</v>
      </c>
      <c r="E209" s="68"/>
      <c r="F209" s="179"/>
      <c r="G209" s="68">
        <v>52780.38</v>
      </c>
      <c r="H209" s="453"/>
      <c r="I209" s="348"/>
    </row>
    <row r="210" spans="1:11" s="69" customFormat="1" ht="18.75" customHeight="1">
      <c r="A210" s="43"/>
      <c r="B210" s="50">
        <v>90095</v>
      </c>
      <c r="C210" s="254"/>
      <c r="D210" s="46" t="s">
        <v>494</v>
      </c>
      <c r="E210" s="124">
        <f>SUM(E211:E220)</f>
        <v>363654</v>
      </c>
      <c r="F210" s="223"/>
      <c r="G210" s="124">
        <f>SUM(G211:G220)</f>
        <v>395213.12</v>
      </c>
      <c r="H210" s="625"/>
      <c r="I210" s="348">
        <f t="shared" si="4"/>
        <v>108.67833710065062</v>
      </c>
      <c r="J210" s="321"/>
      <c r="K210" s="321"/>
    </row>
    <row r="211" spans="1:11" s="69" customFormat="1" ht="30" customHeight="1">
      <c r="A211" s="43"/>
      <c r="B211" s="41"/>
      <c r="C211" s="255" t="s">
        <v>457</v>
      </c>
      <c r="D211" s="14" t="s">
        <v>318</v>
      </c>
      <c r="E211" s="124"/>
      <c r="F211" s="223"/>
      <c r="G211" s="68">
        <v>445.26</v>
      </c>
      <c r="H211" s="625"/>
      <c r="I211" s="348"/>
      <c r="J211" s="321"/>
      <c r="K211" s="321"/>
    </row>
    <row r="212" spans="1:11" s="69" customFormat="1" ht="42" customHeight="1">
      <c r="A212" s="43"/>
      <c r="B212" s="41"/>
      <c r="C212" s="259" t="s">
        <v>686</v>
      </c>
      <c r="D212" s="14" t="s">
        <v>458</v>
      </c>
      <c r="E212" s="68"/>
      <c r="F212" s="223"/>
      <c r="G212" s="68">
        <v>4606.35</v>
      </c>
      <c r="H212" s="625"/>
      <c r="I212" s="348"/>
      <c r="J212" s="321"/>
      <c r="K212" s="321"/>
    </row>
    <row r="213" spans="1:9" ht="18" customHeight="1">
      <c r="A213" s="12"/>
      <c r="B213" s="24"/>
      <c r="C213" s="259" t="s">
        <v>549</v>
      </c>
      <c r="D213" s="14" t="s">
        <v>550</v>
      </c>
      <c r="E213" s="68">
        <v>53000</v>
      </c>
      <c r="F213" s="179"/>
      <c r="G213" s="68">
        <v>58648.91</v>
      </c>
      <c r="H213" s="453"/>
      <c r="I213" s="348">
        <f t="shared" si="4"/>
        <v>110.65832075471698</v>
      </c>
    </row>
    <row r="214" spans="1:9" ht="17.25" customHeight="1">
      <c r="A214" s="12"/>
      <c r="B214" s="24"/>
      <c r="C214" s="259" t="s">
        <v>552</v>
      </c>
      <c r="D214" s="14" t="s">
        <v>553</v>
      </c>
      <c r="E214" s="68">
        <v>14000</v>
      </c>
      <c r="F214" s="179"/>
      <c r="G214" s="68">
        <v>14399</v>
      </c>
      <c r="H214" s="453"/>
      <c r="I214" s="348">
        <f t="shared" si="4"/>
        <v>102.85</v>
      </c>
    </row>
    <row r="215" spans="1:9" ht="28.5" customHeight="1">
      <c r="A215" s="12"/>
      <c r="B215" s="24"/>
      <c r="C215" s="259" t="s">
        <v>746</v>
      </c>
      <c r="D215" s="14" t="s">
        <v>747</v>
      </c>
      <c r="E215" s="68"/>
      <c r="F215" s="179"/>
      <c r="G215" s="68">
        <v>3820.9</v>
      </c>
      <c r="H215" s="453"/>
      <c r="I215" s="348"/>
    </row>
    <row r="216" spans="1:9" ht="28.5" customHeight="1">
      <c r="A216" s="12"/>
      <c r="B216" s="24"/>
      <c r="C216" s="260" t="s">
        <v>454</v>
      </c>
      <c r="D216" s="14" t="s">
        <v>298</v>
      </c>
      <c r="E216" s="68"/>
      <c r="F216" s="179"/>
      <c r="G216" s="68">
        <v>136.5</v>
      </c>
      <c r="H216" s="453"/>
      <c r="I216" s="348"/>
    </row>
    <row r="217" spans="1:9" ht="20.25" customHeight="1">
      <c r="A217" s="12"/>
      <c r="B217" s="24"/>
      <c r="C217" s="259" t="s">
        <v>756</v>
      </c>
      <c r="D217" s="14" t="s">
        <v>757</v>
      </c>
      <c r="E217" s="68">
        <v>100</v>
      </c>
      <c r="F217" s="179"/>
      <c r="G217" s="68">
        <v>16602.2</v>
      </c>
      <c r="H217" s="453"/>
      <c r="I217" s="348"/>
    </row>
    <row r="218" spans="1:9" ht="64.5" customHeight="1">
      <c r="A218" s="12"/>
      <c r="B218" s="24"/>
      <c r="C218" s="255">
        <v>2310</v>
      </c>
      <c r="D218" s="14" t="s">
        <v>317</v>
      </c>
      <c r="E218" s="68">
        <v>50000</v>
      </c>
      <c r="F218" s="179"/>
      <c r="G218" s="68">
        <v>50000</v>
      </c>
      <c r="H218" s="453"/>
      <c r="I218" s="348">
        <f aca="true" t="shared" si="5" ref="I218:I285">G218/E218*100</f>
        <v>100</v>
      </c>
    </row>
    <row r="219" spans="1:9" ht="66.75" customHeight="1">
      <c r="A219" s="12"/>
      <c r="B219" s="24"/>
      <c r="C219" s="260">
        <v>2320</v>
      </c>
      <c r="D219" s="3" t="s">
        <v>661</v>
      </c>
      <c r="E219" s="68">
        <v>50000</v>
      </c>
      <c r="F219" s="227"/>
      <c r="G219" s="68">
        <v>50000</v>
      </c>
      <c r="H219" s="626"/>
      <c r="I219" s="348">
        <f t="shared" si="5"/>
        <v>100</v>
      </c>
    </row>
    <row r="220" spans="1:9" ht="78.75" customHeight="1">
      <c r="A220" s="12"/>
      <c r="B220" s="24"/>
      <c r="C220" s="252">
        <v>6207</v>
      </c>
      <c r="D220" s="14" t="s">
        <v>610</v>
      </c>
      <c r="E220" s="68">
        <v>196554</v>
      </c>
      <c r="F220" s="227"/>
      <c r="G220" s="68">
        <v>196554</v>
      </c>
      <c r="H220" s="626"/>
      <c r="I220" s="348">
        <f t="shared" si="5"/>
        <v>100</v>
      </c>
    </row>
    <row r="221" spans="1:9" ht="29.25" customHeight="1">
      <c r="A221" s="16">
        <v>926</v>
      </c>
      <c r="B221" s="16"/>
      <c r="C221" s="241"/>
      <c r="D221" s="18" t="s">
        <v>772</v>
      </c>
      <c r="E221" s="85">
        <f>E222+E225</f>
        <v>2885800</v>
      </c>
      <c r="F221" s="134"/>
      <c r="G221" s="85">
        <f>G222+G225</f>
        <v>2835417.26</v>
      </c>
      <c r="H221" s="338"/>
      <c r="I221" s="444">
        <f t="shared" si="5"/>
        <v>98.25411532330722</v>
      </c>
    </row>
    <row r="222" spans="1:11" s="69" customFormat="1" ht="22.5" customHeight="1">
      <c r="A222" s="43"/>
      <c r="B222" s="42">
        <v>92601</v>
      </c>
      <c r="C222" s="258"/>
      <c r="D222" s="46" t="s">
        <v>517</v>
      </c>
      <c r="E222" s="125">
        <f>SUM(E223:E224)</f>
        <v>333000</v>
      </c>
      <c r="F222" s="223"/>
      <c r="G222" s="125">
        <f>SUM(G223:G224)</f>
        <v>392431.61</v>
      </c>
      <c r="H222" s="625"/>
      <c r="I222" s="348"/>
      <c r="J222" s="321"/>
      <c r="K222" s="321"/>
    </row>
    <row r="223" spans="1:11" s="69" customFormat="1" ht="39.75" customHeight="1">
      <c r="A223" s="47"/>
      <c r="B223" s="42"/>
      <c r="C223" s="259" t="s">
        <v>686</v>
      </c>
      <c r="D223" s="14" t="s">
        <v>458</v>
      </c>
      <c r="E223" s="125"/>
      <c r="F223" s="223"/>
      <c r="G223" s="125">
        <v>59431.61</v>
      </c>
      <c r="H223" s="625"/>
      <c r="I223" s="348"/>
      <c r="J223" s="321"/>
      <c r="K223" s="321"/>
    </row>
    <row r="224" spans="1:9" ht="56.25" customHeight="1">
      <c r="A224" s="23"/>
      <c r="B224" s="5"/>
      <c r="C224" s="259">
        <v>6330</v>
      </c>
      <c r="D224" s="14" t="s">
        <v>469</v>
      </c>
      <c r="E224" s="84">
        <v>333000</v>
      </c>
      <c r="F224" s="179"/>
      <c r="G224" s="84">
        <v>333000</v>
      </c>
      <c r="H224" s="453"/>
      <c r="I224" s="348">
        <f t="shared" si="5"/>
        <v>100</v>
      </c>
    </row>
    <row r="225" spans="1:11" s="69" customFormat="1" ht="22.5" customHeight="1">
      <c r="A225" s="43"/>
      <c r="B225" s="50">
        <v>92604</v>
      </c>
      <c r="C225" s="258"/>
      <c r="D225" s="46" t="s">
        <v>645</v>
      </c>
      <c r="E225" s="125">
        <f>SUM(E226:E230)</f>
        <v>2552800</v>
      </c>
      <c r="F225" s="223"/>
      <c r="G225" s="125">
        <f>SUM(G226:G230)</f>
        <v>2442985.65</v>
      </c>
      <c r="H225" s="625"/>
      <c r="I225" s="348">
        <f t="shared" si="5"/>
        <v>95.69827836101535</v>
      </c>
      <c r="J225" s="321"/>
      <c r="K225" s="321"/>
    </row>
    <row r="226" spans="1:9" ht="87" customHeight="1">
      <c r="A226" s="12"/>
      <c r="B226" s="24"/>
      <c r="C226" s="260" t="s">
        <v>556</v>
      </c>
      <c r="D226" s="14" t="s">
        <v>449</v>
      </c>
      <c r="E226" s="68">
        <v>321000</v>
      </c>
      <c r="F226" s="179"/>
      <c r="G226" s="68">
        <v>370724.8</v>
      </c>
      <c r="H226" s="453"/>
      <c r="I226" s="348">
        <f t="shared" si="5"/>
        <v>115.49059190031153</v>
      </c>
    </row>
    <row r="227" spans="1:9" ht="18.75" customHeight="1">
      <c r="A227" s="12"/>
      <c r="B227" s="24"/>
      <c r="C227" s="260" t="s">
        <v>552</v>
      </c>
      <c r="D227" s="14" t="s">
        <v>553</v>
      </c>
      <c r="E227" s="68">
        <v>2070000</v>
      </c>
      <c r="F227" s="179"/>
      <c r="G227" s="68">
        <v>2021296.39</v>
      </c>
      <c r="H227" s="453"/>
      <c r="I227" s="348">
        <f t="shared" si="5"/>
        <v>97.6471685990338</v>
      </c>
    </row>
    <row r="228" spans="1:9" ht="28.5" customHeight="1">
      <c r="A228" s="12"/>
      <c r="B228" s="24"/>
      <c r="C228" s="259" t="s">
        <v>746</v>
      </c>
      <c r="D228" s="14" t="s">
        <v>747</v>
      </c>
      <c r="E228" s="68"/>
      <c r="F228" s="179"/>
      <c r="G228" s="68">
        <v>292</v>
      </c>
      <c r="H228" s="453"/>
      <c r="I228" s="348"/>
    </row>
    <row r="229" spans="1:9" ht="18.75" customHeight="1">
      <c r="A229" s="12"/>
      <c r="B229" s="24"/>
      <c r="C229" s="260" t="s">
        <v>454</v>
      </c>
      <c r="D229" s="14" t="s">
        <v>298</v>
      </c>
      <c r="E229" s="68">
        <v>1800</v>
      </c>
      <c r="F229" s="179"/>
      <c r="G229" s="68">
        <v>1660.4</v>
      </c>
      <c r="H229" s="453"/>
      <c r="I229" s="348">
        <f t="shared" si="5"/>
        <v>92.24444444444445</v>
      </c>
    </row>
    <row r="230" spans="1:9" ht="21.75" customHeight="1">
      <c r="A230" s="5"/>
      <c r="B230" s="24"/>
      <c r="C230" s="260" t="s">
        <v>756</v>
      </c>
      <c r="D230" s="14" t="s">
        <v>757</v>
      </c>
      <c r="E230" s="68">
        <v>160000</v>
      </c>
      <c r="F230" s="227"/>
      <c r="G230" s="68">
        <v>49012.06</v>
      </c>
      <c r="H230" s="626"/>
      <c r="I230" s="348">
        <f t="shared" si="5"/>
        <v>30.6325375</v>
      </c>
    </row>
    <row r="231" spans="1:18" ht="24" customHeight="1">
      <c r="A231" s="638" t="s">
        <v>646</v>
      </c>
      <c r="B231" s="639"/>
      <c r="C231" s="640"/>
      <c r="D231" s="641"/>
      <c r="E231" s="642">
        <f>E13+E16+E26+E40+E43+E55+E62+E98+E116+E58+E143+E149+E183+E197+E202+E221</f>
        <v>261005076.31</v>
      </c>
      <c r="F231" s="643">
        <f>F13+F16+F26+F40+F43+F55+F62+F98+F116+F58+F143+F149+F183+F197+F202+F221</f>
        <v>21991438</v>
      </c>
      <c r="G231" s="642">
        <f>G13+G16+G26+G40+G43+G55+G62+G98+G116+G58+G143+G149+G183+G197+G202+G221</f>
        <v>260151650.88</v>
      </c>
      <c r="H231" s="644">
        <f>H13+H16+H26+H40+H43+H55+H62+H98+H116+H58+H143+H149+H183+H197+H202+H221</f>
        <v>21710823.62</v>
      </c>
      <c r="I231" s="444">
        <f t="shared" si="5"/>
        <v>99.67302343614712</v>
      </c>
      <c r="L231" s="319"/>
      <c r="M231" s="65"/>
      <c r="N231" s="319"/>
      <c r="O231" s="65"/>
      <c r="P231" s="65"/>
      <c r="Q231" s="65"/>
      <c r="R231" s="65"/>
    </row>
    <row r="232" spans="1:9" ht="27" customHeight="1">
      <c r="A232" s="7" t="s">
        <v>520</v>
      </c>
      <c r="B232" s="21"/>
      <c r="C232" s="253"/>
      <c r="D232" s="1"/>
      <c r="E232" s="55"/>
      <c r="F232" s="238"/>
      <c r="G232" s="55"/>
      <c r="H232" s="624"/>
      <c r="I232" s="337"/>
    </row>
    <row r="233" spans="1:9" ht="27" customHeight="1">
      <c r="A233" s="87" t="s">
        <v>291</v>
      </c>
      <c r="B233" s="88"/>
      <c r="C233" s="9"/>
      <c r="D233" s="137" t="s">
        <v>292</v>
      </c>
      <c r="E233" s="231">
        <f>E234</f>
        <v>600</v>
      </c>
      <c r="F233" s="112"/>
      <c r="G233" s="231">
        <f>G234</f>
        <v>1195.19</v>
      </c>
      <c r="H233" s="344"/>
      <c r="I233" s="444"/>
    </row>
    <row r="234" spans="1:9" ht="27" customHeight="1">
      <c r="A234" s="317"/>
      <c r="B234" s="141" t="s">
        <v>293</v>
      </c>
      <c r="C234" s="32"/>
      <c r="D234" s="33" t="s">
        <v>494</v>
      </c>
      <c r="E234" s="37">
        <f>E235</f>
        <v>600</v>
      </c>
      <c r="F234" s="132"/>
      <c r="G234" s="37">
        <f>G235</f>
        <v>1195.19</v>
      </c>
      <c r="H234" s="634"/>
      <c r="I234" s="348"/>
    </row>
    <row r="235" spans="1:9" ht="88.5" customHeight="1">
      <c r="A235" s="239"/>
      <c r="B235" s="17"/>
      <c r="C235" s="260" t="s">
        <v>556</v>
      </c>
      <c r="D235" s="14" t="s">
        <v>449</v>
      </c>
      <c r="E235" s="35">
        <v>600</v>
      </c>
      <c r="F235" s="115"/>
      <c r="G235" s="35">
        <v>1195.19</v>
      </c>
      <c r="H235" s="340"/>
      <c r="I235" s="348"/>
    </row>
    <row r="236" spans="1:9" ht="27" customHeight="1">
      <c r="A236" s="363">
        <v>600</v>
      </c>
      <c r="B236" s="16"/>
      <c r="C236" s="255"/>
      <c r="D236" s="44" t="s">
        <v>87</v>
      </c>
      <c r="E236" s="35">
        <f>E237+E244</f>
        <v>3374001.84</v>
      </c>
      <c r="F236" s="112"/>
      <c r="G236" s="35">
        <f>G237+G244</f>
        <v>14285500.14</v>
      </c>
      <c r="H236" s="344"/>
      <c r="I236" s="348">
        <f t="shared" si="5"/>
        <v>423.3992990353556</v>
      </c>
    </row>
    <row r="237" spans="1:11" s="69" customFormat="1" ht="27" customHeight="1">
      <c r="A237" s="247"/>
      <c r="B237" s="36">
        <v>60015</v>
      </c>
      <c r="C237" s="254"/>
      <c r="D237" s="33" t="s">
        <v>647</v>
      </c>
      <c r="E237" s="37">
        <f>SUM(E238:E243)</f>
        <v>2974001.84</v>
      </c>
      <c r="F237" s="132"/>
      <c r="G237" s="37">
        <f>SUM(G238:G243)</f>
        <v>13843568.64</v>
      </c>
      <c r="H237" s="634"/>
      <c r="I237" s="348">
        <f t="shared" si="5"/>
        <v>465.48621637705514</v>
      </c>
      <c r="J237" s="321"/>
      <c r="K237" s="321"/>
    </row>
    <row r="238" spans="1:11" s="69" customFormat="1" ht="30" customHeight="1">
      <c r="A238" s="459"/>
      <c r="B238" s="42"/>
      <c r="C238" s="259" t="s">
        <v>457</v>
      </c>
      <c r="D238" s="14" t="s">
        <v>318</v>
      </c>
      <c r="E238" s="37"/>
      <c r="F238" s="132"/>
      <c r="G238" s="314">
        <v>3247</v>
      </c>
      <c r="H238" s="634"/>
      <c r="I238" s="348"/>
      <c r="J238" s="321"/>
      <c r="K238" s="321"/>
    </row>
    <row r="239" spans="1:11" s="69" customFormat="1" ht="40.5" customHeight="1">
      <c r="A239" s="459"/>
      <c r="B239" s="43"/>
      <c r="C239" s="259" t="s">
        <v>686</v>
      </c>
      <c r="D239" s="14" t="s">
        <v>458</v>
      </c>
      <c r="E239" s="37"/>
      <c r="F239" s="132"/>
      <c r="G239" s="120">
        <v>69540</v>
      </c>
      <c r="H239" s="634"/>
      <c r="I239" s="348"/>
      <c r="J239" s="321"/>
      <c r="K239" s="321"/>
    </row>
    <row r="240" spans="1:11" s="69" customFormat="1" ht="21.75" customHeight="1">
      <c r="A240" s="459"/>
      <c r="B240" s="43"/>
      <c r="C240" s="260" t="s">
        <v>454</v>
      </c>
      <c r="D240" s="14" t="s">
        <v>298</v>
      </c>
      <c r="E240" s="37"/>
      <c r="F240" s="132"/>
      <c r="G240" s="120">
        <v>3079273.31</v>
      </c>
      <c r="H240" s="634"/>
      <c r="I240" s="348"/>
      <c r="J240" s="321"/>
      <c r="K240" s="321"/>
    </row>
    <row r="241" spans="1:9" ht="22.5" customHeight="1">
      <c r="A241" s="366"/>
      <c r="B241" s="67"/>
      <c r="C241" s="260" t="s">
        <v>756</v>
      </c>
      <c r="D241" s="14" t="s">
        <v>757</v>
      </c>
      <c r="E241" s="35">
        <v>5430</v>
      </c>
      <c r="F241" s="115"/>
      <c r="G241" s="120">
        <f>212600+5430.26</f>
        <v>218030.26</v>
      </c>
      <c r="H241" s="340"/>
      <c r="I241" s="348"/>
    </row>
    <row r="242" spans="1:9" ht="77.25" customHeight="1">
      <c r="A242" s="366"/>
      <c r="B242" s="67"/>
      <c r="C242" s="260">
        <v>6207</v>
      </c>
      <c r="D242" s="14" t="s">
        <v>610</v>
      </c>
      <c r="E242" s="68">
        <v>2968571.84</v>
      </c>
      <c r="F242" s="227"/>
      <c r="G242" s="68">
        <v>2968571.84</v>
      </c>
      <c r="H242" s="626"/>
      <c r="I242" s="348">
        <f t="shared" si="5"/>
        <v>100</v>
      </c>
    </row>
    <row r="243" spans="1:9" ht="77.25" customHeight="1">
      <c r="A243" s="366"/>
      <c r="B243" s="9"/>
      <c r="C243" s="252" t="s">
        <v>431</v>
      </c>
      <c r="D243" s="14" t="s">
        <v>465</v>
      </c>
      <c r="E243" s="68"/>
      <c r="F243" s="227"/>
      <c r="G243" s="68">
        <v>7504906.23</v>
      </c>
      <c r="H243" s="626"/>
      <c r="I243" s="348"/>
    </row>
    <row r="244" spans="1:11" s="69" customFormat="1" ht="25.5" customHeight="1">
      <c r="A244" s="455"/>
      <c r="B244" s="48">
        <v>60095</v>
      </c>
      <c r="C244" s="258"/>
      <c r="D244" s="49" t="s">
        <v>494</v>
      </c>
      <c r="E244" s="124">
        <f>SUM(E245:E245)</f>
        <v>400000</v>
      </c>
      <c r="F244" s="228"/>
      <c r="G244" s="124">
        <f>SUM(G245:G245)</f>
        <v>441931.5</v>
      </c>
      <c r="H244" s="628"/>
      <c r="I244" s="348">
        <f t="shared" si="5"/>
        <v>110.482875</v>
      </c>
      <c r="J244" s="321"/>
      <c r="K244" s="321"/>
    </row>
    <row r="245" spans="1:9" ht="21.75" customHeight="1">
      <c r="A245" s="457"/>
      <c r="B245" s="9"/>
      <c r="C245" s="259" t="s">
        <v>549</v>
      </c>
      <c r="D245" s="14" t="s">
        <v>550</v>
      </c>
      <c r="E245" s="119">
        <v>400000</v>
      </c>
      <c r="F245" s="227"/>
      <c r="G245" s="119">
        <v>441931.5</v>
      </c>
      <c r="H245" s="626"/>
      <c r="I245" s="348">
        <f t="shared" si="5"/>
        <v>110.482875</v>
      </c>
    </row>
    <row r="246" spans="1:11" s="243" customFormat="1" ht="21.75" customHeight="1">
      <c r="A246" s="545">
        <v>630</v>
      </c>
      <c r="B246" s="10"/>
      <c r="C246" s="544"/>
      <c r="D246" s="11" t="s">
        <v>791</v>
      </c>
      <c r="E246" s="220">
        <f>E247</f>
        <v>1729072.18</v>
      </c>
      <c r="F246" s="248"/>
      <c r="G246" s="220">
        <f>G247</f>
        <v>1729072.18</v>
      </c>
      <c r="H246" s="627"/>
      <c r="I246" s="444">
        <f t="shared" si="5"/>
        <v>100</v>
      </c>
      <c r="J246" s="458"/>
      <c r="K246" s="458"/>
    </row>
    <row r="247" spans="1:11" s="163" customFormat="1" ht="21.75" customHeight="1">
      <c r="A247" s="543"/>
      <c r="B247" s="50">
        <v>63095</v>
      </c>
      <c r="C247" s="546"/>
      <c r="D247" s="49" t="s">
        <v>494</v>
      </c>
      <c r="E247" s="335">
        <f>E248</f>
        <v>1729072.18</v>
      </c>
      <c r="F247" s="228"/>
      <c r="G247" s="335">
        <f>G248</f>
        <v>1729072.18</v>
      </c>
      <c r="H247" s="628"/>
      <c r="I247" s="348">
        <f t="shared" si="5"/>
        <v>100</v>
      </c>
      <c r="J247" s="322"/>
      <c r="K247" s="322"/>
    </row>
    <row r="248" spans="1:9" ht="67.5" customHeight="1">
      <c r="A248" s="239"/>
      <c r="B248" s="16"/>
      <c r="C248" s="264" t="s">
        <v>431</v>
      </c>
      <c r="D248" s="4" t="s">
        <v>432</v>
      </c>
      <c r="E248" s="119">
        <v>1729072.18</v>
      </c>
      <c r="F248" s="227"/>
      <c r="G248" s="119">
        <v>1729072.18</v>
      </c>
      <c r="H248" s="626"/>
      <c r="I248" s="348">
        <f t="shared" si="5"/>
        <v>100</v>
      </c>
    </row>
    <row r="249" spans="1:9" ht="21" customHeight="1">
      <c r="A249" s="9">
        <v>700</v>
      </c>
      <c r="B249" s="10"/>
      <c r="C249" s="256"/>
      <c r="D249" s="11" t="s">
        <v>89</v>
      </c>
      <c r="E249" s="45">
        <f>E250</f>
        <v>866500</v>
      </c>
      <c r="F249" s="45">
        <f>F250</f>
        <v>50000</v>
      </c>
      <c r="G249" s="45">
        <f>G250</f>
        <v>769285.72</v>
      </c>
      <c r="H249" s="339">
        <f>H250</f>
        <v>35106.59</v>
      </c>
      <c r="I249" s="444">
        <f t="shared" si="5"/>
        <v>88.78081015579919</v>
      </c>
    </row>
    <row r="250" spans="1:11" s="69" customFormat="1" ht="27.75" customHeight="1">
      <c r="A250" s="43"/>
      <c r="B250" s="31">
        <v>70005</v>
      </c>
      <c r="C250" s="254"/>
      <c r="D250" s="46" t="s">
        <v>493</v>
      </c>
      <c r="E250" s="124">
        <f>SUM(E251:E252)</f>
        <v>866500</v>
      </c>
      <c r="F250" s="175">
        <f>SUM(F251:F252)</f>
        <v>50000</v>
      </c>
      <c r="G250" s="124">
        <f>SUM(G251:G252)</f>
        <v>769285.72</v>
      </c>
      <c r="H250" s="631">
        <f>SUM(H251:H252)</f>
        <v>35106.59</v>
      </c>
      <c r="I250" s="348">
        <f t="shared" si="5"/>
        <v>88.78081015579919</v>
      </c>
      <c r="J250" s="321"/>
      <c r="K250" s="321"/>
    </row>
    <row r="251" spans="1:9" ht="64.5" customHeight="1">
      <c r="A251" s="12"/>
      <c r="B251" s="15"/>
      <c r="C251" s="255">
        <v>2110</v>
      </c>
      <c r="D251" s="14" t="s">
        <v>648</v>
      </c>
      <c r="E251" s="68">
        <v>50000</v>
      </c>
      <c r="F251" s="121">
        <v>50000</v>
      </c>
      <c r="G251" s="68">
        <v>35106.59</v>
      </c>
      <c r="H251" s="337">
        <v>35106.59</v>
      </c>
      <c r="I251" s="348">
        <f t="shared" si="5"/>
        <v>70.21318</v>
      </c>
    </row>
    <row r="252" spans="1:9" ht="66.75" customHeight="1">
      <c r="A252" s="12"/>
      <c r="B252" s="15"/>
      <c r="C252" s="255">
        <v>2360</v>
      </c>
      <c r="D252" s="14" t="s">
        <v>456</v>
      </c>
      <c r="E252" s="119">
        <v>816500</v>
      </c>
      <c r="F252" s="179"/>
      <c r="G252" s="119">
        <v>734179.13</v>
      </c>
      <c r="H252" s="453"/>
      <c r="I252" s="348">
        <f t="shared" si="5"/>
        <v>89.91783588487446</v>
      </c>
    </row>
    <row r="253" spans="1:9" ht="21.75" customHeight="1">
      <c r="A253" s="16">
        <v>710</v>
      </c>
      <c r="B253" s="17"/>
      <c r="C253" s="241"/>
      <c r="D253" s="18" t="s">
        <v>503</v>
      </c>
      <c r="E253" s="45">
        <f>E254+E259+E262+E265</f>
        <v>800757</v>
      </c>
      <c r="F253" s="229">
        <f>F254+F259+F262+F265</f>
        <v>434757</v>
      </c>
      <c r="G253" s="45">
        <f>G254+G259+G262+G265</f>
        <v>775953.76</v>
      </c>
      <c r="H253" s="444">
        <f>H254+H259+H262+H265</f>
        <v>434382.62</v>
      </c>
      <c r="I253" s="348">
        <f t="shared" si="5"/>
        <v>96.90252598478689</v>
      </c>
    </row>
    <row r="254" spans="1:11" s="69" customFormat="1" ht="33" customHeight="1">
      <c r="A254" s="43"/>
      <c r="B254" s="32">
        <v>71012</v>
      </c>
      <c r="C254" s="254"/>
      <c r="D254" s="33" t="s">
        <v>605</v>
      </c>
      <c r="E254" s="37">
        <f>SUM(E255:F258)</f>
        <v>366000</v>
      </c>
      <c r="F254" s="131"/>
      <c r="G254" s="37">
        <f>SUM(G255:H258)</f>
        <v>334848.44999999995</v>
      </c>
      <c r="H254" s="556"/>
      <c r="I254" s="348">
        <f t="shared" si="5"/>
        <v>91.48864754098359</v>
      </c>
      <c r="J254" s="321"/>
      <c r="K254" s="321"/>
    </row>
    <row r="255" spans="1:11" s="69" customFormat="1" ht="37.5" customHeight="1">
      <c r="A255" s="47"/>
      <c r="B255" s="43"/>
      <c r="C255" s="259" t="s">
        <v>686</v>
      </c>
      <c r="D255" s="14" t="s">
        <v>458</v>
      </c>
      <c r="E255" s="37"/>
      <c r="F255" s="132"/>
      <c r="G255" s="35">
        <v>193.85</v>
      </c>
      <c r="H255" s="634"/>
      <c r="I255" s="348"/>
      <c r="J255" s="321"/>
      <c r="K255" s="321"/>
    </row>
    <row r="256" spans="1:9" ht="21.75" customHeight="1">
      <c r="A256" s="66"/>
      <c r="B256" s="67"/>
      <c r="C256" s="259" t="s">
        <v>549</v>
      </c>
      <c r="D256" s="14" t="s">
        <v>550</v>
      </c>
      <c r="E256" s="35">
        <v>360000</v>
      </c>
      <c r="F256" s="112"/>
      <c r="G256" s="35">
        <v>334654.6</v>
      </c>
      <c r="H256" s="344"/>
      <c r="I256" s="348">
        <f t="shared" si="5"/>
        <v>92.9596111111111</v>
      </c>
    </row>
    <row r="257" spans="1:9" ht="21.75" customHeight="1">
      <c r="A257" s="66"/>
      <c r="B257" s="67"/>
      <c r="C257" s="260" t="s">
        <v>454</v>
      </c>
      <c r="D257" s="14" t="s">
        <v>298</v>
      </c>
      <c r="E257" s="35">
        <v>1000</v>
      </c>
      <c r="F257" s="112"/>
      <c r="G257" s="35">
        <v>0</v>
      </c>
      <c r="H257" s="344"/>
      <c r="I257" s="348"/>
    </row>
    <row r="258" spans="1:9" ht="21.75" customHeight="1">
      <c r="A258" s="66"/>
      <c r="B258" s="9"/>
      <c r="C258" s="260" t="s">
        <v>756</v>
      </c>
      <c r="D258" s="14" t="s">
        <v>757</v>
      </c>
      <c r="E258" s="35">
        <v>5000</v>
      </c>
      <c r="F258" s="115"/>
      <c r="G258" s="35">
        <v>0</v>
      </c>
      <c r="H258" s="340"/>
      <c r="I258" s="348"/>
    </row>
    <row r="259" spans="1:11" s="69" customFormat="1" ht="30" customHeight="1">
      <c r="A259" s="43"/>
      <c r="B259" s="50">
        <v>71013</v>
      </c>
      <c r="C259" s="254"/>
      <c r="D259" s="46" t="s">
        <v>649</v>
      </c>
      <c r="E259" s="124">
        <f>E261+E260</f>
        <v>84300</v>
      </c>
      <c r="F259" s="124">
        <f>F261+F260</f>
        <v>84300</v>
      </c>
      <c r="G259" s="124">
        <f>G261+G260</f>
        <v>85110.32</v>
      </c>
      <c r="H259" s="463">
        <f>H261+H260</f>
        <v>84300</v>
      </c>
      <c r="I259" s="348">
        <f t="shared" si="5"/>
        <v>100.96123368920522</v>
      </c>
      <c r="J259" s="321"/>
      <c r="K259" s="321"/>
    </row>
    <row r="260" spans="1:11" s="69" customFormat="1" ht="39.75" customHeight="1">
      <c r="A260" s="43"/>
      <c r="B260" s="38"/>
      <c r="C260" s="255" t="s">
        <v>686</v>
      </c>
      <c r="D260" s="14" t="s">
        <v>458</v>
      </c>
      <c r="E260" s="124"/>
      <c r="F260" s="133"/>
      <c r="G260" s="68">
        <v>810.32</v>
      </c>
      <c r="H260" s="463"/>
      <c r="I260" s="348"/>
      <c r="J260" s="321"/>
      <c r="K260" s="321"/>
    </row>
    <row r="261" spans="1:9" ht="67.5" customHeight="1">
      <c r="A261" s="12"/>
      <c r="B261" s="15"/>
      <c r="C261" s="255">
        <v>2110</v>
      </c>
      <c r="D261" s="14" t="s">
        <v>648</v>
      </c>
      <c r="E261" s="68">
        <v>84300</v>
      </c>
      <c r="F261" s="134">
        <v>84300</v>
      </c>
      <c r="G261" s="68">
        <v>84300</v>
      </c>
      <c r="H261" s="338">
        <v>84300</v>
      </c>
      <c r="I261" s="348">
        <f t="shared" si="5"/>
        <v>100</v>
      </c>
    </row>
    <row r="262" spans="1:11" s="69" customFormat="1" ht="29.25" customHeight="1">
      <c r="A262" s="43"/>
      <c r="B262" s="42">
        <v>71014</v>
      </c>
      <c r="C262" s="254"/>
      <c r="D262" s="46" t="s">
        <v>650</v>
      </c>
      <c r="E262" s="124">
        <f>E263+E264</f>
        <v>13000</v>
      </c>
      <c r="F262" s="124">
        <f>F263+F264</f>
        <v>13000</v>
      </c>
      <c r="G262" s="124">
        <f>G263+G264</f>
        <v>18542.67</v>
      </c>
      <c r="H262" s="463">
        <f>H263+H264</f>
        <v>12630.3</v>
      </c>
      <c r="I262" s="348">
        <f t="shared" si="5"/>
        <v>142.63592307692306</v>
      </c>
      <c r="J262" s="321"/>
      <c r="K262" s="321"/>
    </row>
    <row r="263" spans="1:11" s="69" customFormat="1" ht="40.5" customHeight="1">
      <c r="A263" s="47"/>
      <c r="B263" s="42"/>
      <c r="C263" s="255" t="s">
        <v>686</v>
      </c>
      <c r="D263" s="14" t="s">
        <v>458</v>
      </c>
      <c r="E263" s="124"/>
      <c r="F263" s="133"/>
      <c r="G263" s="68">
        <v>5912.37</v>
      </c>
      <c r="H263" s="463"/>
      <c r="I263" s="348"/>
      <c r="J263" s="321"/>
      <c r="K263" s="321"/>
    </row>
    <row r="264" spans="1:9" ht="64.5" customHeight="1">
      <c r="A264" s="23"/>
      <c r="B264" s="5"/>
      <c r="C264" s="259">
        <v>2110</v>
      </c>
      <c r="D264" s="14" t="s">
        <v>648</v>
      </c>
      <c r="E264" s="68">
        <v>13000</v>
      </c>
      <c r="F264" s="134">
        <v>13000</v>
      </c>
      <c r="G264" s="68">
        <v>12630.3</v>
      </c>
      <c r="H264" s="338">
        <v>12630.3</v>
      </c>
      <c r="I264" s="348">
        <f t="shared" si="5"/>
        <v>97.15615384615384</v>
      </c>
    </row>
    <row r="265" spans="1:11" s="69" customFormat="1" ht="26.25" customHeight="1">
      <c r="A265" s="43"/>
      <c r="B265" s="50">
        <v>71015</v>
      </c>
      <c r="C265" s="254"/>
      <c r="D265" s="46" t="s">
        <v>651</v>
      </c>
      <c r="E265" s="124">
        <f>E266</f>
        <v>337457</v>
      </c>
      <c r="F265" s="175">
        <f>F266</f>
        <v>337457</v>
      </c>
      <c r="G265" s="124">
        <f>G266</f>
        <v>337452.32</v>
      </c>
      <c r="H265" s="631">
        <f>H266</f>
        <v>337452.32</v>
      </c>
      <c r="I265" s="348">
        <f t="shared" si="5"/>
        <v>99.99861315663921</v>
      </c>
      <c r="J265" s="321"/>
      <c r="K265" s="321"/>
    </row>
    <row r="266" spans="1:9" ht="62.25" customHeight="1">
      <c r="A266" s="12"/>
      <c r="B266" s="15"/>
      <c r="C266" s="257">
        <v>2110</v>
      </c>
      <c r="D266" s="4" t="s">
        <v>648</v>
      </c>
      <c r="E266" s="68">
        <v>337457</v>
      </c>
      <c r="F266" s="179">
        <v>337457</v>
      </c>
      <c r="G266" s="68">
        <v>337452.32</v>
      </c>
      <c r="H266" s="453">
        <v>337452.32</v>
      </c>
      <c r="I266" s="348">
        <f t="shared" si="5"/>
        <v>99.99861315663921</v>
      </c>
    </row>
    <row r="267" spans="1:9" ht="24.75" customHeight="1">
      <c r="A267" s="16">
        <v>750</v>
      </c>
      <c r="B267" s="16"/>
      <c r="C267" s="256"/>
      <c r="D267" s="11" t="s">
        <v>495</v>
      </c>
      <c r="E267" s="45">
        <f>E268+E270+E274</f>
        <v>254170</v>
      </c>
      <c r="F267" s="174">
        <f>F268+F270+F274</f>
        <v>221650</v>
      </c>
      <c r="G267" s="45">
        <f>G268+G270+G274</f>
        <v>263842.77</v>
      </c>
      <c r="H267" s="471">
        <f>H268+H270+H274</f>
        <v>221175.83000000002</v>
      </c>
      <c r="I267" s="444">
        <f t="shared" si="5"/>
        <v>103.80563009009718</v>
      </c>
    </row>
    <row r="268" spans="1:11" s="69" customFormat="1" ht="25.5" customHeight="1">
      <c r="A268" s="43"/>
      <c r="B268" s="31">
        <v>75011</v>
      </c>
      <c r="C268" s="263"/>
      <c r="D268" s="46" t="s">
        <v>548</v>
      </c>
      <c r="E268" s="124">
        <f>E269</f>
        <v>198150</v>
      </c>
      <c r="F268" s="175">
        <f>F269</f>
        <v>198150</v>
      </c>
      <c r="G268" s="124">
        <f>G269</f>
        <v>198150</v>
      </c>
      <c r="H268" s="631">
        <f>H269</f>
        <v>198150</v>
      </c>
      <c r="I268" s="348">
        <f t="shared" si="5"/>
        <v>100</v>
      </c>
      <c r="J268" s="321"/>
      <c r="K268" s="321"/>
    </row>
    <row r="269" spans="1:9" ht="62.25" customHeight="1">
      <c r="A269" s="12"/>
      <c r="B269" s="15"/>
      <c r="C269" s="255">
        <v>2110</v>
      </c>
      <c r="D269" s="14" t="s">
        <v>648</v>
      </c>
      <c r="E269" s="68">
        <v>198150</v>
      </c>
      <c r="F269" s="134">
        <v>198150</v>
      </c>
      <c r="G269" s="68">
        <v>198150</v>
      </c>
      <c r="H269" s="338">
        <v>198150</v>
      </c>
      <c r="I269" s="348">
        <f t="shared" si="5"/>
        <v>100</v>
      </c>
    </row>
    <row r="270" spans="1:11" s="69" customFormat="1" ht="20.25" customHeight="1">
      <c r="A270" s="43"/>
      <c r="B270" s="31">
        <v>75020</v>
      </c>
      <c r="C270" s="254"/>
      <c r="D270" s="46" t="s">
        <v>652</v>
      </c>
      <c r="E270" s="124">
        <f>SUM(E271:E273)</f>
        <v>30000</v>
      </c>
      <c r="F270" s="223"/>
      <c r="G270" s="124">
        <f>SUM(G271:G273)</f>
        <v>40146.94</v>
      </c>
      <c r="H270" s="625"/>
      <c r="I270" s="348">
        <f t="shared" si="5"/>
        <v>133.82313333333335</v>
      </c>
      <c r="J270" s="321"/>
      <c r="K270" s="321"/>
    </row>
    <row r="271" spans="1:11" s="69" customFormat="1" ht="24" customHeight="1">
      <c r="A271" s="43"/>
      <c r="B271" s="38"/>
      <c r="C271" s="255" t="s">
        <v>457</v>
      </c>
      <c r="D271" s="14" t="s">
        <v>318</v>
      </c>
      <c r="E271" s="124"/>
      <c r="F271" s="223"/>
      <c r="G271" s="68">
        <v>1000</v>
      </c>
      <c r="H271" s="625"/>
      <c r="I271" s="348"/>
      <c r="J271" s="321"/>
      <c r="K271" s="321"/>
    </row>
    <row r="272" spans="1:9" ht="22.5" customHeight="1">
      <c r="A272" s="12"/>
      <c r="B272" s="15"/>
      <c r="C272" s="255" t="s">
        <v>549</v>
      </c>
      <c r="D272" s="14" t="s">
        <v>550</v>
      </c>
      <c r="E272" s="68">
        <v>30000</v>
      </c>
      <c r="F272" s="179"/>
      <c r="G272" s="68">
        <v>38962.8</v>
      </c>
      <c r="H272" s="453"/>
      <c r="I272" s="348">
        <f t="shared" si="5"/>
        <v>129.876</v>
      </c>
    </row>
    <row r="273" spans="1:9" ht="22.5" customHeight="1">
      <c r="A273" s="12"/>
      <c r="B273" s="15"/>
      <c r="C273" s="255" t="s">
        <v>454</v>
      </c>
      <c r="D273" s="14" t="s">
        <v>298</v>
      </c>
      <c r="E273" s="68"/>
      <c r="F273" s="179"/>
      <c r="G273" s="68">
        <v>184.14</v>
      </c>
      <c r="H273" s="453"/>
      <c r="I273" s="348"/>
    </row>
    <row r="274" spans="1:11" s="69" customFormat="1" ht="21.75" customHeight="1">
      <c r="A274" s="43"/>
      <c r="B274" s="31">
        <v>75045</v>
      </c>
      <c r="C274" s="254"/>
      <c r="D274" s="46" t="s">
        <v>565</v>
      </c>
      <c r="E274" s="124">
        <f>SUM(E275:E276)</f>
        <v>26020</v>
      </c>
      <c r="F274" s="175">
        <f>SUM(F275:F276)</f>
        <v>23500</v>
      </c>
      <c r="G274" s="124">
        <f>SUM(G275:G276)</f>
        <v>25545.83</v>
      </c>
      <c r="H274" s="631">
        <f>SUM(H275:H276)</f>
        <v>23025.83</v>
      </c>
      <c r="I274" s="348">
        <f t="shared" si="5"/>
        <v>98.17767102229055</v>
      </c>
      <c r="J274" s="321"/>
      <c r="K274" s="321"/>
    </row>
    <row r="275" spans="1:9" ht="69" customHeight="1">
      <c r="A275" s="12"/>
      <c r="B275" s="22"/>
      <c r="C275" s="255">
        <v>2110</v>
      </c>
      <c r="D275" s="14" t="s">
        <v>648</v>
      </c>
      <c r="E275" s="68">
        <v>23500</v>
      </c>
      <c r="F275" s="121">
        <v>23500</v>
      </c>
      <c r="G275" s="96">
        <v>23025.83</v>
      </c>
      <c r="H275" s="337">
        <v>23025.83</v>
      </c>
      <c r="I275" s="348">
        <f t="shared" si="5"/>
        <v>97.98225531914895</v>
      </c>
    </row>
    <row r="276" spans="1:9" ht="66" customHeight="1">
      <c r="A276" s="12"/>
      <c r="B276" s="15"/>
      <c r="C276" s="255">
        <v>2120</v>
      </c>
      <c r="D276" s="26" t="s">
        <v>653</v>
      </c>
      <c r="E276" s="68">
        <v>2520</v>
      </c>
      <c r="F276" s="179"/>
      <c r="G276" s="68">
        <v>2520</v>
      </c>
      <c r="H276" s="453"/>
      <c r="I276" s="348">
        <f t="shared" si="5"/>
        <v>100</v>
      </c>
    </row>
    <row r="277" spans="1:9" ht="35.25" customHeight="1">
      <c r="A277" s="16">
        <v>754</v>
      </c>
      <c r="B277" s="17"/>
      <c r="C277" s="241"/>
      <c r="D277" s="18" t="s">
        <v>496</v>
      </c>
      <c r="E277" s="45">
        <f>E278+E282</f>
        <v>10442167.5</v>
      </c>
      <c r="F277" s="45">
        <f>F278+F282</f>
        <v>9661562</v>
      </c>
      <c r="G277" s="45">
        <f>G278+G282</f>
        <v>10438487.75</v>
      </c>
      <c r="H277" s="339">
        <f>H278+H282</f>
        <v>9657718.34</v>
      </c>
      <c r="I277" s="444">
        <f t="shared" si="5"/>
        <v>99.96476066870217</v>
      </c>
    </row>
    <row r="278" spans="1:11" s="69" customFormat="1" ht="30.75" customHeight="1">
      <c r="A278" s="43"/>
      <c r="B278" s="32">
        <v>75411</v>
      </c>
      <c r="C278" s="258"/>
      <c r="D278" s="46" t="s">
        <v>310</v>
      </c>
      <c r="E278" s="124">
        <f>SUM(E279:E281)</f>
        <v>10441228.5</v>
      </c>
      <c r="F278" s="124">
        <f>SUM(F279:F281)</f>
        <v>9660623</v>
      </c>
      <c r="G278" s="124">
        <f>SUM(G279:G281)</f>
        <v>10437548.75</v>
      </c>
      <c r="H278" s="463">
        <f>SUM(H279:H281)</f>
        <v>9656779.34</v>
      </c>
      <c r="I278" s="348">
        <f t="shared" si="5"/>
        <v>99.96475749956052</v>
      </c>
      <c r="J278" s="321"/>
      <c r="K278" s="321"/>
    </row>
    <row r="279" spans="1:9" ht="65.25" customHeight="1">
      <c r="A279" s="23"/>
      <c r="B279" s="20"/>
      <c r="C279" s="260">
        <v>2110</v>
      </c>
      <c r="D279" s="1" t="s">
        <v>648</v>
      </c>
      <c r="E279" s="68">
        <v>9660623</v>
      </c>
      <c r="F279" s="121">
        <v>9660623</v>
      </c>
      <c r="G279" s="68">
        <v>9656779.34</v>
      </c>
      <c r="H279" s="337">
        <v>9656779.34</v>
      </c>
      <c r="I279" s="348">
        <f t="shared" si="5"/>
        <v>99.96021312497135</v>
      </c>
    </row>
    <row r="280" spans="1:9" ht="61.5" customHeight="1">
      <c r="A280" s="23"/>
      <c r="B280" s="12"/>
      <c r="C280" s="259">
        <v>2360</v>
      </c>
      <c r="D280" s="14" t="s">
        <v>456</v>
      </c>
      <c r="E280" s="68">
        <v>605.5</v>
      </c>
      <c r="F280" s="122"/>
      <c r="G280" s="68">
        <v>769.41</v>
      </c>
      <c r="H280" s="348"/>
      <c r="I280" s="348">
        <f t="shared" si="5"/>
        <v>127.07018992568125</v>
      </c>
    </row>
    <row r="281" spans="1:9" ht="77.25" customHeight="1">
      <c r="A281" s="23"/>
      <c r="B281" s="5"/>
      <c r="C281" s="259" t="s">
        <v>433</v>
      </c>
      <c r="D281" s="14" t="s">
        <v>434</v>
      </c>
      <c r="E281" s="68">
        <v>780000</v>
      </c>
      <c r="F281" s="122"/>
      <c r="G281" s="68">
        <v>780000</v>
      </c>
      <c r="H281" s="348"/>
      <c r="I281" s="348">
        <f t="shared" si="5"/>
        <v>100</v>
      </c>
    </row>
    <row r="282" spans="1:11" s="69" customFormat="1" ht="30" customHeight="1">
      <c r="A282" s="47"/>
      <c r="B282" s="32">
        <v>75478</v>
      </c>
      <c r="C282" s="245"/>
      <c r="D282" s="46" t="s">
        <v>435</v>
      </c>
      <c r="E282" s="124">
        <f>E283</f>
        <v>939</v>
      </c>
      <c r="F282" s="124">
        <f>F283</f>
        <v>939</v>
      </c>
      <c r="G282" s="124">
        <f>G283</f>
        <v>939</v>
      </c>
      <c r="H282" s="463">
        <f>H283</f>
        <v>939</v>
      </c>
      <c r="I282" s="348">
        <f t="shared" si="5"/>
        <v>100</v>
      </c>
      <c r="J282" s="321"/>
      <c r="K282" s="321"/>
    </row>
    <row r="283" spans="1:9" ht="66.75" customHeight="1">
      <c r="A283" s="23"/>
      <c r="B283" s="5"/>
      <c r="C283" s="260">
        <v>2110</v>
      </c>
      <c r="D283" s="1" t="s">
        <v>648</v>
      </c>
      <c r="E283" s="68">
        <v>939</v>
      </c>
      <c r="F283" s="122">
        <v>939</v>
      </c>
      <c r="G283" s="68">
        <v>939</v>
      </c>
      <c r="H283" s="348">
        <v>939</v>
      </c>
      <c r="I283" s="348">
        <f t="shared" si="5"/>
        <v>100</v>
      </c>
    </row>
    <row r="284" spans="1:9" ht="70.5" customHeight="1">
      <c r="A284" s="16">
        <v>756</v>
      </c>
      <c r="B284" s="17"/>
      <c r="C284" s="241"/>
      <c r="D284" s="18" t="s">
        <v>81</v>
      </c>
      <c r="E284" s="45">
        <f>E285+E290</f>
        <v>19027211</v>
      </c>
      <c r="F284" s="134"/>
      <c r="G284" s="45">
        <f>G285+G290</f>
        <v>17582053.3</v>
      </c>
      <c r="H284" s="338"/>
      <c r="I284" s="444">
        <f t="shared" si="5"/>
        <v>92.40478439010322</v>
      </c>
    </row>
    <row r="285" spans="1:11" s="69" customFormat="1" ht="47.25" customHeight="1">
      <c r="A285" s="43"/>
      <c r="B285" s="38">
        <v>75618</v>
      </c>
      <c r="C285" s="254"/>
      <c r="D285" s="46" t="s">
        <v>708</v>
      </c>
      <c r="E285" s="187">
        <f>SUM(E286:E289)</f>
        <v>2230800</v>
      </c>
      <c r="F285" s="223"/>
      <c r="G285" s="187">
        <f>SUM(G286:G289)</f>
        <v>1733072.9100000001</v>
      </c>
      <c r="H285" s="625"/>
      <c r="I285" s="348">
        <f t="shared" si="5"/>
        <v>77.68840371167295</v>
      </c>
      <c r="J285" s="321"/>
      <c r="K285" s="321"/>
    </row>
    <row r="286" spans="1:9" ht="25.5" customHeight="1">
      <c r="A286" s="23"/>
      <c r="B286" s="20"/>
      <c r="C286" s="259" t="s">
        <v>654</v>
      </c>
      <c r="D286" s="14" t="s">
        <v>655</v>
      </c>
      <c r="E286" s="68">
        <v>2000000</v>
      </c>
      <c r="F286" s="179"/>
      <c r="G286" s="68">
        <v>1544940.25</v>
      </c>
      <c r="H286" s="453"/>
      <c r="I286" s="348">
        <f aca="true" t="shared" si="6" ref="I286:I349">G286/E286*100</f>
        <v>77.2470125</v>
      </c>
    </row>
    <row r="287" spans="1:9" ht="53.25" customHeight="1">
      <c r="A287" s="23"/>
      <c r="B287" s="12"/>
      <c r="C287" s="259" t="s">
        <v>712</v>
      </c>
      <c r="D287" s="14" t="s">
        <v>713</v>
      </c>
      <c r="E287" s="68">
        <v>230000</v>
      </c>
      <c r="F287" s="179"/>
      <c r="G287" s="68">
        <f>186523.67+5.2</f>
        <v>186528.87000000002</v>
      </c>
      <c r="H287" s="453"/>
      <c r="I287" s="348">
        <f t="shared" si="6"/>
        <v>81.09950869565219</v>
      </c>
    </row>
    <row r="288" spans="1:9" ht="24" customHeight="1">
      <c r="A288" s="23"/>
      <c r="B288" s="12"/>
      <c r="C288" s="259" t="s">
        <v>549</v>
      </c>
      <c r="D288" s="14" t="s">
        <v>550</v>
      </c>
      <c r="E288" s="68">
        <v>200</v>
      </c>
      <c r="F288" s="179"/>
      <c r="G288" s="68">
        <v>193.6</v>
      </c>
      <c r="H288" s="453"/>
      <c r="I288" s="348">
        <f t="shared" si="6"/>
        <v>96.8</v>
      </c>
    </row>
    <row r="289" spans="1:9" ht="24" customHeight="1">
      <c r="A289" s="23"/>
      <c r="B289" s="5"/>
      <c r="C289" s="260" t="s">
        <v>454</v>
      </c>
      <c r="D289" s="14" t="s">
        <v>298</v>
      </c>
      <c r="E289" s="68">
        <v>600</v>
      </c>
      <c r="F289" s="179"/>
      <c r="G289" s="68">
        <v>1410.19</v>
      </c>
      <c r="H289" s="453"/>
      <c r="I289" s="348">
        <f t="shared" si="6"/>
        <v>235.03166666666667</v>
      </c>
    </row>
    <row r="290" spans="1:11" s="69" customFormat="1" ht="41.25" customHeight="1">
      <c r="A290" s="43"/>
      <c r="B290" s="38">
        <v>75622</v>
      </c>
      <c r="C290" s="254"/>
      <c r="D290" s="46" t="s">
        <v>656</v>
      </c>
      <c r="E290" s="124">
        <f>SUM(E291:E292)</f>
        <v>16796411</v>
      </c>
      <c r="F290" s="223"/>
      <c r="G290" s="124">
        <f>SUM(G291:G292)</f>
        <v>15848980.39</v>
      </c>
      <c r="H290" s="625"/>
      <c r="I290" s="348">
        <f t="shared" si="6"/>
        <v>94.35932706100131</v>
      </c>
      <c r="J290" s="321"/>
      <c r="K290" s="321"/>
    </row>
    <row r="291" spans="1:9" ht="29.25" customHeight="1">
      <c r="A291" s="12"/>
      <c r="B291" s="22"/>
      <c r="C291" s="259" t="s">
        <v>715</v>
      </c>
      <c r="D291" s="14" t="s">
        <v>557</v>
      </c>
      <c r="E291" s="68">
        <v>15196411</v>
      </c>
      <c r="F291" s="179"/>
      <c r="G291" s="68">
        <v>14774611</v>
      </c>
      <c r="H291" s="453"/>
      <c r="I291" s="348">
        <f t="shared" si="6"/>
        <v>97.2243446166335</v>
      </c>
    </row>
    <row r="292" spans="1:9" ht="29.25" customHeight="1">
      <c r="A292" s="12"/>
      <c r="B292" s="27"/>
      <c r="C292" s="259" t="s">
        <v>558</v>
      </c>
      <c r="D292" s="14" t="s">
        <v>657</v>
      </c>
      <c r="E292" s="68">
        <v>1600000</v>
      </c>
      <c r="F292" s="179"/>
      <c r="G292" s="68">
        <v>1074369.39</v>
      </c>
      <c r="H292" s="453"/>
      <c r="I292" s="348">
        <f t="shared" si="6"/>
        <v>67.14808687499999</v>
      </c>
    </row>
    <row r="293" spans="1:9" ht="27" customHeight="1">
      <c r="A293" s="16">
        <v>758</v>
      </c>
      <c r="B293" s="28"/>
      <c r="C293" s="241"/>
      <c r="D293" s="18" t="s">
        <v>497</v>
      </c>
      <c r="E293" s="45">
        <f>E294+E296+E299</f>
        <v>76816733</v>
      </c>
      <c r="F293" s="121"/>
      <c r="G293" s="45">
        <f>G294+G296+G299</f>
        <v>76848900</v>
      </c>
      <c r="H293" s="337"/>
      <c r="I293" s="444">
        <f t="shared" si="6"/>
        <v>100.04187499096062</v>
      </c>
    </row>
    <row r="294" spans="1:11" s="69" customFormat="1" ht="40.5" customHeight="1">
      <c r="A294" s="43"/>
      <c r="B294" s="31">
        <v>75801</v>
      </c>
      <c r="C294" s="254"/>
      <c r="D294" s="46" t="s">
        <v>560</v>
      </c>
      <c r="E294" s="124">
        <f>E295</f>
        <v>68319077</v>
      </c>
      <c r="F294" s="223"/>
      <c r="G294" s="124">
        <f>G295</f>
        <v>68319077</v>
      </c>
      <c r="H294" s="625"/>
      <c r="I294" s="348">
        <f t="shared" si="6"/>
        <v>100</v>
      </c>
      <c r="J294" s="321"/>
      <c r="K294" s="321"/>
    </row>
    <row r="295" spans="1:9" ht="24.75" customHeight="1">
      <c r="A295" s="12"/>
      <c r="B295" s="15"/>
      <c r="C295" s="255">
        <v>2920</v>
      </c>
      <c r="D295" s="14" t="s">
        <v>561</v>
      </c>
      <c r="E295" s="68">
        <v>68319077</v>
      </c>
      <c r="F295" s="179"/>
      <c r="G295" s="68">
        <v>68319077</v>
      </c>
      <c r="H295" s="453"/>
      <c r="I295" s="348">
        <f t="shared" si="6"/>
        <v>100</v>
      </c>
    </row>
    <row r="296" spans="1:11" s="69" customFormat="1" ht="24.75" customHeight="1">
      <c r="A296" s="43"/>
      <c r="B296" s="32">
        <v>75802</v>
      </c>
      <c r="C296" s="254"/>
      <c r="D296" s="46" t="s">
        <v>668</v>
      </c>
      <c r="E296" s="124">
        <f>SUM(E297:E298)</f>
        <v>1230800</v>
      </c>
      <c r="F296" s="223"/>
      <c r="G296" s="124">
        <f>SUM(G297:G298)</f>
        <v>1262967</v>
      </c>
      <c r="H296" s="625"/>
      <c r="I296" s="456"/>
      <c r="J296" s="321"/>
      <c r="K296" s="321"/>
    </row>
    <row r="297" spans="1:9" ht="24.75" customHeight="1">
      <c r="A297" s="12"/>
      <c r="B297" s="15"/>
      <c r="C297" s="255" t="s">
        <v>630</v>
      </c>
      <c r="D297" s="618" t="s">
        <v>631</v>
      </c>
      <c r="E297" s="68"/>
      <c r="F297" s="179"/>
      <c r="G297" s="68">
        <v>32167</v>
      </c>
      <c r="H297" s="453"/>
      <c r="I297" s="348"/>
    </row>
    <row r="298" spans="1:9" ht="66" customHeight="1">
      <c r="A298" s="12"/>
      <c r="B298" s="15"/>
      <c r="C298" s="255" t="s">
        <v>667</v>
      </c>
      <c r="D298" s="14" t="s">
        <v>669</v>
      </c>
      <c r="E298" s="68">
        <v>1230800</v>
      </c>
      <c r="F298" s="179"/>
      <c r="G298" s="68">
        <v>1230800</v>
      </c>
      <c r="H298" s="453"/>
      <c r="I298" s="348">
        <f t="shared" si="6"/>
        <v>100</v>
      </c>
    </row>
    <row r="299" spans="1:11" s="69" customFormat="1" ht="27.75" customHeight="1">
      <c r="A299" s="43"/>
      <c r="B299" s="31">
        <v>75832</v>
      </c>
      <c r="C299" s="254"/>
      <c r="D299" s="46" t="s">
        <v>521</v>
      </c>
      <c r="E299" s="124">
        <f>E300</f>
        <v>7266856</v>
      </c>
      <c r="F299" s="223"/>
      <c r="G299" s="124">
        <f>G300</f>
        <v>7266856</v>
      </c>
      <c r="H299" s="625"/>
      <c r="I299" s="348">
        <f t="shared" si="6"/>
        <v>100</v>
      </c>
      <c r="J299" s="321"/>
      <c r="K299" s="321"/>
    </row>
    <row r="300" spans="1:9" ht="24.75" customHeight="1">
      <c r="A300" s="12"/>
      <c r="B300" s="15"/>
      <c r="C300" s="255">
        <v>2920</v>
      </c>
      <c r="D300" s="14" t="s">
        <v>561</v>
      </c>
      <c r="E300" s="68">
        <v>7266856</v>
      </c>
      <c r="F300" s="179"/>
      <c r="G300" s="68">
        <v>7266856</v>
      </c>
      <c r="H300" s="453"/>
      <c r="I300" s="348">
        <f t="shared" si="6"/>
        <v>100</v>
      </c>
    </row>
    <row r="301" spans="1:9" ht="34.5" customHeight="1">
      <c r="A301" s="16">
        <v>801</v>
      </c>
      <c r="B301" s="17"/>
      <c r="C301" s="241"/>
      <c r="D301" s="18" t="s">
        <v>499</v>
      </c>
      <c r="E301" s="85">
        <f>E302+E305+E307+E312+E318+E320+E326+E333+E336+E339+E343</f>
        <v>1623554.15</v>
      </c>
      <c r="F301" s="121"/>
      <c r="G301" s="85">
        <f>G302+G305+G307+G312+G318+G320+G326+G333+G336+G339+G343</f>
        <v>1543457.4</v>
      </c>
      <c r="H301" s="337"/>
      <c r="I301" s="471">
        <f t="shared" si="6"/>
        <v>95.06657970108357</v>
      </c>
    </row>
    <row r="302" spans="1:9" ht="29.25" customHeight="1">
      <c r="A302" s="12"/>
      <c r="B302" s="42">
        <v>80102</v>
      </c>
      <c r="C302" s="32"/>
      <c r="D302" s="33" t="s">
        <v>731</v>
      </c>
      <c r="E302" s="125">
        <f>SUM(D303:E304)</f>
        <v>63850</v>
      </c>
      <c r="F302" s="223"/>
      <c r="G302" s="125">
        <f>SUM(F303:G304)</f>
        <v>64197.700000000004</v>
      </c>
      <c r="H302" s="453"/>
      <c r="I302" s="338"/>
    </row>
    <row r="303" spans="1:9" ht="23.25" customHeight="1">
      <c r="A303" s="23"/>
      <c r="B303" s="20"/>
      <c r="C303" s="259" t="s">
        <v>756</v>
      </c>
      <c r="D303" s="14" t="s">
        <v>757</v>
      </c>
      <c r="E303" s="84"/>
      <c r="F303" s="179"/>
      <c r="G303" s="84">
        <v>348.51</v>
      </c>
      <c r="H303" s="453"/>
      <c r="I303" s="348"/>
    </row>
    <row r="304" spans="1:9" ht="36.75" customHeight="1">
      <c r="A304" s="23"/>
      <c r="B304" s="5"/>
      <c r="C304" s="259" t="s">
        <v>436</v>
      </c>
      <c r="D304" s="14" t="s">
        <v>437</v>
      </c>
      <c r="E304" s="84">
        <v>63850</v>
      </c>
      <c r="F304" s="179"/>
      <c r="G304" s="84">
        <v>63849.19</v>
      </c>
      <c r="H304" s="453"/>
      <c r="I304" s="348">
        <f t="shared" si="6"/>
        <v>99.9987314017228</v>
      </c>
    </row>
    <row r="305" spans="1:11" s="69" customFormat="1" ht="26.25" customHeight="1">
      <c r="A305" s="43"/>
      <c r="B305" s="50">
        <v>80111</v>
      </c>
      <c r="C305" s="32"/>
      <c r="D305" s="33" t="s">
        <v>732</v>
      </c>
      <c r="E305" s="125">
        <f>E306</f>
        <v>0</v>
      </c>
      <c r="F305" s="223"/>
      <c r="G305" s="125">
        <f>G306</f>
        <v>263.64</v>
      </c>
      <c r="H305" s="625"/>
      <c r="I305" s="348"/>
      <c r="J305" s="321"/>
      <c r="K305" s="321"/>
    </row>
    <row r="306" spans="1:9" ht="29.25" customHeight="1">
      <c r="A306" s="12"/>
      <c r="B306" s="22"/>
      <c r="C306" s="259" t="s">
        <v>756</v>
      </c>
      <c r="D306" s="14" t="s">
        <v>757</v>
      </c>
      <c r="E306" s="84"/>
      <c r="F306" s="179"/>
      <c r="G306" s="84">
        <v>263.64</v>
      </c>
      <c r="H306" s="453"/>
      <c r="I306" s="348"/>
    </row>
    <row r="307" spans="1:9" ht="30.75" customHeight="1">
      <c r="A307" s="67"/>
      <c r="B307" s="36">
        <v>80114</v>
      </c>
      <c r="C307" s="254"/>
      <c r="D307" s="33" t="s">
        <v>733</v>
      </c>
      <c r="E307" s="125">
        <f>SUM(E308:E311)</f>
        <v>145500</v>
      </c>
      <c r="F307" s="179"/>
      <c r="G307" s="125">
        <f>SUM(G308:G311)</f>
        <v>147432</v>
      </c>
      <c r="H307" s="453"/>
      <c r="I307" s="348">
        <f t="shared" si="6"/>
        <v>101.32783505154639</v>
      </c>
    </row>
    <row r="308" spans="1:9" ht="90.75" customHeight="1">
      <c r="A308" s="66"/>
      <c r="B308" s="25"/>
      <c r="C308" s="259" t="s">
        <v>556</v>
      </c>
      <c r="D308" s="14" t="s">
        <v>449</v>
      </c>
      <c r="E308" s="68">
        <v>140700</v>
      </c>
      <c r="F308" s="179"/>
      <c r="G308" s="68">
        <v>144904.66</v>
      </c>
      <c r="H308" s="453"/>
      <c r="I308" s="348">
        <f t="shared" si="6"/>
        <v>102.9883866382374</v>
      </c>
    </row>
    <row r="309" spans="1:9" ht="25.5" customHeight="1">
      <c r="A309" s="66"/>
      <c r="B309" s="67"/>
      <c r="C309" s="260" t="s">
        <v>454</v>
      </c>
      <c r="D309" s="14" t="s">
        <v>298</v>
      </c>
      <c r="E309" s="68">
        <v>800</v>
      </c>
      <c r="F309" s="179"/>
      <c r="G309" s="68">
        <v>263.98</v>
      </c>
      <c r="H309" s="453"/>
      <c r="I309" s="348">
        <f t="shared" si="6"/>
        <v>32.9975</v>
      </c>
    </row>
    <row r="310" spans="1:9" ht="37.5" customHeight="1">
      <c r="A310" s="66"/>
      <c r="B310" s="67"/>
      <c r="C310" s="255" t="s">
        <v>641</v>
      </c>
      <c r="D310" s="14" t="s">
        <v>642</v>
      </c>
      <c r="E310" s="68">
        <v>3500</v>
      </c>
      <c r="F310" s="179"/>
      <c r="G310" s="68">
        <v>501.84</v>
      </c>
      <c r="H310" s="453"/>
      <c r="I310" s="348">
        <f t="shared" si="6"/>
        <v>14.338285714285714</v>
      </c>
    </row>
    <row r="311" spans="1:9" ht="27.75" customHeight="1">
      <c r="A311" s="66"/>
      <c r="B311" s="9"/>
      <c r="C311" s="259" t="s">
        <v>756</v>
      </c>
      <c r="D311" s="14" t="s">
        <v>757</v>
      </c>
      <c r="E311" s="68">
        <v>500</v>
      </c>
      <c r="F311" s="179"/>
      <c r="G311" s="68">
        <v>1761.52</v>
      </c>
      <c r="H311" s="453"/>
      <c r="I311" s="348">
        <f t="shared" si="6"/>
        <v>352.304</v>
      </c>
    </row>
    <row r="312" spans="1:11" s="69" customFormat="1" ht="21.75" customHeight="1">
      <c r="A312" s="43"/>
      <c r="B312" s="41">
        <v>80120</v>
      </c>
      <c r="C312" s="254"/>
      <c r="D312" s="46" t="s">
        <v>90</v>
      </c>
      <c r="E312" s="125">
        <f>SUM(E313:E317)</f>
        <v>115006</v>
      </c>
      <c r="F312" s="223"/>
      <c r="G312" s="125">
        <f>SUM(G313:G317)</f>
        <v>125858.19</v>
      </c>
      <c r="H312" s="625"/>
      <c r="I312" s="348">
        <f t="shared" si="6"/>
        <v>109.43619463332348</v>
      </c>
      <c r="J312" s="321"/>
      <c r="K312" s="321"/>
    </row>
    <row r="313" spans="1:11" s="69" customFormat="1" ht="21.75" customHeight="1">
      <c r="A313" s="47"/>
      <c r="B313" s="42"/>
      <c r="C313" s="259" t="s">
        <v>549</v>
      </c>
      <c r="D313" s="14" t="s">
        <v>550</v>
      </c>
      <c r="E313" s="84">
        <v>1081</v>
      </c>
      <c r="F313" s="223"/>
      <c r="G313" s="84">
        <v>1571</v>
      </c>
      <c r="H313" s="625"/>
      <c r="I313" s="348">
        <f t="shared" si="6"/>
        <v>145.32839962997224</v>
      </c>
      <c r="J313" s="321"/>
      <c r="K313" s="321"/>
    </row>
    <row r="314" spans="1:9" ht="88.5" customHeight="1">
      <c r="A314" s="23"/>
      <c r="B314" s="12"/>
      <c r="C314" s="259" t="s">
        <v>556</v>
      </c>
      <c r="D314" s="14" t="s">
        <v>449</v>
      </c>
      <c r="E314" s="68">
        <v>87600</v>
      </c>
      <c r="F314" s="179"/>
      <c r="G314" s="68">
        <v>96638.43</v>
      </c>
      <c r="H314" s="453"/>
      <c r="I314" s="348">
        <f t="shared" si="6"/>
        <v>110.31784246575343</v>
      </c>
    </row>
    <row r="315" spans="1:9" ht="27.75" customHeight="1">
      <c r="A315" s="23"/>
      <c r="B315" s="12"/>
      <c r="C315" s="260" t="s">
        <v>454</v>
      </c>
      <c r="D315" s="14" t="s">
        <v>298</v>
      </c>
      <c r="E315" s="68">
        <v>25</v>
      </c>
      <c r="F315" s="179"/>
      <c r="G315" s="68">
        <v>317.72</v>
      </c>
      <c r="H315" s="453"/>
      <c r="I315" s="348">
        <f t="shared" si="6"/>
        <v>1270.88</v>
      </c>
    </row>
    <row r="316" spans="1:9" ht="27.75" customHeight="1">
      <c r="A316" s="23"/>
      <c r="B316" s="12"/>
      <c r="C316" s="255" t="s">
        <v>641</v>
      </c>
      <c r="D316" s="14" t="s">
        <v>642</v>
      </c>
      <c r="E316" s="68">
        <v>2000</v>
      </c>
      <c r="F316" s="179"/>
      <c r="G316" s="68">
        <v>2000</v>
      </c>
      <c r="H316" s="453"/>
      <c r="I316" s="348">
        <f t="shared" si="6"/>
        <v>100</v>
      </c>
    </row>
    <row r="317" spans="1:9" ht="21.75" customHeight="1">
      <c r="A317" s="23"/>
      <c r="B317" s="5"/>
      <c r="C317" s="259" t="s">
        <v>756</v>
      </c>
      <c r="D317" s="14" t="s">
        <v>757</v>
      </c>
      <c r="E317" s="68">
        <v>24300</v>
      </c>
      <c r="F317" s="179"/>
      <c r="G317" s="68">
        <v>25331.04</v>
      </c>
      <c r="H317" s="453"/>
      <c r="I317" s="348">
        <f t="shared" si="6"/>
        <v>104.24296296296296</v>
      </c>
    </row>
    <row r="318" spans="1:9" ht="21.75" customHeight="1">
      <c r="A318" s="23"/>
      <c r="B318" s="32">
        <v>80123</v>
      </c>
      <c r="C318" s="31"/>
      <c r="D318" s="33" t="s">
        <v>330</v>
      </c>
      <c r="E318" s="124">
        <f>E319</f>
        <v>100</v>
      </c>
      <c r="F318" s="223"/>
      <c r="G318" s="124">
        <f>G319</f>
        <v>106</v>
      </c>
      <c r="H318" s="625"/>
      <c r="I318" s="348">
        <f t="shared" si="6"/>
        <v>106</v>
      </c>
    </row>
    <row r="319" spans="1:9" ht="26.25" customHeight="1">
      <c r="A319" s="23"/>
      <c r="B319" s="6"/>
      <c r="C319" s="259" t="s">
        <v>549</v>
      </c>
      <c r="D319" s="14" t="s">
        <v>550</v>
      </c>
      <c r="E319" s="68">
        <v>100</v>
      </c>
      <c r="F319" s="179"/>
      <c r="G319" s="68">
        <v>106</v>
      </c>
      <c r="H319" s="453"/>
      <c r="I319" s="348">
        <f t="shared" si="6"/>
        <v>106</v>
      </c>
    </row>
    <row r="320" spans="1:9" ht="24.75" customHeight="1">
      <c r="A320" s="12"/>
      <c r="B320" s="50">
        <v>80130</v>
      </c>
      <c r="C320" s="245"/>
      <c r="D320" s="33" t="s">
        <v>91</v>
      </c>
      <c r="E320" s="124">
        <f>SUM(E321:E325)</f>
        <v>401776</v>
      </c>
      <c r="F320" s="223"/>
      <c r="G320" s="124">
        <f>SUM(G321:G325)</f>
        <v>405080.74999999994</v>
      </c>
      <c r="H320" s="625"/>
      <c r="I320" s="348">
        <f t="shared" si="6"/>
        <v>100.82253544263469</v>
      </c>
    </row>
    <row r="321" spans="1:9" ht="21.75" customHeight="1">
      <c r="A321" s="12"/>
      <c r="B321" s="41"/>
      <c r="C321" s="259" t="s">
        <v>549</v>
      </c>
      <c r="D321" s="14" t="s">
        <v>550</v>
      </c>
      <c r="E321" s="68">
        <v>4265</v>
      </c>
      <c r="F321" s="223"/>
      <c r="G321" s="68">
        <v>4419</v>
      </c>
      <c r="H321" s="625"/>
      <c r="I321" s="348">
        <f t="shared" si="6"/>
        <v>103.61078546307152</v>
      </c>
    </row>
    <row r="322" spans="1:9" ht="90.75" customHeight="1">
      <c r="A322" s="12"/>
      <c r="B322" s="24"/>
      <c r="C322" s="259" t="s">
        <v>556</v>
      </c>
      <c r="D322" s="14" t="s">
        <v>449</v>
      </c>
      <c r="E322" s="68">
        <v>336946</v>
      </c>
      <c r="F322" s="179"/>
      <c r="G322" s="68">
        <v>335265.3</v>
      </c>
      <c r="H322" s="453"/>
      <c r="I322" s="348">
        <f t="shared" si="6"/>
        <v>99.50119603734723</v>
      </c>
    </row>
    <row r="323" spans="1:9" ht="21.75" customHeight="1">
      <c r="A323" s="12"/>
      <c r="B323" s="24"/>
      <c r="C323" s="259" t="s">
        <v>552</v>
      </c>
      <c r="D323" s="14" t="s">
        <v>553</v>
      </c>
      <c r="E323" s="68">
        <v>500</v>
      </c>
      <c r="F323" s="179"/>
      <c r="G323" s="68">
        <v>0</v>
      </c>
      <c r="H323" s="453"/>
      <c r="I323" s="348">
        <f t="shared" si="6"/>
        <v>0</v>
      </c>
    </row>
    <row r="324" spans="1:9" ht="21.75" customHeight="1">
      <c r="A324" s="12"/>
      <c r="B324" s="24"/>
      <c r="C324" s="255" t="s">
        <v>454</v>
      </c>
      <c r="D324" s="14" t="s">
        <v>298</v>
      </c>
      <c r="E324" s="68">
        <v>586</v>
      </c>
      <c r="F324" s="179"/>
      <c r="G324" s="68">
        <v>950.22</v>
      </c>
      <c r="H324" s="453"/>
      <c r="I324" s="348">
        <f t="shared" si="6"/>
        <v>162.15358361774744</v>
      </c>
    </row>
    <row r="325" spans="1:9" ht="22.5" customHeight="1">
      <c r="A325" s="12"/>
      <c r="B325" s="24"/>
      <c r="C325" s="259" t="s">
        <v>756</v>
      </c>
      <c r="D325" s="14" t="s">
        <v>757</v>
      </c>
      <c r="E325" s="68">
        <v>59479</v>
      </c>
      <c r="F325" s="179"/>
      <c r="G325" s="68">
        <v>64446.23</v>
      </c>
      <c r="H325" s="453"/>
      <c r="I325" s="348">
        <f t="shared" si="6"/>
        <v>108.35123320835926</v>
      </c>
    </row>
    <row r="326" spans="1:11" s="69" customFormat="1" ht="42.75" customHeight="1">
      <c r="A326" s="43"/>
      <c r="B326" s="36">
        <v>80140</v>
      </c>
      <c r="C326" s="245"/>
      <c r="D326" s="33" t="s">
        <v>332</v>
      </c>
      <c r="E326" s="124">
        <f>SUM(E327:E332)</f>
        <v>300594</v>
      </c>
      <c r="F326" s="223"/>
      <c r="G326" s="124">
        <f>SUM(G327:G332)</f>
        <v>294056.04000000004</v>
      </c>
      <c r="H326" s="625"/>
      <c r="I326" s="348">
        <f t="shared" si="6"/>
        <v>97.8249865266772</v>
      </c>
      <c r="J326" s="321"/>
      <c r="K326" s="321"/>
    </row>
    <row r="327" spans="1:11" s="69" customFormat="1" ht="22.5" customHeight="1">
      <c r="A327" s="47"/>
      <c r="B327" s="42"/>
      <c r="C327" s="259" t="s">
        <v>549</v>
      </c>
      <c r="D327" s="14" t="s">
        <v>550</v>
      </c>
      <c r="E327" s="68">
        <v>35300</v>
      </c>
      <c r="F327" s="223"/>
      <c r="G327" s="68">
        <v>35350.87</v>
      </c>
      <c r="H327" s="625"/>
      <c r="I327" s="348">
        <f t="shared" si="6"/>
        <v>100.14410764872521</v>
      </c>
      <c r="J327" s="321"/>
      <c r="K327" s="321"/>
    </row>
    <row r="328" spans="1:11" s="69" customFormat="1" ht="88.5" customHeight="1">
      <c r="A328" s="47"/>
      <c r="B328" s="43"/>
      <c r="C328" s="259" t="s">
        <v>556</v>
      </c>
      <c r="D328" s="14" t="s">
        <v>449</v>
      </c>
      <c r="E328" s="68">
        <v>80182</v>
      </c>
      <c r="F328" s="223"/>
      <c r="G328" s="68">
        <v>78824.31</v>
      </c>
      <c r="H328" s="625"/>
      <c r="I328" s="348">
        <f t="shared" si="6"/>
        <v>98.30673966725699</v>
      </c>
      <c r="J328" s="321"/>
      <c r="K328" s="321"/>
    </row>
    <row r="329" spans="1:9" ht="21.75" customHeight="1">
      <c r="A329" s="23"/>
      <c r="B329" s="12"/>
      <c r="C329" s="259" t="s">
        <v>552</v>
      </c>
      <c r="D329" s="14" t="s">
        <v>553</v>
      </c>
      <c r="E329" s="68">
        <v>82070</v>
      </c>
      <c r="F329" s="179"/>
      <c r="G329" s="68">
        <v>72488.35</v>
      </c>
      <c r="H329" s="453"/>
      <c r="I329" s="348">
        <f t="shared" si="6"/>
        <v>88.32502741562081</v>
      </c>
    </row>
    <row r="330" spans="1:9" ht="21.75" customHeight="1">
      <c r="A330" s="23"/>
      <c r="B330" s="12"/>
      <c r="C330" s="259" t="s">
        <v>76</v>
      </c>
      <c r="D330" s="14" t="s">
        <v>77</v>
      </c>
      <c r="E330" s="68">
        <v>36738</v>
      </c>
      <c r="F330" s="179"/>
      <c r="G330" s="68">
        <v>36738</v>
      </c>
      <c r="H330" s="453"/>
      <c r="I330" s="348">
        <f t="shared" si="6"/>
        <v>100</v>
      </c>
    </row>
    <row r="331" spans="1:9" ht="21.75" customHeight="1">
      <c r="A331" s="23"/>
      <c r="B331" s="12"/>
      <c r="C331" s="260" t="s">
        <v>454</v>
      </c>
      <c r="D331" s="14" t="s">
        <v>298</v>
      </c>
      <c r="E331" s="68"/>
      <c r="F331" s="179"/>
      <c r="G331" s="68">
        <v>3.64</v>
      </c>
      <c r="H331" s="453"/>
      <c r="I331" s="348"/>
    </row>
    <row r="332" spans="1:9" ht="21.75" customHeight="1">
      <c r="A332" s="23"/>
      <c r="B332" s="12"/>
      <c r="C332" s="259" t="s">
        <v>756</v>
      </c>
      <c r="D332" s="14" t="s">
        <v>757</v>
      </c>
      <c r="E332" s="68">
        <v>66304</v>
      </c>
      <c r="F332" s="179"/>
      <c r="G332" s="68">
        <v>70650.87</v>
      </c>
      <c r="H332" s="453"/>
      <c r="I332" s="348">
        <f t="shared" si="6"/>
        <v>106.55596947393822</v>
      </c>
    </row>
    <row r="333" spans="1:11" s="69" customFormat="1" ht="21.75" customHeight="1">
      <c r="A333" s="47"/>
      <c r="B333" s="32">
        <v>80145</v>
      </c>
      <c r="C333" s="245"/>
      <c r="D333" s="46" t="s">
        <v>78</v>
      </c>
      <c r="E333" s="124">
        <f>SUM(E334:E335)</f>
        <v>35500</v>
      </c>
      <c r="F333" s="223"/>
      <c r="G333" s="124">
        <f>SUM(G334:G335)</f>
        <v>38513.88</v>
      </c>
      <c r="H333" s="625"/>
      <c r="I333" s="348">
        <f t="shared" si="6"/>
        <v>108.48980281690139</v>
      </c>
      <c r="J333" s="321"/>
      <c r="K333" s="321"/>
    </row>
    <row r="334" spans="1:9" ht="21.75" customHeight="1">
      <c r="A334" s="23"/>
      <c r="B334" s="20"/>
      <c r="C334" s="259" t="s">
        <v>549</v>
      </c>
      <c r="D334" s="14" t="s">
        <v>550</v>
      </c>
      <c r="E334" s="68">
        <v>25000</v>
      </c>
      <c r="F334" s="179"/>
      <c r="G334" s="68">
        <v>28650.78</v>
      </c>
      <c r="H334" s="453"/>
      <c r="I334" s="348">
        <f t="shared" si="6"/>
        <v>114.60311999999999</v>
      </c>
    </row>
    <row r="335" spans="1:9" ht="21.75" customHeight="1">
      <c r="A335" s="23"/>
      <c r="B335" s="5"/>
      <c r="C335" s="259" t="s">
        <v>756</v>
      </c>
      <c r="D335" s="14" t="s">
        <v>757</v>
      </c>
      <c r="E335" s="68">
        <v>10500</v>
      </c>
      <c r="F335" s="179"/>
      <c r="G335" s="68">
        <v>9863.1</v>
      </c>
      <c r="H335" s="453"/>
      <c r="I335" s="348">
        <f t="shared" si="6"/>
        <v>93.93428571428572</v>
      </c>
    </row>
    <row r="336" spans="1:11" s="69" customFormat="1" ht="26.25" customHeight="1">
      <c r="A336" s="43"/>
      <c r="B336" s="41">
        <v>80146</v>
      </c>
      <c r="C336" s="254"/>
      <c r="D336" s="46" t="s">
        <v>522</v>
      </c>
      <c r="E336" s="125">
        <f>SUM(E337:E338)</f>
        <v>195000</v>
      </c>
      <c r="F336" s="223"/>
      <c r="G336" s="125">
        <f>SUM(G337:G338)</f>
        <v>134029.68</v>
      </c>
      <c r="H336" s="625"/>
      <c r="I336" s="348">
        <f t="shared" si="6"/>
        <v>68.73316923076924</v>
      </c>
      <c r="J336" s="321"/>
      <c r="K336" s="321"/>
    </row>
    <row r="337" spans="1:9" ht="24.75" customHeight="1">
      <c r="A337" s="23"/>
      <c r="B337" s="20"/>
      <c r="C337" s="259" t="s">
        <v>552</v>
      </c>
      <c r="D337" s="14" t="s">
        <v>553</v>
      </c>
      <c r="E337" s="68">
        <v>195000</v>
      </c>
      <c r="F337" s="179"/>
      <c r="G337" s="68">
        <v>134010</v>
      </c>
      <c r="H337" s="453"/>
      <c r="I337" s="348">
        <f t="shared" si="6"/>
        <v>68.72307692307692</v>
      </c>
    </row>
    <row r="338" spans="1:9" ht="24" customHeight="1">
      <c r="A338" s="23"/>
      <c r="B338" s="5"/>
      <c r="C338" s="260" t="s">
        <v>454</v>
      </c>
      <c r="D338" s="14" t="s">
        <v>298</v>
      </c>
      <c r="E338" s="68"/>
      <c r="F338" s="179"/>
      <c r="G338" s="68">
        <v>19.68</v>
      </c>
      <c r="H338" s="453"/>
      <c r="I338" s="348"/>
    </row>
    <row r="339" spans="1:11" s="69" customFormat="1" ht="25.5" customHeight="1">
      <c r="A339" s="47"/>
      <c r="B339" s="43">
        <v>80148</v>
      </c>
      <c r="C339" s="245"/>
      <c r="D339" s="46" t="s">
        <v>79</v>
      </c>
      <c r="E339" s="124">
        <f>SUM(E340:E342)</f>
        <v>220050</v>
      </c>
      <c r="F339" s="223"/>
      <c r="G339" s="124">
        <f>SUM(G340:G342)</f>
        <v>219363.29</v>
      </c>
      <c r="H339" s="625"/>
      <c r="I339" s="348">
        <f t="shared" si="6"/>
        <v>99.68793001590548</v>
      </c>
      <c r="J339" s="321"/>
      <c r="K339" s="321"/>
    </row>
    <row r="340" spans="1:9" ht="24.75" customHeight="1">
      <c r="A340" s="23"/>
      <c r="B340" s="20"/>
      <c r="C340" s="259" t="s">
        <v>549</v>
      </c>
      <c r="D340" s="14" t="s">
        <v>550</v>
      </c>
      <c r="E340" s="68">
        <v>14000</v>
      </c>
      <c r="F340" s="179"/>
      <c r="G340" s="68">
        <v>12535.2</v>
      </c>
      <c r="H340" s="453"/>
      <c r="I340" s="348">
        <f t="shared" si="6"/>
        <v>89.53714285714285</v>
      </c>
    </row>
    <row r="341" spans="1:9" ht="24" customHeight="1">
      <c r="A341" s="23"/>
      <c r="B341" s="12"/>
      <c r="C341" s="259" t="s">
        <v>552</v>
      </c>
      <c r="D341" s="14" t="s">
        <v>553</v>
      </c>
      <c r="E341" s="68">
        <v>198000</v>
      </c>
      <c r="F341" s="179"/>
      <c r="G341" s="68">
        <v>198105.6</v>
      </c>
      <c r="H341" s="453"/>
      <c r="I341" s="348">
        <f t="shared" si="6"/>
        <v>100.05333333333333</v>
      </c>
    </row>
    <row r="342" spans="1:9" ht="24.75" customHeight="1">
      <c r="A342" s="23"/>
      <c r="B342" s="5"/>
      <c r="C342" s="259" t="s">
        <v>756</v>
      </c>
      <c r="D342" s="14" t="s">
        <v>757</v>
      </c>
      <c r="E342" s="68">
        <v>8050</v>
      </c>
      <c r="F342" s="179"/>
      <c r="G342" s="68">
        <v>8722.49</v>
      </c>
      <c r="H342" s="453"/>
      <c r="I342" s="348">
        <f t="shared" si="6"/>
        <v>108.35391304347826</v>
      </c>
    </row>
    <row r="343" spans="1:11" s="69" customFormat="1" ht="24.75" customHeight="1">
      <c r="A343" s="43"/>
      <c r="B343" s="50">
        <v>80195</v>
      </c>
      <c r="C343" s="254"/>
      <c r="D343" s="46" t="s">
        <v>494</v>
      </c>
      <c r="E343" s="125">
        <f>SUM(E344:E345)</f>
        <v>146178.15</v>
      </c>
      <c r="F343" s="223"/>
      <c r="G343" s="125">
        <f>SUM(G344:G345)</f>
        <v>114556.23</v>
      </c>
      <c r="H343" s="625"/>
      <c r="I343" s="348">
        <f t="shared" si="6"/>
        <v>78.36754672295415</v>
      </c>
      <c r="J343" s="321"/>
      <c r="K343" s="321"/>
    </row>
    <row r="344" spans="1:11" s="69" customFormat="1" ht="24.75" customHeight="1">
      <c r="A344" s="43"/>
      <c r="B344" s="38"/>
      <c r="C344" s="255" t="s">
        <v>454</v>
      </c>
      <c r="D344" s="14" t="s">
        <v>298</v>
      </c>
      <c r="E344" s="125"/>
      <c r="F344" s="223"/>
      <c r="G344" s="84">
        <v>400.03</v>
      </c>
      <c r="H344" s="625"/>
      <c r="I344" s="348"/>
      <c r="J344" s="321"/>
      <c r="K344" s="321"/>
    </row>
    <row r="345" spans="1:9" ht="66" customHeight="1">
      <c r="A345" s="5"/>
      <c r="B345" s="15"/>
      <c r="C345" s="255">
        <v>2701</v>
      </c>
      <c r="D345" s="14" t="s">
        <v>564</v>
      </c>
      <c r="E345" s="68">
        <v>146178.15</v>
      </c>
      <c r="F345" s="179"/>
      <c r="G345" s="68">
        <v>114156.2</v>
      </c>
      <c r="H345" s="453"/>
      <c r="I345" s="348">
        <f t="shared" si="6"/>
        <v>78.09388749276141</v>
      </c>
    </row>
    <row r="346" spans="1:9" ht="27.75" customHeight="1">
      <c r="A346" s="83">
        <v>851</v>
      </c>
      <c r="B346" s="83"/>
      <c r="C346" s="83"/>
      <c r="D346" s="318" t="s">
        <v>694</v>
      </c>
      <c r="E346" s="45">
        <f aca="true" t="shared" si="7" ref="E346:H347">E347</f>
        <v>1545</v>
      </c>
      <c r="F346" s="45">
        <f t="shared" si="7"/>
        <v>1545</v>
      </c>
      <c r="G346" s="45">
        <f t="shared" si="7"/>
        <v>1544.4</v>
      </c>
      <c r="H346" s="339">
        <f t="shared" si="7"/>
        <v>1544.4</v>
      </c>
      <c r="I346" s="444">
        <f t="shared" si="6"/>
        <v>99.9611650485437</v>
      </c>
    </row>
    <row r="347" spans="1:9" ht="61.5" customHeight="1">
      <c r="A347" s="12"/>
      <c r="B347" s="31">
        <v>85156</v>
      </c>
      <c r="C347" s="6"/>
      <c r="D347" s="33" t="s">
        <v>314</v>
      </c>
      <c r="E347" s="124">
        <f t="shared" si="7"/>
        <v>1545</v>
      </c>
      <c r="F347" s="124">
        <f t="shared" si="7"/>
        <v>1545</v>
      </c>
      <c r="G347" s="124">
        <f t="shared" si="7"/>
        <v>1544.4</v>
      </c>
      <c r="H347" s="463">
        <f t="shared" si="7"/>
        <v>1544.4</v>
      </c>
      <c r="I347" s="348">
        <f t="shared" si="6"/>
        <v>99.9611650485437</v>
      </c>
    </row>
    <row r="348" spans="1:9" ht="66" customHeight="1">
      <c r="A348" s="5"/>
      <c r="B348" s="15"/>
      <c r="C348" s="255">
        <v>2110</v>
      </c>
      <c r="D348" s="14" t="s">
        <v>648</v>
      </c>
      <c r="E348" s="68">
        <v>1545</v>
      </c>
      <c r="F348" s="179">
        <v>1545</v>
      </c>
      <c r="G348" s="68">
        <v>1544.4</v>
      </c>
      <c r="H348" s="453">
        <v>1544.4</v>
      </c>
      <c r="I348" s="348">
        <f t="shared" si="6"/>
        <v>99.9611650485437</v>
      </c>
    </row>
    <row r="349" spans="1:9" ht="27.75" customHeight="1">
      <c r="A349" s="16">
        <v>852</v>
      </c>
      <c r="B349" s="17"/>
      <c r="C349" s="241"/>
      <c r="D349" s="18" t="s">
        <v>279</v>
      </c>
      <c r="E349" s="45">
        <f>E350+E355+E361+E365</f>
        <v>4237803</v>
      </c>
      <c r="F349" s="45">
        <f>F350+F355+F361+F365</f>
        <v>0</v>
      </c>
      <c r="G349" s="45">
        <f>G350+G355+G361+G365</f>
        <v>4294577.79</v>
      </c>
      <c r="H349" s="339">
        <f>H350+H355+H361+H365</f>
        <v>0</v>
      </c>
      <c r="I349" s="444">
        <f t="shared" si="6"/>
        <v>101.33972225702799</v>
      </c>
    </row>
    <row r="350" spans="1:11" s="69" customFormat="1" ht="22.5" customHeight="1">
      <c r="A350" s="43"/>
      <c r="B350" s="32">
        <v>85201</v>
      </c>
      <c r="C350" s="254"/>
      <c r="D350" s="46" t="s">
        <v>658</v>
      </c>
      <c r="E350" s="226">
        <f>SUM(E351:E354)</f>
        <v>195900</v>
      </c>
      <c r="F350" s="189"/>
      <c r="G350" s="226">
        <f>SUM(G351:G354)</f>
        <v>196074.18</v>
      </c>
      <c r="H350" s="456"/>
      <c r="I350" s="348">
        <f aca="true" t="shared" si="8" ref="I350:I412">G350/E350*100</f>
        <v>100.08891271056662</v>
      </c>
      <c r="J350" s="321"/>
      <c r="K350" s="321"/>
    </row>
    <row r="351" spans="1:11" s="69" customFormat="1" ht="22.5" customHeight="1">
      <c r="A351" s="47"/>
      <c r="B351" s="43"/>
      <c r="C351" s="255" t="s">
        <v>454</v>
      </c>
      <c r="D351" s="14" t="s">
        <v>298</v>
      </c>
      <c r="E351" s="311"/>
      <c r="F351" s="179"/>
      <c r="G351" s="311">
        <v>1021.9</v>
      </c>
      <c r="H351" s="625"/>
      <c r="I351" s="348"/>
      <c r="J351" s="321"/>
      <c r="K351" s="321"/>
    </row>
    <row r="352" spans="1:11" s="69" customFormat="1" ht="27.75" customHeight="1">
      <c r="A352" s="47"/>
      <c r="B352" s="43"/>
      <c r="C352" s="257" t="s">
        <v>641</v>
      </c>
      <c r="D352" s="14" t="s">
        <v>704</v>
      </c>
      <c r="E352" s="311">
        <v>800</v>
      </c>
      <c r="F352" s="179"/>
      <c r="G352" s="311">
        <v>800</v>
      </c>
      <c r="H352" s="625"/>
      <c r="I352" s="348">
        <f t="shared" si="8"/>
        <v>100</v>
      </c>
      <c r="J352" s="321"/>
      <c r="K352" s="321"/>
    </row>
    <row r="353" spans="1:9" ht="18.75" customHeight="1">
      <c r="A353" s="23"/>
      <c r="B353" s="12"/>
      <c r="C353" s="259" t="s">
        <v>756</v>
      </c>
      <c r="D353" s="14" t="s">
        <v>757</v>
      </c>
      <c r="E353" s="68">
        <v>3100</v>
      </c>
      <c r="F353" s="179"/>
      <c r="G353" s="68">
        <v>2882.56</v>
      </c>
      <c r="H353" s="453"/>
      <c r="I353" s="348">
        <f t="shared" si="8"/>
        <v>92.9858064516129</v>
      </c>
    </row>
    <row r="354" spans="1:9" ht="66" customHeight="1">
      <c r="A354" s="23"/>
      <c r="B354" s="5"/>
      <c r="C354" s="260">
        <v>2320</v>
      </c>
      <c r="D354" s="3" t="s">
        <v>661</v>
      </c>
      <c r="E354" s="68">
        <v>192000</v>
      </c>
      <c r="F354" s="179"/>
      <c r="G354" s="68">
        <v>191369.72</v>
      </c>
      <c r="H354" s="453"/>
      <c r="I354" s="348">
        <f t="shared" si="8"/>
        <v>99.67172916666667</v>
      </c>
    </row>
    <row r="355" spans="1:11" s="69" customFormat="1" ht="25.5" customHeight="1">
      <c r="A355" s="43"/>
      <c r="B355" s="48">
        <v>85202</v>
      </c>
      <c r="C355" s="254"/>
      <c r="D355" s="46" t="s">
        <v>659</v>
      </c>
      <c r="E355" s="124">
        <f>SUM(E356:E360)</f>
        <v>3839491</v>
      </c>
      <c r="F355" s="223"/>
      <c r="G355" s="124">
        <f>SUM(G356:G360)</f>
        <v>3900526.63</v>
      </c>
      <c r="H355" s="625"/>
      <c r="I355" s="348">
        <f t="shared" si="8"/>
        <v>101.58968024667854</v>
      </c>
      <c r="J355" s="321"/>
      <c r="K355" s="321"/>
    </row>
    <row r="356" spans="1:9" ht="89.25" customHeight="1">
      <c r="A356" s="12"/>
      <c r="B356" s="24"/>
      <c r="C356" s="259" t="s">
        <v>556</v>
      </c>
      <c r="D356" s="14" t="s">
        <v>751</v>
      </c>
      <c r="E356" s="68">
        <v>4900</v>
      </c>
      <c r="F356" s="179"/>
      <c r="G356" s="68">
        <v>4900.16</v>
      </c>
      <c r="H356" s="453"/>
      <c r="I356" s="348">
        <f t="shared" si="8"/>
        <v>100.00326530612244</v>
      </c>
    </row>
    <row r="357" spans="1:13" ht="20.25" customHeight="1">
      <c r="A357" s="12"/>
      <c r="B357" s="24"/>
      <c r="C357" s="259" t="s">
        <v>552</v>
      </c>
      <c r="D357" s="14" t="s">
        <v>553</v>
      </c>
      <c r="E357" s="68">
        <v>2950406</v>
      </c>
      <c r="F357" s="179"/>
      <c r="G357" s="68">
        <v>3011022.01</v>
      </c>
      <c r="H357" s="453"/>
      <c r="I357" s="348">
        <f t="shared" si="8"/>
        <v>102.05449724546382</v>
      </c>
      <c r="L357" s="65"/>
      <c r="M357" s="65"/>
    </row>
    <row r="358" spans="1:13" ht="20.25" customHeight="1">
      <c r="A358" s="12"/>
      <c r="B358" s="24"/>
      <c r="C358" s="255" t="s">
        <v>454</v>
      </c>
      <c r="D358" s="14" t="s">
        <v>298</v>
      </c>
      <c r="E358" s="68">
        <v>1000</v>
      </c>
      <c r="F358" s="179"/>
      <c r="G358" s="68">
        <v>1318.23</v>
      </c>
      <c r="H358" s="453"/>
      <c r="I358" s="348">
        <f t="shared" si="8"/>
        <v>131.823</v>
      </c>
      <c r="L358" s="65"/>
      <c r="M358" s="65"/>
    </row>
    <row r="359" spans="1:13" ht="22.5" customHeight="1">
      <c r="A359" s="12"/>
      <c r="B359" s="24"/>
      <c r="C359" s="259" t="s">
        <v>756</v>
      </c>
      <c r="D359" s="14" t="s">
        <v>757</v>
      </c>
      <c r="E359" s="68">
        <v>1800</v>
      </c>
      <c r="F359" s="179"/>
      <c r="G359" s="68">
        <v>1901.23</v>
      </c>
      <c r="H359" s="453"/>
      <c r="I359" s="348">
        <f t="shared" si="8"/>
        <v>105.6238888888889</v>
      </c>
      <c r="L359" s="65"/>
      <c r="M359" s="65"/>
    </row>
    <row r="360" spans="1:13" ht="42.75" customHeight="1">
      <c r="A360" s="12"/>
      <c r="B360" s="24"/>
      <c r="C360" s="259">
        <v>2130</v>
      </c>
      <c r="D360" s="14" t="s">
        <v>660</v>
      </c>
      <c r="E360" s="68">
        <v>881385</v>
      </c>
      <c r="F360" s="179"/>
      <c r="G360" s="68">
        <v>881385</v>
      </c>
      <c r="H360" s="453"/>
      <c r="I360" s="348">
        <f t="shared" si="8"/>
        <v>100</v>
      </c>
      <c r="L360" s="65"/>
      <c r="M360" s="65"/>
    </row>
    <row r="361" spans="1:13" s="69" customFormat="1" ht="20.25" customHeight="1">
      <c r="A361" s="43"/>
      <c r="B361" s="32">
        <v>85204</v>
      </c>
      <c r="C361" s="245"/>
      <c r="D361" s="46" t="s">
        <v>315</v>
      </c>
      <c r="E361" s="124">
        <f>SUM(E362:E364)</f>
        <v>190412</v>
      </c>
      <c r="F361" s="223"/>
      <c r="G361" s="124">
        <f>SUM(G362:G364)</f>
        <v>185976.98</v>
      </c>
      <c r="H361" s="625"/>
      <c r="I361" s="348">
        <f t="shared" si="8"/>
        <v>97.67082956956496</v>
      </c>
      <c r="J361" s="321"/>
      <c r="K361" s="321"/>
      <c r="L361" s="321"/>
      <c r="M361" s="321"/>
    </row>
    <row r="362" spans="1:13" s="69" customFormat="1" ht="20.25" customHeight="1">
      <c r="A362" s="43"/>
      <c r="B362" s="41"/>
      <c r="C362" s="259" t="s">
        <v>756</v>
      </c>
      <c r="D362" s="14" t="s">
        <v>757</v>
      </c>
      <c r="E362" s="68">
        <v>4500</v>
      </c>
      <c r="F362" s="179"/>
      <c r="G362" s="68">
        <v>1072.44</v>
      </c>
      <c r="H362" s="625"/>
      <c r="I362" s="348">
        <f t="shared" si="8"/>
        <v>23.832</v>
      </c>
      <c r="J362" s="321"/>
      <c r="K362" s="321"/>
      <c r="L362" s="321"/>
      <c r="M362" s="321"/>
    </row>
    <row r="363" spans="1:13" s="69" customFormat="1" ht="36" customHeight="1">
      <c r="A363" s="43"/>
      <c r="B363" s="41"/>
      <c r="C363" s="259">
        <v>2130</v>
      </c>
      <c r="D363" s="14" t="s">
        <v>660</v>
      </c>
      <c r="E363" s="68">
        <v>35912</v>
      </c>
      <c r="F363" s="179"/>
      <c r="G363" s="68">
        <v>35912</v>
      </c>
      <c r="H363" s="625"/>
      <c r="I363" s="348">
        <f t="shared" si="8"/>
        <v>100</v>
      </c>
      <c r="J363" s="321"/>
      <c r="K363" s="321"/>
      <c r="L363" s="321"/>
      <c r="M363" s="321"/>
    </row>
    <row r="364" spans="1:13" ht="67.5" customHeight="1">
      <c r="A364" s="12"/>
      <c r="B364" s="24"/>
      <c r="C364" s="260">
        <v>2320</v>
      </c>
      <c r="D364" s="3" t="s">
        <v>661</v>
      </c>
      <c r="E364" s="68">
        <v>150000</v>
      </c>
      <c r="F364" s="179"/>
      <c r="G364" s="68">
        <v>148992.54</v>
      </c>
      <c r="H364" s="453"/>
      <c r="I364" s="348">
        <f t="shared" si="8"/>
        <v>99.32836</v>
      </c>
      <c r="L364" s="65"/>
      <c r="M364" s="65"/>
    </row>
    <row r="365" spans="1:11" s="69" customFormat="1" ht="43.5" customHeight="1">
      <c r="A365" s="47"/>
      <c r="B365" s="32">
        <v>85220</v>
      </c>
      <c r="C365" s="245"/>
      <c r="D365" s="46" t="s">
        <v>604</v>
      </c>
      <c r="E365" s="124">
        <f>E366</f>
        <v>12000</v>
      </c>
      <c r="F365" s="223"/>
      <c r="G365" s="124">
        <f>G366</f>
        <v>12000</v>
      </c>
      <c r="H365" s="625"/>
      <c r="I365" s="348">
        <f t="shared" si="8"/>
        <v>100</v>
      </c>
      <c r="J365" s="321"/>
      <c r="K365" s="321"/>
    </row>
    <row r="366" spans="1:9" ht="47.25" customHeight="1">
      <c r="A366" s="23"/>
      <c r="B366" s="5"/>
      <c r="C366" s="259">
        <v>2130</v>
      </c>
      <c r="D366" s="14" t="s">
        <v>660</v>
      </c>
      <c r="E366" s="68">
        <v>12000</v>
      </c>
      <c r="F366" s="179"/>
      <c r="G366" s="68">
        <v>12000</v>
      </c>
      <c r="H366" s="453"/>
      <c r="I366" s="348">
        <f t="shared" si="8"/>
        <v>100</v>
      </c>
    </row>
    <row r="367" spans="1:9" ht="35.25" customHeight="1">
      <c r="A367" s="16">
        <v>853</v>
      </c>
      <c r="B367" s="17"/>
      <c r="C367" s="241"/>
      <c r="D367" s="18" t="s">
        <v>523</v>
      </c>
      <c r="E367" s="45">
        <f>E368+E371+E374+E376</f>
        <v>2605523.79</v>
      </c>
      <c r="F367" s="242">
        <f>F368+F371+F374+F376</f>
        <v>183025</v>
      </c>
      <c r="G367" s="45">
        <f>G368+G371+G374+G376</f>
        <v>2668185.56</v>
      </c>
      <c r="H367" s="339">
        <f>H368+H371+H374+H376</f>
        <v>183025</v>
      </c>
      <c r="I367" s="444">
        <f t="shared" si="8"/>
        <v>102.40495865900346</v>
      </c>
    </row>
    <row r="368" spans="1:11" s="69" customFormat="1" ht="30.75" customHeight="1">
      <c r="A368" s="43"/>
      <c r="B368" s="36">
        <v>85311</v>
      </c>
      <c r="C368" s="263"/>
      <c r="D368" s="49" t="s">
        <v>302</v>
      </c>
      <c r="E368" s="124">
        <f>SUM(E369:E370)</f>
        <v>50000</v>
      </c>
      <c r="F368" s="223"/>
      <c r="G368" s="124">
        <f>SUM(G369:G370)</f>
        <v>46160.16</v>
      </c>
      <c r="H368" s="625"/>
      <c r="I368" s="348">
        <f t="shared" si="8"/>
        <v>92.32032000000001</v>
      </c>
      <c r="J368" s="321"/>
      <c r="K368" s="321"/>
    </row>
    <row r="369" spans="1:9" ht="60" customHeight="1">
      <c r="A369" s="23"/>
      <c r="B369" s="20"/>
      <c r="C369" s="260">
        <v>2320</v>
      </c>
      <c r="D369" s="3" t="s">
        <v>661</v>
      </c>
      <c r="E369" s="68">
        <v>20000</v>
      </c>
      <c r="F369" s="179"/>
      <c r="G369" s="68">
        <v>18277.56</v>
      </c>
      <c r="H369" s="453"/>
      <c r="I369" s="348">
        <f t="shared" si="8"/>
        <v>91.38780000000001</v>
      </c>
    </row>
    <row r="370" spans="1:9" ht="74.25" customHeight="1">
      <c r="A370" s="23"/>
      <c r="B370" s="5"/>
      <c r="C370" s="260" t="s">
        <v>438</v>
      </c>
      <c r="D370" s="3" t="s">
        <v>439</v>
      </c>
      <c r="E370" s="68">
        <v>30000</v>
      </c>
      <c r="F370" s="179"/>
      <c r="G370" s="68">
        <v>27882.6</v>
      </c>
      <c r="H370" s="453"/>
      <c r="I370" s="348">
        <f t="shared" si="8"/>
        <v>92.942</v>
      </c>
    </row>
    <row r="371" spans="1:11" s="69" customFormat="1" ht="31.5" customHeight="1">
      <c r="A371" s="43"/>
      <c r="B371" s="41">
        <v>85321</v>
      </c>
      <c r="C371" s="254"/>
      <c r="D371" s="33" t="s">
        <v>662</v>
      </c>
      <c r="E371" s="124">
        <f>SUM(E372:E373)</f>
        <v>514514</v>
      </c>
      <c r="F371" s="175">
        <f>SUM(F372:F373)</f>
        <v>183025</v>
      </c>
      <c r="G371" s="124">
        <f>SUM(G372:G373)</f>
        <v>514514</v>
      </c>
      <c r="H371" s="631">
        <f>SUM(H372:H373)</f>
        <v>183025</v>
      </c>
      <c r="I371" s="348">
        <f t="shared" si="8"/>
        <v>100</v>
      </c>
      <c r="J371" s="321"/>
      <c r="K371" s="321"/>
    </row>
    <row r="372" spans="1:9" ht="65.25" customHeight="1">
      <c r="A372" s="23"/>
      <c r="B372" s="20"/>
      <c r="C372" s="259">
        <v>2110</v>
      </c>
      <c r="D372" s="14" t="s">
        <v>648</v>
      </c>
      <c r="E372" s="68">
        <v>183025</v>
      </c>
      <c r="F372" s="134">
        <v>183025</v>
      </c>
      <c r="G372" s="68">
        <v>183025</v>
      </c>
      <c r="H372" s="338">
        <v>183025</v>
      </c>
      <c r="I372" s="348">
        <f t="shared" si="8"/>
        <v>100</v>
      </c>
    </row>
    <row r="373" spans="1:9" ht="64.5" customHeight="1">
      <c r="A373" s="23"/>
      <c r="B373" s="5"/>
      <c r="C373" s="259">
        <v>2320</v>
      </c>
      <c r="D373" s="14" t="s">
        <v>661</v>
      </c>
      <c r="E373" s="68">
        <v>331489</v>
      </c>
      <c r="F373" s="179"/>
      <c r="G373" s="68">
        <v>331489</v>
      </c>
      <c r="H373" s="453"/>
      <c r="I373" s="348">
        <f t="shared" si="8"/>
        <v>100</v>
      </c>
    </row>
    <row r="374" spans="1:11" s="69" customFormat="1" ht="33" customHeight="1">
      <c r="A374" s="43"/>
      <c r="B374" s="50">
        <v>85324</v>
      </c>
      <c r="C374" s="254"/>
      <c r="D374" s="46" t="s">
        <v>663</v>
      </c>
      <c r="E374" s="124">
        <f>E375</f>
        <v>72232</v>
      </c>
      <c r="F374" s="223"/>
      <c r="G374" s="124">
        <f>G375</f>
        <v>72232</v>
      </c>
      <c r="H374" s="625"/>
      <c r="I374" s="348">
        <f t="shared" si="8"/>
        <v>100</v>
      </c>
      <c r="J374" s="321"/>
      <c r="K374" s="321"/>
    </row>
    <row r="375" spans="1:9" ht="25.5" customHeight="1">
      <c r="A375" s="12"/>
      <c r="B375" s="29"/>
      <c r="C375" s="255" t="s">
        <v>756</v>
      </c>
      <c r="D375" s="14" t="s">
        <v>757</v>
      </c>
      <c r="E375" s="68">
        <v>72232</v>
      </c>
      <c r="F375" s="179"/>
      <c r="G375" s="68">
        <v>72232</v>
      </c>
      <c r="H375" s="453"/>
      <c r="I375" s="348">
        <f t="shared" si="8"/>
        <v>100</v>
      </c>
    </row>
    <row r="376" spans="1:11" s="69" customFormat="1" ht="26.25" customHeight="1">
      <c r="A376" s="43"/>
      <c r="B376" s="42">
        <v>85395</v>
      </c>
      <c r="C376" s="254"/>
      <c r="D376" s="46" t="s">
        <v>494</v>
      </c>
      <c r="E376" s="124">
        <f>SUM(E377:E379)</f>
        <v>1968777.7899999998</v>
      </c>
      <c r="F376" s="223"/>
      <c r="G376" s="124">
        <f>SUM(G377:G379)</f>
        <v>2035279.4</v>
      </c>
      <c r="H376" s="625"/>
      <c r="I376" s="348">
        <f t="shared" si="8"/>
        <v>103.37781187586437</v>
      </c>
      <c r="J376" s="321"/>
      <c r="K376" s="321"/>
    </row>
    <row r="377" spans="1:11" s="69" customFormat="1" ht="26.25" customHeight="1">
      <c r="A377" s="47"/>
      <c r="B377" s="42"/>
      <c r="C377" s="259" t="s">
        <v>454</v>
      </c>
      <c r="D377" s="14" t="s">
        <v>298</v>
      </c>
      <c r="E377" s="334"/>
      <c r="F377" s="223"/>
      <c r="G377" s="94">
        <v>266.13</v>
      </c>
      <c r="H377" s="625"/>
      <c r="I377" s="348"/>
      <c r="J377" s="321"/>
      <c r="K377" s="321"/>
    </row>
    <row r="378" spans="1:11" s="69" customFormat="1" ht="79.5" customHeight="1">
      <c r="A378" s="47"/>
      <c r="B378" s="43"/>
      <c r="C378" s="259">
        <v>2007</v>
      </c>
      <c r="D378" s="14" t="s">
        <v>761</v>
      </c>
      <c r="E378" s="94">
        <v>1898769.39</v>
      </c>
      <c r="F378" s="223"/>
      <c r="G378" s="94">
        <v>1974117.17</v>
      </c>
      <c r="H378" s="625"/>
      <c r="I378" s="348">
        <f t="shared" si="8"/>
        <v>103.96824282068293</v>
      </c>
      <c r="J378" s="321"/>
      <c r="K378" s="321"/>
    </row>
    <row r="379" spans="1:9" ht="77.25" customHeight="1">
      <c r="A379" s="23"/>
      <c r="B379" s="5"/>
      <c r="C379" s="259">
        <v>2009</v>
      </c>
      <c r="D379" s="14" t="s">
        <v>761</v>
      </c>
      <c r="E379" s="94">
        <v>70008.4</v>
      </c>
      <c r="F379" s="179"/>
      <c r="G379" s="94">
        <v>60896.1</v>
      </c>
      <c r="H379" s="453"/>
      <c r="I379" s="348">
        <f t="shared" si="8"/>
        <v>86.98399049256946</v>
      </c>
    </row>
    <row r="380" spans="1:9" ht="23.25" customHeight="1">
      <c r="A380" s="16">
        <v>854</v>
      </c>
      <c r="B380" s="10"/>
      <c r="C380" s="241"/>
      <c r="D380" s="18" t="s">
        <v>309</v>
      </c>
      <c r="E380" s="45">
        <f>E381+E384+E390+E392+E396+E402+E404</f>
        <v>764440</v>
      </c>
      <c r="F380" s="122"/>
      <c r="G380" s="45">
        <f>G381+G384+G390+G392+G396+G402+G404</f>
        <v>746788.3</v>
      </c>
      <c r="H380" s="348"/>
      <c r="I380" s="444">
        <f t="shared" si="8"/>
        <v>97.69089791219717</v>
      </c>
    </row>
    <row r="381" spans="1:11" s="69" customFormat="1" ht="23.25" customHeight="1">
      <c r="A381" s="47"/>
      <c r="B381" s="42">
        <v>85401</v>
      </c>
      <c r="C381" s="254"/>
      <c r="D381" s="46" t="s">
        <v>695</v>
      </c>
      <c r="E381" s="37">
        <f>E382+E383</f>
        <v>40960</v>
      </c>
      <c r="F381" s="131"/>
      <c r="G381" s="37">
        <f>G382+G383</f>
        <v>42575.310000000005</v>
      </c>
      <c r="H381" s="556"/>
      <c r="I381" s="348">
        <f t="shared" si="8"/>
        <v>103.94362792968752</v>
      </c>
      <c r="J381" s="321"/>
      <c r="K381" s="321"/>
    </row>
    <row r="382" spans="1:9" ht="23.25" customHeight="1">
      <c r="A382" s="66"/>
      <c r="B382" s="25"/>
      <c r="C382" s="259" t="s">
        <v>552</v>
      </c>
      <c r="D382" s="14" t="s">
        <v>553</v>
      </c>
      <c r="E382" s="35">
        <v>40960</v>
      </c>
      <c r="F382" s="112"/>
      <c r="G382" s="35">
        <v>42564.01</v>
      </c>
      <c r="H382" s="344"/>
      <c r="I382" s="348">
        <f t="shared" si="8"/>
        <v>103.9160400390625</v>
      </c>
    </row>
    <row r="383" spans="1:9" ht="23.25" customHeight="1">
      <c r="A383" s="66"/>
      <c r="B383" s="9"/>
      <c r="C383" s="259" t="s">
        <v>454</v>
      </c>
      <c r="D383" s="14" t="s">
        <v>298</v>
      </c>
      <c r="E383" s="35"/>
      <c r="F383" s="112"/>
      <c r="G383" s="35">
        <v>11.3</v>
      </c>
      <c r="H383" s="344"/>
      <c r="I383" s="348"/>
    </row>
    <row r="384" spans="1:9" ht="29.25" customHeight="1">
      <c r="A384" s="66"/>
      <c r="B384" s="43">
        <v>85403</v>
      </c>
      <c r="C384" s="254"/>
      <c r="D384" s="46" t="s">
        <v>326</v>
      </c>
      <c r="E384" s="37">
        <f>SUM(E385:E389)</f>
        <v>60260</v>
      </c>
      <c r="F384" s="112"/>
      <c r="G384" s="37">
        <f>SUM(G385:G389)</f>
        <v>65920.42000000001</v>
      </c>
      <c r="H384" s="344"/>
      <c r="I384" s="348">
        <f t="shared" si="8"/>
        <v>109.39332890806509</v>
      </c>
    </row>
    <row r="385" spans="1:9" ht="24.75" customHeight="1">
      <c r="A385" s="66"/>
      <c r="B385" s="42"/>
      <c r="C385" s="259" t="s">
        <v>549</v>
      </c>
      <c r="D385" s="14" t="s">
        <v>550</v>
      </c>
      <c r="E385" s="35">
        <v>100</v>
      </c>
      <c r="F385" s="112"/>
      <c r="G385" s="35">
        <v>113</v>
      </c>
      <c r="H385" s="344"/>
      <c r="I385" s="348">
        <f t="shared" si="8"/>
        <v>112.99999999999999</v>
      </c>
    </row>
    <row r="386" spans="1:9" ht="86.25" customHeight="1">
      <c r="A386" s="66"/>
      <c r="B386" s="67"/>
      <c r="C386" s="259" t="s">
        <v>556</v>
      </c>
      <c r="D386" s="14" t="s">
        <v>751</v>
      </c>
      <c r="E386" s="35">
        <v>10120</v>
      </c>
      <c r="F386" s="112"/>
      <c r="G386" s="35">
        <v>10581.83</v>
      </c>
      <c r="H386" s="344"/>
      <c r="I386" s="348">
        <f t="shared" si="8"/>
        <v>104.5635375494071</v>
      </c>
    </row>
    <row r="387" spans="1:9" ht="22.5" customHeight="1">
      <c r="A387" s="66"/>
      <c r="B387" s="67"/>
      <c r="C387" s="259" t="s">
        <v>552</v>
      </c>
      <c r="D387" s="14" t="s">
        <v>553</v>
      </c>
      <c r="E387" s="35">
        <v>36200</v>
      </c>
      <c r="F387" s="112"/>
      <c r="G387" s="35">
        <v>38704.16</v>
      </c>
      <c r="H387" s="344"/>
      <c r="I387" s="348">
        <f t="shared" si="8"/>
        <v>106.9175690607735</v>
      </c>
    </row>
    <row r="388" spans="1:9" ht="22.5" customHeight="1">
      <c r="A388" s="66"/>
      <c r="B388" s="67"/>
      <c r="C388" s="259" t="s">
        <v>454</v>
      </c>
      <c r="D388" s="14" t="s">
        <v>298</v>
      </c>
      <c r="E388" s="35"/>
      <c r="F388" s="112"/>
      <c r="G388" s="35">
        <v>885.86</v>
      </c>
      <c r="H388" s="344"/>
      <c r="I388" s="348"/>
    </row>
    <row r="389" spans="1:9" ht="23.25" customHeight="1">
      <c r="A389" s="66"/>
      <c r="B389" s="9"/>
      <c r="C389" s="259" t="s">
        <v>756</v>
      </c>
      <c r="D389" s="14" t="s">
        <v>757</v>
      </c>
      <c r="E389" s="35">
        <v>13840</v>
      </c>
      <c r="F389" s="112"/>
      <c r="G389" s="35">
        <v>15635.57</v>
      </c>
      <c r="H389" s="344"/>
      <c r="I389" s="348">
        <f t="shared" si="8"/>
        <v>112.97377167630059</v>
      </c>
    </row>
    <row r="390" spans="1:9" ht="42.75" customHeight="1">
      <c r="A390" s="66"/>
      <c r="B390" s="32">
        <v>85406</v>
      </c>
      <c r="C390" s="32"/>
      <c r="D390" s="33" t="s">
        <v>697</v>
      </c>
      <c r="E390" s="37">
        <f>E391</f>
        <v>1720</v>
      </c>
      <c r="F390" s="132"/>
      <c r="G390" s="37">
        <f>G391</f>
        <v>1819.78</v>
      </c>
      <c r="H390" s="344"/>
      <c r="I390" s="348">
        <f t="shared" si="8"/>
        <v>105.80116279069767</v>
      </c>
    </row>
    <row r="391" spans="1:9" ht="23.25" customHeight="1">
      <c r="A391" s="66"/>
      <c r="B391" s="67"/>
      <c r="C391" s="259" t="s">
        <v>756</v>
      </c>
      <c r="D391" s="14" t="s">
        <v>757</v>
      </c>
      <c r="E391" s="35">
        <v>1720</v>
      </c>
      <c r="F391" s="112"/>
      <c r="G391" s="35">
        <v>1819.78</v>
      </c>
      <c r="H391" s="344"/>
      <c r="I391" s="348">
        <f t="shared" si="8"/>
        <v>105.80116279069767</v>
      </c>
    </row>
    <row r="392" spans="1:9" ht="27.75" customHeight="1">
      <c r="A392" s="66"/>
      <c r="B392" s="42">
        <v>85407</v>
      </c>
      <c r="C392" s="254"/>
      <c r="D392" s="46" t="s">
        <v>443</v>
      </c>
      <c r="E392" s="37">
        <f>E393+E394+E395</f>
        <v>40000</v>
      </c>
      <c r="F392" s="112"/>
      <c r="G392" s="37">
        <f>G393+G394+G395</f>
        <v>41813.45</v>
      </c>
      <c r="H392" s="344"/>
      <c r="I392" s="348">
        <f t="shared" si="8"/>
        <v>104.53362499999999</v>
      </c>
    </row>
    <row r="393" spans="1:9" ht="87" customHeight="1">
      <c r="A393" s="66"/>
      <c r="B393" s="42"/>
      <c r="C393" s="259" t="s">
        <v>556</v>
      </c>
      <c r="D393" s="14" t="s">
        <v>751</v>
      </c>
      <c r="E393" s="35"/>
      <c r="F393" s="112"/>
      <c r="G393" s="35">
        <v>525</v>
      </c>
      <c r="H393" s="344"/>
      <c r="I393" s="348"/>
    </row>
    <row r="394" spans="1:9" ht="31.5" customHeight="1">
      <c r="A394" s="66"/>
      <c r="B394" s="43"/>
      <c r="C394" s="264" t="s">
        <v>641</v>
      </c>
      <c r="D394" s="14" t="s">
        <v>642</v>
      </c>
      <c r="E394" s="35">
        <v>40000</v>
      </c>
      <c r="F394" s="112"/>
      <c r="G394" s="35">
        <v>40800</v>
      </c>
      <c r="H394" s="344"/>
      <c r="I394" s="348">
        <f t="shared" si="8"/>
        <v>102</v>
      </c>
    </row>
    <row r="395" spans="1:9" ht="27" customHeight="1">
      <c r="A395" s="66"/>
      <c r="B395" s="48"/>
      <c r="C395" s="259" t="s">
        <v>756</v>
      </c>
      <c r="D395" s="14" t="s">
        <v>757</v>
      </c>
      <c r="E395" s="35"/>
      <c r="F395" s="112"/>
      <c r="G395" s="35">
        <v>488.45</v>
      </c>
      <c r="H395" s="344"/>
      <c r="I395" s="348"/>
    </row>
    <row r="396" spans="1:11" s="69" customFormat="1" ht="24.75" customHeight="1">
      <c r="A396" s="47"/>
      <c r="B396" s="48">
        <v>85410</v>
      </c>
      <c r="C396" s="254"/>
      <c r="D396" s="46" t="s">
        <v>545</v>
      </c>
      <c r="E396" s="37">
        <f>SUM(E397:E401)</f>
        <v>499800</v>
      </c>
      <c r="F396" s="132"/>
      <c r="G396" s="37">
        <f>SUM(G397:G401)</f>
        <v>500394.7</v>
      </c>
      <c r="H396" s="634"/>
      <c r="I396" s="348">
        <f t="shared" si="8"/>
        <v>100.118987595038</v>
      </c>
      <c r="J396" s="321"/>
      <c r="K396" s="321"/>
    </row>
    <row r="397" spans="1:9" ht="25.5" customHeight="1">
      <c r="A397" s="23"/>
      <c r="B397" s="12"/>
      <c r="C397" s="260" t="s">
        <v>549</v>
      </c>
      <c r="D397" s="3" t="s">
        <v>550</v>
      </c>
      <c r="E397" s="35">
        <v>117000</v>
      </c>
      <c r="F397" s="112"/>
      <c r="G397" s="35">
        <v>115605</v>
      </c>
      <c r="H397" s="344"/>
      <c r="I397" s="348">
        <f t="shared" si="8"/>
        <v>98.8076923076923</v>
      </c>
    </row>
    <row r="398" spans="1:9" ht="86.25" customHeight="1">
      <c r="A398" s="23"/>
      <c r="B398" s="12"/>
      <c r="C398" s="259" t="s">
        <v>556</v>
      </c>
      <c r="D398" s="14" t="s">
        <v>751</v>
      </c>
      <c r="E398" s="35">
        <v>31300</v>
      </c>
      <c r="F398" s="112"/>
      <c r="G398" s="35">
        <v>31380.52</v>
      </c>
      <c r="H398" s="344"/>
      <c r="I398" s="348">
        <f t="shared" si="8"/>
        <v>100.25725239616614</v>
      </c>
    </row>
    <row r="399" spans="1:9" ht="25.5" customHeight="1">
      <c r="A399" s="23"/>
      <c r="B399" s="12"/>
      <c r="C399" s="259" t="s">
        <v>552</v>
      </c>
      <c r="D399" s="14" t="s">
        <v>553</v>
      </c>
      <c r="E399" s="35">
        <v>351000</v>
      </c>
      <c r="F399" s="112"/>
      <c r="G399" s="35">
        <v>352827.84</v>
      </c>
      <c r="H399" s="344"/>
      <c r="I399" s="348">
        <f t="shared" si="8"/>
        <v>100.52075213675214</v>
      </c>
    </row>
    <row r="400" spans="1:9" ht="25.5" customHeight="1">
      <c r="A400" s="23"/>
      <c r="B400" s="12"/>
      <c r="C400" s="259" t="s">
        <v>454</v>
      </c>
      <c r="D400" s="14" t="s">
        <v>298</v>
      </c>
      <c r="E400" s="35">
        <v>500</v>
      </c>
      <c r="F400" s="112"/>
      <c r="G400" s="35">
        <v>356.34</v>
      </c>
      <c r="H400" s="344"/>
      <c r="I400" s="348">
        <f t="shared" si="8"/>
        <v>71.268</v>
      </c>
    </row>
    <row r="401" spans="1:9" ht="24.75" customHeight="1">
      <c r="A401" s="23"/>
      <c r="B401" s="12"/>
      <c r="C401" s="259" t="s">
        <v>756</v>
      </c>
      <c r="D401" s="14" t="s">
        <v>757</v>
      </c>
      <c r="E401" s="35"/>
      <c r="F401" s="112"/>
      <c r="G401" s="35">
        <v>225</v>
      </c>
      <c r="H401" s="344"/>
      <c r="I401" s="348"/>
    </row>
    <row r="402" spans="1:9" ht="51.75" customHeight="1">
      <c r="A402" s="23"/>
      <c r="B402" s="32">
        <v>85412</v>
      </c>
      <c r="C402" s="254"/>
      <c r="D402" s="46" t="s">
        <v>459</v>
      </c>
      <c r="E402" s="37">
        <f>E403</f>
        <v>5700</v>
      </c>
      <c r="F402" s="112"/>
      <c r="G402" s="37">
        <f>G403</f>
        <v>5950</v>
      </c>
      <c r="H402" s="344"/>
      <c r="I402" s="348">
        <f t="shared" si="8"/>
        <v>104.3859649122807</v>
      </c>
    </row>
    <row r="403" spans="1:9" ht="17.25" customHeight="1">
      <c r="A403" s="23"/>
      <c r="B403" s="12"/>
      <c r="C403" s="259" t="s">
        <v>552</v>
      </c>
      <c r="D403" s="14" t="s">
        <v>553</v>
      </c>
      <c r="E403" s="35">
        <v>5700</v>
      </c>
      <c r="F403" s="112"/>
      <c r="G403" s="35">
        <v>5950</v>
      </c>
      <c r="H403" s="344"/>
      <c r="I403" s="348">
        <f t="shared" si="8"/>
        <v>104.3859649122807</v>
      </c>
    </row>
    <row r="404" spans="1:11" s="69" customFormat="1" ht="24.75" customHeight="1">
      <c r="A404" s="47"/>
      <c r="B404" s="32">
        <v>85417</v>
      </c>
      <c r="C404" s="245"/>
      <c r="D404" s="46" t="s">
        <v>546</v>
      </c>
      <c r="E404" s="37">
        <f>SUM(E405:E406)</f>
        <v>116000</v>
      </c>
      <c r="F404" s="132"/>
      <c r="G404" s="37">
        <f>SUM(G405:G406)</f>
        <v>88314.64</v>
      </c>
      <c r="H404" s="634"/>
      <c r="I404" s="348">
        <f t="shared" si="8"/>
        <v>76.13331034482759</v>
      </c>
      <c r="J404" s="321"/>
      <c r="K404" s="321"/>
    </row>
    <row r="405" spans="1:9" ht="23.25" customHeight="1">
      <c r="A405" s="23"/>
      <c r="B405" s="12"/>
      <c r="C405" s="259" t="s">
        <v>552</v>
      </c>
      <c r="D405" s="14" t="s">
        <v>553</v>
      </c>
      <c r="E405" s="35">
        <v>100000</v>
      </c>
      <c r="F405" s="112"/>
      <c r="G405" s="35">
        <v>71975.64</v>
      </c>
      <c r="H405" s="344"/>
      <c r="I405" s="348">
        <f t="shared" si="8"/>
        <v>71.97564</v>
      </c>
    </row>
    <row r="406" spans="1:9" ht="23.25" customHeight="1">
      <c r="A406" s="23"/>
      <c r="B406" s="12"/>
      <c r="C406" s="255" t="s">
        <v>756</v>
      </c>
      <c r="D406" s="14" t="s">
        <v>757</v>
      </c>
      <c r="E406" s="35">
        <v>16000</v>
      </c>
      <c r="F406" s="115"/>
      <c r="G406" s="35">
        <v>16339</v>
      </c>
      <c r="H406" s="340"/>
      <c r="I406" s="348">
        <f t="shared" si="8"/>
        <v>102.11874999999999</v>
      </c>
    </row>
    <row r="407" spans="1:9" ht="30.75" customHeight="1">
      <c r="A407" s="16">
        <v>900</v>
      </c>
      <c r="B407" s="16"/>
      <c r="C407" s="241"/>
      <c r="D407" s="18" t="s">
        <v>502</v>
      </c>
      <c r="E407" s="45">
        <f>E408</f>
        <v>1500000</v>
      </c>
      <c r="F407" s="227"/>
      <c r="G407" s="45">
        <f>G408</f>
        <v>2308663.37</v>
      </c>
      <c r="H407" s="626"/>
      <c r="I407" s="444">
        <f t="shared" si="8"/>
        <v>153.91089133333332</v>
      </c>
    </row>
    <row r="408" spans="1:9" ht="45" customHeight="1">
      <c r="A408" s="43"/>
      <c r="B408" s="32">
        <v>90019</v>
      </c>
      <c r="C408" s="254"/>
      <c r="D408" s="46" t="s">
        <v>811</v>
      </c>
      <c r="E408" s="124">
        <f>SUM(E409:E409)</f>
        <v>1500000</v>
      </c>
      <c r="F408" s="179"/>
      <c r="G408" s="124">
        <f>SUM(G409:G409)</f>
        <v>2308663.37</v>
      </c>
      <c r="H408" s="453"/>
      <c r="I408" s="348">
        <f t="shared" si="8"/>
        <v>153.91089133333332</v>
      </c>
    </row>
    <row r="409" spans="1:9" ht="21.75" customHeight="1">
      <c r="A409" s="23"/>
      <c r="B409" s="5"/>
      <c r="C409" s="259" t="s">
        <v>549</v>
      </c>
      <c r="D409" s="14" t="s">
        <v>550</v>
      </c>
      <c r="E409" s="68">
        <v>1500000</v>
      </c>
      <c r="F409" s="179"/>
      <c r="G409" s="68">
        <v>2308663.37</v>
      </c>
      <c r="H409" s="453"/>
      <c r="I409" s="348">
        <f t="shared" si="8"/>
        <v>153.91089133333332</v>
      </c>
    </row>
    <row r="410" spans="1:9" ht="30.75" customHeight="1">
      <c r="A410" s="16">
        <v>921</v>
      </c>
      <c r="B410" s="9"/>
      <c r="C410" s="241"/>
      <c r="D410" s="18" t="s">
        <v>664</v>
      </c>
      <c r="E410" s="45">
        <f>E411</f>
        <v>80000</v>
      </c>
      <c r="F410" s="179"/>
      <c r="G410" s="45">
        <f>G411</f>
        <v>80000</v>
      </c>
      <c r="H410" s="453"/>
      <c r="I410" s="444">
        <f t="shared" si="8"/>
        <v>100</v>
      </c>
    </row>
    <row r="411" spans="1:11" s="69" customFormat="1" ht="24" customHeight="1">
      <c r="A411" s="43"/>
      <c r="B411" s="32">
        <v>92116</v>
      </c>
      <c r="C411" s="254"/>
      <c r="D411" s="46" t="s">
        <v>524</v>
      </c>
      <c r="E411" s="124">
        <f>E412</f>
        <v>80000</v>
      </c>
      <c r="F411" s="223"/>
      <c r="G411" s="124">
        <f>G412</f>
        <v>80000</v>
      </c>
      <c r="H411" s="625"/>
      <c r="I411" s="348">
        <f t="shared" si="8"/>
        <v>100</v>
      </c>
      <c r="J411" s="321"/>
      <c r="K411" s="321"/>
    </row>
    <row r="412" spans="1:17" ht="66" customHeight="1">
      <c r="A412" s="23"/>
      <c r="B412" s="5"/>
      <c r="C412" s="260">
        <v>2320</v>
      </c>
      <c r="D412" s="3" t="s">
        <v>661</v>
      </c>
      <c r="E412" s="68">
        <v>80000</v>
      </c>
      <c r="F412" s="179"/>
      <c r="G412" s="68">
        <v>80000</v>
      </c>
      <c r="H412" s="453"/>
      <c r="I412" s="348">
        <f t="shared" si="8"/>
        <v>100</v>
      </c>
      <c r="L412" s="65"/>
      <c r="M412" s="65"/>
      <c r="N412" s="65"/>
      <c r="O412" s="65"/>
      <c r="P412" s="65"/>
      <c r="Q412" s="65"/>
    </row>
    <row r="413" spans="1:17" ht="24" customHeight="1">
      <c r="A413" s="64" t="s">
        <v>665</v>
      </c>
      <c r="B413" s="8"/>
      <c r="C413" s="265"/>
      <c r="D413" s="219"/>
      <c r="E413" s="85">
        <f>E233+E236+E246+E249+E253+E267+E277+E284+E293+E301+E346+E349+E367+E380+E407+E410</f>
        <v>124124078.46000001</v>
      </c>
      <c r="F413" s="182">
        <f>F233+F236+F246+F249+F253+F267+F277+F284+F293+F301+F346+F349+F367+F380+F407+F410</f>
        <v>10552539</v>
      </c>
      <c r="G413" s="85">
        <f>G233+G236+G246+G249+G253+G267+G277+G284+G293+G301+G346+G349+G367+G380+G407+G410</f>
        <v>134337507.63000003</v>
      </c>
      <c r="H413" s="619">
        <f>H233+H236+H246+H249+H253+H267+H277+H284+H293+H301+H346+H349+H367+H380+H407+H410</f>
        <v>10532952.78</v>
      </c>
      <c r="I413" s="443">
        <f>G413/E413*100</f>
        <v>108.2284028181457</v>
      </c>
      <c r="L413" s="319"/>
      <c r="M413" s="65"/>
      <c r="N413" s="319"/>
      <c r="O413" s="65"/>
      <c r="P413" s="65"/>
      <c r="Q413" s="65"/>
    </row>
    <row r="414" spans="1:17" ht="21" customHeight="1">
      <c r="A414" s="74" t="s">
        <v>671</v>
      </c>
      <c r="B414" s="16"/>
      <c r="C414" s="241"/>
      <c r="D414" s="44"/>
      <c r="E414" s="85">
        <f>E231+E413</f>
        <v>385129154.77</v>
      </c>
      <c r="F414" s="183">
        <f>F231+F413</f>
        <v>32543977</v>
      </c>
      <c r="G414" s="85">
        <f>G231+G413</f>
        <v>394489158.51</v>
      </c>
      <c r="H414" s="620">
        <f>H231+H413</f>
        <v>32243776.4</v>
      </c>
      <c r="I414" s="339">
        <f>G414/E414*100</f>
        <v>102.43035449902249</v>
      </c>
      <c r="L414" s="65"/>
      <c r="M414" s="65"/>
      <c r="N414" s="65"/>
      <c r="O414" s="65"/>
      <c r="P414" s="65"/>
      <c r="Q414" s="65"/>
    </row>
    <row r="415" spans="1:17" ht="21" customHeight="1">
      <c r="A415" s="358"/>
      <c r="B415" s="28"/>
      <c r="C415" s="359"/>
      <c r="D415" s="360"/>
      <c r="E415" s="361"/>
      <c r="F415" s="362"/>
      <c r="G415" s="361"/>
      <c r="H415" s="460"/>
      <c r="I415" s="470"/>
      <c r="L415" s="65"/>
      <c r="M415" s="65"/>
      <c r="N415" s="65"/>
      <c r="O415" s="65"/>
      <c r="P415" s="65"/>
      <c r="Q415" s="65"/>
    </row>
    <row r="416" spans="12:19" ht="12.75">
      <c r="L416" s="65"/>
      <c r="M416" s="65"/>
      <c r="N416" s="65"/>
      <c r="O416" s="65"/>
      <c r="P416" s="65"/>
      <c r="Q416" s="65"/>
      <c r="R416" s="65"/>
      <c r="S416" s="65"/>
    </row>
    <row r="417" spans="12:19" ht="12.75">
      <c r="L417" s="65"/>
      <c r="M417" s="65"/>
      <c r="N417" s="65"/>
      <c r="O417" s="65"/>
      <c r="P417" s="65"/>
      <c r="Q417" s="65"/>
      <c r="R417" s="65"/>
      <c r="S417" s="65"/>
    </row>
    <row r="418" spans="12:19" ht="12.75">
      <c r="L418" s="65"/>
      <c r="M418" s="65"/>
      <c r="N418" s="65"/>
      <c r="O418" s="65"/>
      <c r="P418" s="65"/>
      <c r="Q418" s="65"/>
      <c r="R418" s="65"/>
      <c r="S418" s="65"/>
    </row>
    <row r="419" spans="12:19" ht="12.75">
      <c r="L419" s="65"/>
      <c r="M419" s="65"/>
      <c r="N419" s="65"/>
      <c r="O419" s="65"/>
      <c r="P419" s="65"/>
      <c r="Q419" s="65"/>
      <c r="R419" s="65"/>
      <c r="S419" s="65"/>
    </row>
    <row r="420" spans="12:19" ht="12.75">
      <c r="L420" s="65"/>
      <c r="M420" s="65"/>
      <c r="N420" s="65"/>
      <c r="O420" s="65"/>
      <c r="P420" s="65"/>
      <c r="Q420" s="65"/>
      <c r="R420" s="65"/>
      <c r="S420" s="65"/>
    </row>
    <row r="421" spans="12:19" ht="12.75">
      <c r="L421" s="65"/>
      <c r="M421" s="65"/>
      <c r="N421" s="65"/>
      <c r="O421" s="65"/>
      <c r="P421" s="65"/>
      <c r="Q421" s="65"/>
      <c r="R421" s="65"/>
      <c r="S421" s="65"/>
    </row>
    <row r="422" spans="12:19" ht="12.75">
      <c r="L422" s="65"/>
      <c r="M422" s="65"/>
      <c r="N422" s="65"/>
      <c r="O422" s="65"/>
      <c r="P422" s="65"/>
      <c r="Q422" s="65"/>
      <c r="R422" s="65"/>
      <c r="S422" s="65"/>
    </row>
    <row r="423" spans="12:19" ht="12.75">
      <c r="L423" s="65"/>
      <c r="M423" s="65"/>
      <c r="N423" s="65"/>
      <c r="O423" s="65"/>
      <c r="P423" s="65"/>
      <c r="Q423" s="65"/>
      <c r="R423" s="65"/>
      <c r="S423" s="65"/>
    </row>
    <row r="424" spans="12:19" ht="12.75">
      <c r="L424" s="65"/>
      <c r="M424" s="65"/>
      <c r="N424" s="65"/>
      <c r="O424" s="65"/>
      <c r="P424" s="65"/>
      <c r="Q424" s="65"/>
      <c r="R424" s="65"/>
      <c r="S424" s="65"/>
    </row>
    <row r="425" spans="12:19" ht="12.75">
      <c r="L425" s="65"/>
      <c r="M425" s="65"/>
      <c r="N425" s="65"/>
      <c r="O425" s="65"/>
      <c r="P425" s="65"/>
      <c r="Q425" s="65"/>
      <c r="R425" s="65"/>
      <c r="S425" s="65"/>
    </row>
    <row r="426" spans="12:19" ht="12.75">
      <c r="L426" s="65"/>
      <c r="M426" s="65"/>
      <c r="N426" s="65"/>
      <c r="O426" s="65"/>
      <c r="P426" s="65"/>
      <c r="Q426" s="65"/>
      <c r="R426" s="65"/>
      <c r="S426" s="65"/>
    </row>
    <row r="427" spans="12:19" ht="12.75">
      <c r="L427" s="65"/>
      <c r="M427" s="65"/>
      <c r="N427" s="65"/>
      <c r="O427" s="65"/>
      <c r="P427" s="65"/>
      <c r="Q427" s="65"/>
      <c r="R427" s="65"/>
      <c r="S427" s="65"/>
    </row>
    <row r="428" spans="12:19" ht="12.75">
      <c r="L428" s="65"/>
      <c r="M428" s="65"/>
      <c r="N428" s="65"/>
      <c r="O428" s="65"/>
      <c r="P428" s="65"/>
      <c r="Q428" s="65"/>
      <c r="R428" s="65"/>
      <c r="S428" s="65"/>
    </row>
    <row r="429" spans="12:19" ht="12.75">
      <c r="L429" s="65"/>
      <c r="M429" s="65"/>
      <c r="N429" s="65"/>
      <c r="O429" s="65"/>
      <c r="P429" s="65"/>
      <c r="Q429" s="65"/>
      <c r="R429" s="65"/>
      <c r="S429" s="65"/>
    </row>
    <row r="430" spans="12:19" ht="12.75">
      <c r="L430" s="65"/>
      <c r="M430" s="65"/>
      <c r="N430" s="65"/>
      <c r="O430" s="65"/>
      <c r="P430" s="65"/>
      <c r="Q430" s="65"/>
      <c r="R430" s="65"/>
      <c r="S430" s="65"/>
    </row>
    <row r="431" spans="12:19" ht="12.75">
      <c r="L431" s="65"/>
      <c r="M431" s="65"/>
      <c r="N431" s="65"/>
      <c r="O431" s="65"/>
      <c r="P431" s="65"/>
      <c r="Q431" s="65"/>
      <c r="R431" s="65"/>
      <c r="S431" s="65"/>
    </row>
    <row r="432" spans="12:19" ht="12.75">
      <c r="L432" s="65"/>
      <c r="M432" s="65"/>
      <c r="N432" s="65"/>
      <c r="O432" s="65"/>
      <c r="P432" s="65"/>
      <c r="Q432" s="65"/>
      <c r="R432" s="65"/>
      <c r="S432" s="65"/>
    </row>
  </sheetData>
  <mergeCells count="6">
    <mergeCell ref="G9:H9"/>
    <mergeCell ref="E9:F9"/>
    <mergeCell ref="A9:A11"/>
    <mergeCell ref="B9:B11"/>
    <mergeCell ref="C9:C11"/>
    <mergeCell ref="D9:D11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B1" sqref="B1"/>
    </sheetView>
  </sheetViews>
  <sheetFormatPr defaultColWidth="9.140625" defaultRowHeight="12.75"/>
  <cols>
    <col min="1" max="1" width="5.421875" style="54" customWidth="1"/>
    <col min="2" max="2" width="26.421875" style="54" customWidth="1"/>
    <col min="3" max="3" width="27.7109375" style="54" customWidth="1"/>
    <col min="4" max="4" width="17.7109375" style="54" customWidth="1"/>
    <col min="5" max="5" width="17.421875" style="54" customWidth="1"/>
    <col min="6" max="6" width="7.7109375" style="63" customWidth="1"/>
    <col min="7" max="7" width="24.7109375" style="54" customWidth="1"/>
    <col min="8" max="8" width="9.140625" style="54" customWidth="1"/>
    <col min="9" max="9" width="8.8515625" style="54" customWidth="1"/>
    <col min="10" max="16384" width="9.140625" style="54" customWidth="1"/>
  </cols>
  <sheetData>
    <row r="1" spans="3:5" ht="25.5" customHeight="1">
      <c r="C1" s="484"/>
      <c r="D1" s="707"/>
      <c r="E1" s="707"/>
    </row>
    <row r="2" spans="3:5" ht="25.5" customHeight="1">
      <c r="C2" s="484"/>
      <c r="D2" s="161"/>
      <c r="E2" s="476" t="s">
        <v>134</v>
      </c>
    </row>
    <row r="3" spans="3:5" ht="25.5" customHeight="1">
      <c r="C3" s="484"/>
      <c r="D3" s="161"/>
      <c r="E3" s="161"/>
    </row>
    <row r="4" spans="1:6" s="475" customFormat="1" ht="17.25" customHeight="1">
      <c r="A4" s="745" t="s">
        <v>107</v>
      </c>
      <c r="B4" s="745"/>
      <c r="C4" s="485"/>
      <c r="D4" s="54"/>
      <c r="E4" s="54"/>
      <c r="F4" s="486"/>
    </row>
    <row r="5" spans="1:6" s="475" customFormat="1" ht="17.25" customHeight="1">
      <c r="A5" s="745" t="s">
        <v>108</v>
      </c>
      <c r="B5" s="745"/>
      <c r="C5" s="485"/>
      <c r="D5" s="54"/>
      <c r="E5" s="54"/>
      <c r="F5" s="486"/>
    </row>
    <row r="6" spans="1:3" ht="17.25" customHeight="1">
      <c r="A6" s="745"/>
      <c r="B6" s="745"/>
      <c r="C6" s="485"/>
    </row>
    <row r="7" spans="1:2" ht="13.5">
      <c r="A7" s="487" t="s">
        <v>83</v>
      </c>
      <c r="B7" s="488"/>
    </row>
    <row r="8" spans="3:5" ht="11.25" customHeight="1">
      <c r="C8" s="489"/>
      <c r="D8" s="746"/>
      <c r="E8" s="490" t="s">
        <v>84</v>
      </c>
    </row>
    <row r="9" spans="1:6" ht="35.25" customHeight="1">
      <c r="A9" s="83" t="s">
        <v>85</v>
      </c>
      <c r="B9" s="83" t="s">
        <v>109</v>
      </c>
      <c r="C9" s="83" t="s">
        <v>110</v>
      </c>
      <c r="D9" s="650" t="s">
        <v>111</v>
      </c>
      <c r="E9" s="650" t="s">
        <v>96</v>
      </c>
      <c r="F9" s="650" t="s">
        <v>80</v>
      </c>
    </row>
    <row r="10" spans="1:6" ht="24" customHeight="1">
      <c r="A10" s="64" t="s">
        <v>99</v>
      </c>
      <c r="B10" s="747"/>
      <c r="C10" s="748"/>
      <c r="D10" s="749">
        <f>D11+D15+D18</f>
        <v>14054509.32</v>
      </c>
      <c r="E10" s="749">
        <f>E11+E15+E18</f>
        <v>14047856.02</v>
      </c>
      <c r="F10" s="750">
        <f>E10*100/D10</f>
        <v>99.95266074504265</v>
      </c>
    </row>
    <row r="11" spans="1:6" s="491" customFormat="1" ht="24" customHeight="1">
      <c r="A11" s="366" t="s">
        <v>112</v>
      </c>
      <c r="B11" s="751"/>
      <c r="C11" s="752"/>
      <c r="D11" s="753">
        <f>D12</f>
        <v>3987515</v>
      </c>
      <c r="E11" s="753">
        <f>E12</f>
        <v>3987515</v>
      </c>
      <c r="F11" s="766">
        <f>E11*100/D11</f>
        <v>100</v>
      </c>
    </row>
    <row r="12" spans="1:7" ht="31.5" customHeight="1">
      <c r="A12" s="755">
        <v>921</v>
      </c>
      <c r="B12" s="756" t="s">
        <v>101</v>
      </c>
      <c r="C12" s="17"/>
      <c r="D12" s="749">
        <f>D13+D14</f>
        <v>3987515</v>
      </c>
      <c r="E12" s="749">
        <f>E13+E14</f>
        <v>3987515</v>
      </c>
      <c r="F12" s="766">
        <f>E12*100/D12</f>
        <v>100</v>
      </c>
      <c r="G12" s="726"/>
    </row>
    <row r="13" spans="1:7" ht="22.5" customHeight="1">
      <c r="A13" s="757"/>
      <c r="B13" s="758"/>
      <c r="C13" s="219" t="s">
        <v>113</v>
      </c>
      <c r="D13" s="759">
        <f>3635000-950000+850000-20000+25000+5000+23860+30000</f>
        <v>3598860</v>
      </c>
      <c r="E13" s="759">
        <v>3598860</v>
      </c>
      <c r="F13" s="766">
        <f aca="true" t="shared" si="0" ref="F13:F42">E13*100/D13</f>
        <v>100</v>
      </c>
      <c r="G13" s="760"/>
    </row>
    <row r="14" spans="1:7" ht="22.5" customHeight="1">
      <c r="A14" s="684"/>
      <c r="B14" s="761"/>
      <c r="C14" s="219" t="s">
        <v>114</v>
      </c>
      <c r="D14" s="762">
        <f>365655+23000</f>
        <v>388655</v>
      </c>
      <c r="E14" s="759">
        <v>388655</v>
      </c>
      <c r="F14" s="766">
        <f t="shared" si="0"/>
        <v>100</v>
      </c>
      <c r="G14" s="760"/>
    </row>
    <row r="15" spans="1:7" ht="30" customHeight="1">
      <c r="A15" s="366" t="s">
        <v>115</v>
      </c>
      <c r="B15" s="763"/>
      <c r="C15" s="219"/>
      <c r="D15" s="753">
        <f>D16</f>
        <v>9890994.32</v>
      </c>
      <c r="E15" s="753">
        <f>E16</f>
        <v>9890994.32</v>
      </c>
      <c r="F15" s="766">
        <f t="shared" si="0"/>
        <v>100</v>
      </c>
      <c r="G15" s="726"/>
    </row>
    <row r="16" spans="1:7" ht="28.5" customHeight="1">
      <c r="A16" s="144">
        <v>600</v>
      </c>
      <c r="B16" s="56" t="s">
        <v>87</v>
      </c>
      <c r="C16" s="219"/>
      <c r="D16" s="749">
        <f>D17</f>
        <v>9890994.32</v>
      </c>
      <c r="E16" s="749">
        <f>E17</f>
        <v>9890994.32</v>
      </c>
      <c r="F16" s="766">
        <f t="shared" si="0"/>
        <v>100</v>
      </c>
      <c r="G16" s="760"/>
    </row>
    <row r="17" spans="1:7" ht="34.5" customHeight="1">
      <c r="A17" s="703"/>
      <c r="B17" s="764"/>
      <c r="C17" s="681" t="s">
        <v>116</v>
      </c>
      <c r="D17" s="765">
        <f>9607338.93-125991.62+330000+79647.01</f>
        <v>9890994.32</v>
      </c>
      <c r="E17" s="765">
        <v>9890994.32</v>
      </c>
      <c r="F17" s="766">
        <f t="shared" si="0"/>
        <v>100</v>
      </c>
      <c r="G17" s="760"/>
    </row>
    <row r="18" spans="1:7" ht="24" customHeight="1">
      <c r="A18" s="7" t="s">
        <v>117</v>
      </c>
      <c r="B18" s="21"/>
      <c r="C18" s="17"/>
      <c r="D18" s="753">
        <f>D19+D23+D25</f>
        <v>176000</v>
      </c>
      <c r="E18" s="753">
        <f>E19+E23+E25</f>
        <v>169346.7</v>
      </c>
      <c r="F18" s="766">
        <f t="shared" si="0"/>
        <v>96.21971590909091</v>
      </c>
      <c r="G18" s="726"/>
    </row>
    <row r="19" spans="1:7" ht="24.75" customHeight="1">
      <c r="A19" s="78">
        <v>851</v>
      </c>
      <c r="B19" s="767" t="s">
        <v>82</v>
      </c>
      <c r="C19" s="219"/>
      <c r="D19" s="768">
        <f>SUM(D20:D22)</f>
        <v>19000</v>
      </c>
      <c r="E19" s="768">
        <f>SUM(E20:E22)</f>
        <v>19000</v>
      </c>
      <c r="F19" s="766">
        <f t="shared" si="0"/>
        <v>100</v>
      </c>
      <c r="G19" s="726"/>
    </row>
    <row r="20" spans="1:8" ht="57" customHeight="1">
      <c r="A20" s="757"/>
      <c r="B20" s="769"/>
      <c r="C20" s="770" t="s">
        <v>118</v>
      </c>
      <c r="D20" s="762">
        <v>6000</v>
      </c>
      <c r="E20" s="759">
        <v>6000</v>
      </c>
      <c r="F20" s="766">
        <f t="shared" si="0"/>
        <v>100</v>
      </c>
      <c r="G20" s="760"/>
      <c r="H20" s="771"/>
    </row>
    <row r="21" spans="1:8" ht="57" customHeight="1">
      <c r="A21" s="772"/>
      <c r="B21" s="773"/>
      <c r="C21" s="770" t="s">
        <v>119</v>
      </c>
      <c r="D21" s="762">
        <v>10000</v>
      </c>
      <c r="E21" s="759">
        <v>10000</v>
      </c>
      <c r="F21" s="766">
        <f t="shared" si="0"/>
        <v>100</v>
      </c>
      <c r="G21" s="760"/>
      <c r="H21" s="771"/>
    </row>
    <row r="22" spans="1:8" ht="57" customHeight="1">
      <c r="A22" s="684"/>
      <c r="B22" s="774"/>
      <c r="C22" s="770" t="s">
        <v>120</v>
      </c>
      <c r="D22" s="762">
        <v>3000</v>
      </c>
      <c r="E22" s="759">
        <v>3000</v>
      </c>
      <c r="F22" s="766">
        <f t="shared" si="0"/>
        <v>100</v>
      </c>
      <c r="G22" s="760"/>
      <c r="H22" s="771"/>
    </row>
    <row r="23" spans="1:8" ht="30" customHeight="1">
      <c r="A23" s="87">
        <v>900</v>
      </c>
      <c r="B23" s="775" t="s">
        <v>121</v>
      </c>
      <c r="C23" s="219"/>
      <c r="D23" s="768">
        <f>D24</f>
        <v>6000</v>
      </c>
      <c r="E23" s="768">
        <f>E24</f>
        <v>0</v>
      </c>
      <c r="F23" s="766">
        <f t="shared" si="0"/>
        <v>0</v>
      </c>
      <c r="G23" s="726"/>
      <c r="H23" s="771"/>
    </row>
    <row r="24" spans="1:8" ht="43.5" customHeight="1">
      <c r="A24" s="757"/>
      <c r="B24" s="25"/>
      <c r="C24" s="776" t="s">
        <v>122</v>
      </c>
      <c r="D24" s="759">
        <f>10000-4000</f>
        <v>6000</v>
      </c>
      <c r="E24" s="759">
        <v>0</v>
      </c>
      <c r="F24" s="766">
        <f t="shared" si="0"/>
        <v>0</v>
      </c>
      <c r="G24" s="760"/>
      <c r="H24" s="771"/>
    </row>
    <row r="25" spans="1:8" ht="36" customHeight="1">
      <c r="A25" s="755">
        <v>921</v>
      </c>
      <c r="B25" s="756" t="s">
        <v>101</v>
      </c>
      <c r="C25" s="777"/>
      <c r="D25" s="768">
        <f>SUM(D26:D31)</f>
        <v>151000</v>
      </c>
      <c r="E25" s="768">
        <f>SUM(E26:E31)</f>
        <v>150346.7</v>
      </c>
      <c r="F25" s="766">
        <f t="shared" si="0"/>
        <v>99.5673509933775</v>
      </c>
      <c r="G25" s="760"/>
      <c r="H25" s="771"/>
    </row>
    <row r="26" spans="1:8" ht="42" customHeight="1">
      <c r="A26" s="757"/>
      <c r="B26" s="25"/>
      <c r="C26" s="778" t="s">
        <v>123</v>
      </c>
      <c r="D26" s="762">
        <v>45000</v>
      </c>
      <c r="E26" s="759">
        <v>45000</v>
      </c>
      <c r="F26" s="766">
        <f t="shared" si="0"/>
        <v>100</v>
      </c>
      <c r="G26" s="726"/>
      <c r="H26" s="771"/>
    </row>
    <row r="27" spans="1:8" ht="25.5" customHeight="1">
      <c r="A27" s="772"/>
      <c r="B27" s="67"/>
      <c r="C27" s="778" t="s">
        <v>124</v>
      </c>
      <c r="D27" s="762">
        <v>15000</v>
      </c>
      <c r="E27" s="759">
        <v>15000</v>
      </c>
      <c r="F27" s="766">
        <f t="shared" si="0"/>
        <v>100</v>
      </c>
      <c r="G27" s="726"/>
      <c r="H27" s="771"/>
    </row>
    <row r="28" spans="1:8" ht="27.75" customHeight="1">
      <c r="A28" s="772"/>
      <c r="B28" s="67"/>
      <c r="C28" s="778" t="s">
        <v>125</v>
      </c>
      <c r="D28" s="762">
        <v>40000</v>
      </c>
      <c r="E28" s="759">
        <v>40000</v>
      </c>
      <c r="F28" s="766">
        <f t="shared" si="0"/>
        <v>100</v>
      </c>
      <c r="G28" s="726"/>
      <c r="H28" s="771"/>
    </row>
    <row r="29" spans="1:8" ht="27.75" customHeight="1">
      <c r="A29" s="772"/>
      <c r="B29" s="67"/>
      <c r="C29" s="778" t="s">
        <v>126</v>
      </c>
      <c r="D29" s="762">
        <v>20000</v>
      </c>
      <c r="E29" s="759">
        <v>19874</v>
      </c>
      <c r="F29" s="766">
        <f t="shared" si="0"/>
        <v>99.37</v>
      </c>
      <c r="G29" s="726"/>
      <c r="H29" s="771"/>
    </row>
    <row r="30" spans="1:8" ht="45" customHeight="1">
      <c r="A30" s="772"/>
      <c r="B30" s="67"/>
      <c r="C30" s="778" t="s">
        <v>127</v>
      </c>
      <c r="D30" s="762">
        <v>15000</v>
      </c>
      <c r="E30" s="759">
        <v>14472.7</v>
      </c>
      <c r="F30" s="766">
        <f t="shared" si="0"/>
        <v>96.48466666666667</v>
      </c>
      <c r="G30" s="726"/>
      <c r="H30" s="771"/>
    </row>
    <row r="31" spans="1:8" ht="56.25" customHeight="1">
      <c r="A31" s="684"/>
      <c r="B31" s="9"/>
      <c r="C31" s="778" t="s">
        <v>128</v>
      </c>
      <c r="D31" s="762">
        <v>16000</v>
      </c>
      <c r="E31" s="759">
        <v>16000</v>
      </c>
      <c r="F31" s="766">
        <f t="shared" si="0"/>
        <v>100</v>
      </c>
      <c r="G31" s="726"/>
      <c r="H31" s="771"/>
    </row>
    <row r="32" spans="1:11" ht="27" customHeight="1">
      <c r="A32" s="779" t="s">
        <v>129</v>
      </c>
      <c r="B32" s="780"/>
      <c r="C32" s="781"/>
      <c r="D32" s="782">
        <f>D33+D36</f>
        <v>4684000</v>
      </c>
      <c r="E32" s="782">
        <f>E33+E36</f>
        <v>4543024.779999999</v>
      </c>
      <c r="F32" s="750">
        <f t="shared" si="0"/>
        <v>96.99028138343294</v>
      </c>
      <c r="G32" s="30"/>
      <c r="H32" s="771"/>
      <c r="I32" s="30"/>
      <c r="J32" s="30"/>
      <c r="K32" s="30"/>
    </row>
    <row r="33" spans="1:11" ht="29.25" customHeight="1">
      <c r="A33" s="457" t="s">
        <v>112</v>
      </c>
      <c r="B33" s="780"/>
      <c r="C33" s="783"/>
      <c r="D33" s="784">
        <f>D34</f>
        <v>2609000</v>
      </c>
      <c r="E33" s="784">
        <f>E34</f>
        <v>2609000</v>
      </c>
      <c r="F33" s="766">
        <f t="shared" si="0"/>
        <v>100</v>
      </c>
      <c r="G33" s="30"/>
      <c r="H33" s="30"/>
      <c r="I33" s="30"/>
      <c r="J33" s="30"/>
      <c r="K33" s="30"/>
    </row>
    <row r="34" spans="1:11" ht="34.5" customHeight="1">
      <c r="A34" s="144">
        <v>921</v>
      </c>
      <c r="B34" s="756" t="s">
        <v>101</v>
      </c>
      <c r="C34" s="785"/>
      <c r="D34" s="786">
        <f>D35</f>
        <v>2609000</v>
      </c>
      <c r="E34" s="786">
        <f>E35</f>
        <v>2609000</v>
      </c>
      <c r="F34" s="766">
        <f t="shared" si="0"/>
        <v>100</v>
      </c>
      <c r="G34" s="30"/>
      <c r="H34" s="30"/>
      <c r="I34" s="30"/>
      <c r="J34" s="30"/>
      <c r="K34" s="30"/>
    </row>
    <row r="35" spans="1:11" s="791" customFormat="1" ht="26.25" customHeight="1">
      <c r="A35" s="787"/>
      <c r="B35" s="788"/>
      <c r="C35" s="681" t="s">
        <v>130</v>
      </c>
      <c r="D35" s="759">
        <f>2600000+9000</f>
        <v>2609000</v>
      </c>
      <c r="E35" s="759">
        <v>2609000</v>
      </c>
      <c r="F35" s="766">
        <f t="shared" si="0"/>
        <v>100</v>
      </c>
      <c r="G35" s="789"/>
      <c r="H35" s="790"/>
      <c r="I35" s="790"/>
      <c r="J35" s="790"/>
      <c r="K35" s="790"/>
    </row>
    <row r="36" spans="1:11" ht="25.5" customHeight="1">
      <c r="A36" s="7" t="s">
        <v>117</v>
      </c>
      <c r="B36" s="792"/>
      <c r="C36" s="681"/>
      <c r="D36" s="793">
        <f>D37+D40</f>
        <v>2075000</v>
      </c>
      <c r="E36" s="793">
        <f>E37+E40</f>
        <v>1934024.7799999998</v>
      </c>
      <c r="F36" s="766">
        <f t="shared" si="0"/>
        <v>93.20601349397589</v>
      </c>
      <c r="G36" s="30"/>
      <c r="H36" s="30"/>
      <c r="I36" s="30"/>
      <c r="J36" s="30"/>
      <c r="K36" s="30"/>
    </row>
    <row r="37" spans="1:11" ht="26.25" customHeight="1">
      <c r="A37" s="25">
        <v>852</v>
      </c>
      <c r="B37" s="794" t="s">
        <v>279</v>
      </c>
      <c r="C37" s="777"/>
      <c r="D37" s="750">
        <f>D38+D39</f>
        <v>970000</v>
      </c>
      <c r="E37" s="750">
        <f>E38+E39</f>
        <v>844477.59</v>
      </c>
      <c r="F37" s="766">
        <f t="shared" si="0"/>
        <v>87.05954536082474</v>
      </c>
      <c r="G37" s="30"/>
      <c r="H37" s="30"/>
      <c r="I37" s="30"/>
      <c r="J37" s="30"/>
      <c r="K37" s="30"/>
    </row>
    <row r="38" spans="1:11" ht="47.25" customHeight="1">
      <c r="A38" s="758"/>
      <c r="B38" s="795"/>
      <c r="C38" s="111" t="s">
        <v>131</v>
      </c>
      <c r="D38" s="759">
        <v>600000</v>
      </c>
      <c r="E38" s="759">
        <v>552405.71</v>
      </c>
      <c r="F38" s="766">
        <f t="shared" si="0"/>
        <v>92.06761833333333</v>
      </c>
      <c r="G38" s="796"/>
      <c r="H38" s="30"/>
      <c r="I38" s="30"/>
      <c r="J38" s="30"/>
      <c r="K38" s="30"/>
    </row>
    <row r="39" spans="1:11" ht="49.5" customHeight="1">
      <c r="A39" s="761"/>
      <c r="B39" s="797"/>
      <c r="C39" s="111" t="s">
        <v>132</v>
      </c>
      <c r="D39" s="759">
        <f>170000+200000</f>
        <v>370000</v>
      </c>
      <c r="E39" s="759">
        <v>292071.88</v>
      </c>
      <c r="F39" s="766">
        <f t="shared" si="0"/>
        <v>78.93834594594594</v>
      </c>
      <c r="G39" s="796"/>
      <c r="H39" s="30"/>
      <c r="I39" s="30"/>
      <c r="J39" s="30"/>
      <c r="K39" s="30"/>
    </row>
    <row r="40" spans="1:11" ht="30.75" customHeight="1">
      <c r="A40" s="66">
        <v>853</v>
      </c>
      <c r="B40" s="798" t="s">
        <v>523</v>
      </c>
      <c r="C40" s="111"/>
      <c r="D40" s="750">
        <f>D41</f>
        <v>1105000</v>
      </c>
      <c r="E40" s="750">
        <f>E41</f>
        <v>1089547.19</v>
      </c>
      <c r="F40" s="766">
        <f t="shared" si="0"/>
        <v>98.6015556561086</v>
      </c>
      <c r="G40" s="30"/>
      <c r="H40" s="30"/>
      <c r="I40" s="30"/>
      <c r="J40" s="30"/>
      <c r="K40" s="30"/>
    </row>
    <row r="41" spans="1:11" ht="33" customHeight="1">
      <c r="A41" s="16"/>
      <c r="B41" s="44"/>
      <c r="C41" s="111" t="s">
        <v>133</v>
      </c>
      <c r="D41" s="759">
        <v>1105000</v>
      </c>
      <c r="E41" s="759">
        <v>1089547.19</v>
      </c>
      <c r="F41" s="766">
        <f t="shared" si="0"/>
        <v>98.6015556561086</v>
      </c>
      <c r="G41" s="789"/>
      <c r="H41" s="30"/>
      <c r="I41" s="30"/>
      <c r="J41" s="30"/>
      <c r="K41" s="30"/>
    </row>
    <row r="42" spans="1:6" ht="27" customHeight="1">
      <c r="A42" s="1244" t="s">
        <v>787</v>
      </c>
      <c r="B42" s="1245"/>
      <c r="C42" s="1247"/>
      <c r="D42" s="799">
        <f>D10+D32</f>
        <v>18738509.32</v>
      </c>
      <c r="E42" s="799">
        <f>E10+E32</f>
        <v>18590880.799999997</v>
      </c>
      <c r="F42" s="750">
        <f t="shared" si="0"/>
        <v>99.21216507952191</v>
      </c>
    </row>
    <row r="43" spans="1:6" ht="15.75">
      <c r="A43" s="791"/>
      <c r="F43" s="800"/>
    </row>
    <row r="44" spans="1:6" ht="15.75">
      <c r="A44" s="791"/>
      <c r="D44" s="801"/>
      <c r="E44" s="801"/>
      <c r="F44" s="800"/>
    </row>
    <row r="45" spans="4:6" ht="15.75">
      <c r="D45" s="801"/>
      <c r="E45" s="801"/>
      <c r="F45" s="800"/>
    </row>
    <row r="46" spans="4:6" ht="15.75">
      <c r="D46" s="801"/>
      <c r="E46" s="801"/>
      <c r="F46" s="800"/>
    </row>
    <row r="47" spans="4:6" ht="15.75">
      <c r="D47" s="801"/>
      <c r="E47" s="801"/>
      <c r="F47" s="801"/>
    </row>
    <row r="48" spans="4:6" ht="15.75">
      <c r="D48" s="801"/>
      <c r="E48" s="801"/>
      <c r="F48" s="801"/>
    </row>
    <row r="49" spans="4:6" ht="15.75">
      <c r="D49" s="801"/>
      <c r="E49" s="801"/>
      <c r="F49" s="801"/>
    </row>
    <row r="50" spans="4:6" ht="15.75">
      <c r="D50" s="801"/>
      <c r="E50" s="801"/>
      <c r="F50" s="801"/>
    </row>
    <row r="51" spans="4:6" ht="15.75">
      <c r="D51" s="801"/>
      <c r="E51" s="801"/>
      <c r="F51" s="801"/>
    </row>
    <row r="52" spans="4:5" ht="15.75">
      <c r="D52" s="801"/>
      <c r="E52" s="801"/>
    </row>
    <row r="53" spans="4:5" ht="12.75">
      <c r="D53" s="63"/>
      <c r="E53" s="63"/>
    </row>
    <row r="54" spans="4:5" ht="12.75">
      <c r="D54" s="63"/>
      <c r="E54" s="63"/>
    </row>
    <row r="55" spans="4:5" ht="12.75">
      <c r="D55" s="63"/>
      <c r="E55" s="63"/>
    </row>
    <row r="56" spans="4:5" ht="12.75">
      <c r="D56" s="63"/>
      <c r="E56" s="63"/>
    </row>
    <row r="57" spans="4:5" ht="12.75">
      <c r="D57" s="63"/>
      <c r="E57" s="63"/>
    </row>
    <row r="58" spans="4:5" ht="12.75">
      <c r="D58" s="63"/>
      <c r="E58" s="63"/>
    </row>
  </sheetData>
  <mergeCells count="1">
    <mergeCell ref="A42:C42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20"/>
  <sheetViews>
    <sheetView workbookViewId="0" topLeftCell="A1">
      <selection activeCell="D24" sqref="D24"/>
    </sheetView>
  </sheetViews>
  <sheetFormatPr defaultColWidth="9.140625" defaultRowHeight="12.75"/>
  <cols>
    <col min="1" max="1" width="3.00390625" style="30" customWidth="1"/>
    <col min="2" max="2" width="20.28125" style="30" customWidth="1"/>
    <col min="3" max="3" width="5.7109375" style="30" customWidth="1"/>
    <col min="4" max="4" width="14.00390625" style="30" customWidth="1"/>
    <col min="5" max="6" width="14.421875" style="30" customWidth="1"/>
    <col min="7" max="7" width="13.57421875" style="30" customWidth="1"/>
    <col min="8" max="8" width="11.8515625" style="30" customWidth="1"/>
    <col min="9" max="9" width="14.421875" style="30" customWidth="1"/>
    <col min="10" max="10" width="14.28125" style="30" customWidth="1"/>
    <col min="11" max="11" width="9.140625" style="30" customWidth="1"/>
    <col min="12" max="12" width="12.140625" style="30" customWidth="1"/>
    <col min="13" max="13" width="14.00390625" style="30" customWidth="1"/>
    <col min="14" max="14" width="12.8515625" style="30" customWidth="1"/>
    <col min="15" max="15" width="14.57421875" style="30" customWidth="1"/>
    <col min="16" max="16384" width="9.140625" style="30" customWidth="1"/>
  </cols>
  <sheetData>
    <row r="1" spans="1:27" ht="21" customHeight="1">
      <c r="A1" s="474"/>
      <c r="B1" s="475"/>
      <c r="C1" s="54"/>
      <c r="D1" s="54"/>
      <c r="E1" s="54"/>
      <c r="F1" s="54"/>
      <c r="G1" s="54"/>
      <c r="H1" s="476"/>
      <c r="I1" s="476"/>
      <c r="J1" s="476" t="s">
        <v>277</v>
      </c>
      <c r="K1" s="477"/>
      <c r="L1" s="477"/>
      <c r="M1" s="192"/>
      <c r="N1" s="193"/>
      <c r="O1" s="193"/>
      <c r="P1" s="193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18.75" customHeight="1">
      <c r="A2" s="474"/>
      <c r="B2" s="475"/>
      <c r="C2" s="54"/>
      <c r="D2" s="54"/>
      <c r="E2" s="54"/>
      <c r="F2" s="54"/>
      <c r="G2" s="54"/>
      <c r="H2" s="478"/>
      <c r="I2" s="478"/>
      <c r="J2" s="478"/>
      <c r="K2" s="477"/>
      <c r="L2" s="477"/>
      <c r="M2" s="192"/>
      <c r="N2" s="193"/>
      <c r="O2" s="193"/>
      <c r="P2" s="193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7" ht="12" customHeight="1">
      <c r="A3" s="474"/>
      <c r="B3" s="475"/>
      <c r="C3" s="54"/>
      <c r="D3" s="54"/>
      <c r="E3" s="54"/>
      <c r="F3" s="54"/>
      <c r="G3" s="54"/>
      <c r="H3" s="54"/>
      <c r="I3" s="54"/>
      <c r="J3" s="479"/>
      <c r="K3" s="477"/>
      <c r="L3" s="477"/>
      <c r="M3" s="192"/>
      <c r="N3" s="193"/>
      <c r="O3" s="193"/>
      <c r="P3" s="193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27" s="483" customFormat="1" ht="18.75">
      <c r="A4" s="480" t="s">
        <v>253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2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</row>
    <row r="5" spans="1:27" s="483" customFormat="1" ht="18.75">
      <c r="A5" s="480"/>
      <c r="B5" s="480" t="s">
        <v>137</v>
      </c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</row>
    <row r="6" spans="1:27" s="483" customFormat="1" ht="18.75">
      <c r="A6" s="480"/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923" t="s">
        <v>254</v>
      </c>
      <c r="M6" s="482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</row>
    <row r="7" spans="1:27" ht="19.5" customHeight="1">
      <c r="A7" s="924"/>
      <c r="B7" s="925"/>
      <c r="C7" s="925"/>
      <c r="D7" s="926"/>
      <c r="E7" s="927" t="s">
        <v>255</v>
      </c>
      <c r="F7" s="928"/>
      <c r="G7" s="929" t="s">
        <v>256</v>
      </c>
      <c r="H7" s="930"/>
      <c r="I7" s="927" t="s">
        <v>255</v>
      </c>
      <c r="J7" s="928"/>
      <c r="K7" s="929" t="s">
        <v>256</v>
      </c>
      <c r="L7" s="931"/>
      <c r="M7" s="932"/>
      <c r="N7" s="933"/>
      <c r="O7" s="193"/>
      <c r="P7" s="193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1:27" ht="21.75" customHeight="1">
      <c r="A8" s="934"/>
      <c r="B8" s="934"/>
      <c r="C8" s="934"/>
      <c r="D8" s="935" t="s">
        <v>257</v>
      </c>
      <c r="E8" s="936"/>
      <c r="F8" s="937"/>
      <c r="G8" s="938" t="s">
        <v>258</v>
      </c>
      <c r="H8" s="939"/>
      <c r="I8" s="824"/>
      <c r="J8" s="365"/>
      <c r="K8" s="940" t="s">
        <v>717</v>
      </c>
      <c r="L8" s="936" t="s">
        <v>257</v>
      </c>
      <c r="M8" s="932"/>
      <c r="N8" s="193"/>
      <c r="O8" s="193"/>
      <c r="P8" s="193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12.75">
      <c r="A9" s="941" t="s">
        <v>259</v>
      </c>
      <c r="B9" s="942" t="s">
        <v>260</v>
      </c>
      <c r="C9" s="943" t="s">
        <v>85</v>
      </c>
      <c r="D9" s="944" t="s">
        <v>261</v>
      </c>
      <c r="E9" s="942" t="s">
        <v>262</v>
      </c>
      <c r="F9" s="945" t="s">
        <v>262</v>
      </c>
      <c r="G9" s="1248" t="s">
        <v>263</v>
      </c>
      <c r="H9" s="1250" t="s">
        <v>264</v>
      </c>
      <c r="I9" s="942" t="s">
        <v>265</v>
      </c>
      <c r="J9" s="946" t="s">
        <v>265</v>
      </c>
      <c r="K9" s="1252" t="s">
        <v>266</v>
      </c>
      <c r="L9" s="947" t="s">
        <v>267</v>
      </c>
      <c r="M9" s="932"/>
      <c r="N9" s="193"/>
      <c r="O9" s="193"/>
      <c r="P9" s="193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25.5" customHeight="1">
      <c r="A10" s="948"/>
      <c r="B10" s="948"/>
      <c r="C10" s="949" t="s">
        <v>268</v>
      </c>
      <c r="D10" s="950" t="s">
        <v>269</v>
      </c>
      <c r="E10" s="951"/>
      <c r="F10" s="952"/>
      <c r="G10" s="1249"/>
      <c r="H10" s="1251"/>
      <c r="I10" s="953"/>
      <c r="J10" s="954"/>
      <c r="K10" s="1253"/>
      <c r="L10" s="951" t="s">
        <v>269</v>
      </c>
      <c r="M10" s="192"/>
      <c r="N10" s="193"/>
      <c r="O10" s="193"/>
      <c r="P10" s="193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 ht="12.75">
      <c r="A11" s="955">
        <v>1</v>
      </c>
      <c r="B11" s="955">
        <v>2</v>
      </c>
      <c r="C11" s="955">
        <v>3</v>
      </c>
      <c r="D11" s="955">
        <v>4</v>
      </c>
      <c r="E11" s="956">
        <v>5</v>
      </c>
      <c r="F11" s="955">
        <v>6</v>
      </c>
      <c r="G11" s="955">
        <v>7</v>
      </c>
      <c r="H11" s="955">
        <v>8</v>
      </c>
      <c r="I11" s="956">
        <v>9</v>
      </c>
      <c r="J11" s="955">
        <v>10</v>
      </c>
      <c r="K11" s="955">
        <v>11</v>
      </c>
      <c r="L11" s="955">
        <v>12</v>
      </c>
      <c r="M11" s="192"/>
      <c r="N11" s="193"/>
      <c r="O11" s="193"/>
      <c r="P11" s="193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 s="209" customFormat="1" ht="21" customHeight="1">
      <c r="A12" s="957"/>
      <c r="B12" s="958" t="s">
        <v>787</v>
      </c>
      <c r="C12" s="948"/>
      <c r="D12" s="959">
        <f>D14</f>
        <v>-2735306.49</v>
      </c>
      <c r="E12" s="960">
        <f>E14</f>
        <v>27015949.59</v>
      </c>
      <c r="F12" s="959">
        <f>SUM(F14:F18)</f>
        <v>26812508.18</v>
      </c>
      <c r="G12" s="961">
        <f>SUM(G14,)</f>
        <v>9890994.32</v>
      </c>
      <c r="H12" s="961"/>
      <c r="I12" s="962">
        <f>I14</f>
        <v>27015949.59</v>
      </c>
      <c r="J12" s="960">
        <f>SUM(J14:J18)</f>
        <v>26650469.08</v>
      </c>
      <c r="K12" s="959">
        <f>SUM(K14:K18)</f>
        <v>0</v>
      </c>
      <c r="L12" s="959">
        <f>SUM(L14:L18)</f>
        <v>-2569903.2400000007</v>
      </c>
      <c r="M12" s="963"/>
      <c r="N12" s="63"/>
      <c r="O12" s="6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7.25" customHeight="1">
      <c r="A13" s="957"/>
      <c r="B13" s="964" t="s">
        <v>270</v>
      </c>
      <c r="C13" s="965"/>
      <c r="D13" s="957"/>
      <c r="E13" s="934"/>
      <c r="F13" s="966"/>
      <c r="G13" s="967"/>
      <c r="H13" s="957"/>
      <c r="I13" s="957"/>
      <c r="J13" s="968"/>
      <c r="K13" s="966"/>
      <c r="L13" s="968"/>
      <c r="M13" s="969"/>
      <c r="N13" s="970"/>
      <c r="O13" s="970"/>
      <c r="P13" s="193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36" customHeight="1">
      <c r="A14" s="971" t="s">
        <v>271</v>
      </c>
      <c r="B14" s="972" t="s">
        <v>272</v>
      </c>
      <c r="C14" s="973">
        <v>600</v>
      </c>
      <c r="D14" s="974">
        <v>-2735306.49</v>
      </c>
      <c r="E14" s="975">
        <v>27015949.59</v>
      </c>
      <c r="F14" s="976">
        <f>26812466.18+42</f>
        <v>26812508.18</v>
      </c>
      <c r="G14" s="977">
        <f>SUM(G16,)</f>
        <v>9890994.32</v>
      </c>
      <c r="H14" s="978"/>
      <c r="I14" s="979">
        <v>27015949.59</v>
      </c>
      <c r="J14" s="980">
        <f>26652928.58-2459.5</f>
        <v>26650469.08</v>
      </c>
      <c r="K14" s="976"/>
      <c r="L14" s="980">
        <f>D14+F14-J14+3364.15</f>
        <v>-2569903.2400000007</v>
      </c>
      <c r="M14" s="969"/>
      <c r="N14" s="981"/>
      <c r="O14" s="981"/>
      <c r="P14" s="982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ht="12.75">
      <c r="A15" s="104"/>
      <c r="B15" s="364" t="s">
        <v>717</v>
      </c>
      <c r="C15" s="662">
        <v>60004</v>
      </c>
      <c r="D15" s="661"/>
      <c r="E15" s="662"/>
      <c r="F15" s="179"/>
      <c r="G15" s="113"/>
      <c r="H15" s="983"/>
      <c r="I15" s="983"/>
      <c r="J15" s="112"/>
      <c r="K15" s="179"/>
      <c r="L15" s="112"/>
      <c r="M15" s="969"/>
      <c r="N15" s="92"/>
      <c r="O15" s="92"/>
      <c r="P15" s="982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ht="65.25" customHeight="1">
      <c r="A16" s="104"/>
      <c r="B16" s="364" t="s">
        <v>273</v>
      </c>
      <c r="C16" s="662"/>
      <c r="D16" s="661"/>
      <c r="E16" s="984">
        <v>9890994.32</v>
      </c>
      <c r="F16" s="179"/>
      <c r="G16" s="113">
        <v>9890994.32</v>
      </c>
      <c r="H16" s="983" t="s">
        <v>274</v>
      </c>
      <c r="I16" s="985"/>
      <c r="J16" s="112"/>
      <c r="K16" s="179"/>
      <c r="L16" s="112"/>
      <c r="M16" s="969"/>
      <c r="N16" s="92"/>
      <c r="O16" s="92"/>
      <c r="P16" s="76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ht="12" customHeight="1">
      <c r="A17" s="104"/>
      <c r="B17" s="986" t="s">
        <v>275</v>
      </c>
      <c r="C17" s="662"/>
      <c r="D17" s="661"/>
      <c r="E17" s="662"/>
      <c r="F17" s="179"/>
      <c r="G17" s="113"/>
      <c r="H17" s="983"/>
      <c r="I17" s="983"/>
      <c r="J17" s="112"/>
      <c r="K17" s="179"/>
      <c r="L17" s="112"/>
      <c r="M17" s="969"/>
      <c r="N17" s="92"/>
      <c r="O17" s="92"/>
      <c r="P17" s="76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ht="21" customHeight="1">
      <c r="A18" s="116"/>
      <c r="B18" s="201" t="s">
        <v>276</v>
      </c>
      <c r="C18" s="987"/>
      <c r="D18" s="988"/>
      <c r="E18" s="743">
        <v>1051994.32</v>
      </c>
      <c r="F18" s="179"/>
      <c r="G18" s="113">
        <v>1051994.32</v>
      </c>
      <c r="H18" s="989"/>
      <c r="I18" s="989"/>
      <c r="J18" s="115"/>
      <c r="K18" s="179"/>
      <c r="L18" s="112"/>
      <c r="M18" s="969"/>
      <c r="N18" s="92"/>
      <c r="O18" s="92"/>
      <c r="P18" s="76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ht="12.75">
      <c r="A19" s="54"/>
      <c r="B19" s="54"/>
      <c r="C19" s="54"/>
      <c r="D19" s="54"/>
      <c r="E19" s="54"/>
      <c r="F19" s="990"/>
      <c r="G19" s="990"/>
      <c r="H19" s="54"/>
      <c r="I19" s="54"/>
      <c r="J19" s="54"/>
      <c r="K19" s="990"/>
      <c r="L19" s="990"/>
      <c r="M19" s="192"/>
      <c r="N19" s="193"/>
      <c r="O19" s="193"/>
      <c r="P19" s="193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192"/>
      <c r="N20" s="193"/>
      <c r="O20" s="193"/>
      <c r="P20" s="193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92"/>
      <c r="N21" s="193"/>
      <c r="O21" s="193"/>
      <c r="P21" s="193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ht="12.75">
      <c r="A22" s="54"/>
      <c r="B22" s="54"/>
      <c r="C22" s="54"/>
      <c r="D22" s="54"/>
      <c r="E22" s="54"/>
      <c r="F22" s="63"/>
      <c r="G22" s="54"/>
      <c r="H22" s="54"/>
      <c r="I22" s="54"/>
      <c r="J22" s="63"/>
      <c r="K22" s="54"/>
      <c r="L22" s="54"/>
      <c r="M22" s="192"/>
      <c r="N22" s="193"/>
      <c r="O22" s="193"/>
      <c r="P22" s="193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spans="1:27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192"/>
      <c r="N23" s="193"/>
      <c r="O23" s="193"/>
      <c r="P23" s="193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27" ht="12.75">
      <c r="A24" s="54"/>
      <c r="B24" s="54"/>
      <c r="C24" s="54"/>
      <c r="D24" s="54"/>
      <c r="E24" s="54"/>
      <c r="F24" s="63"/>
      <c r="G24" s="63"/>
      <c r="H24" s="63"/>
      <c r="I24" s="63"/>
      <c r="J24" s="63"/>
      <c r="K24" s="54"/>
      <c r="L24" s="54"/>
      <c r="M24" s="192"/>
      <c r="N24" s="193"/>
      <c r="O24" s="193"/>
      <c r="P24" s="193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192"/>
      <c r="N25" s="193"/>
      <c r="O25" s="193"/>
      <c r="P25" s="193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27" ht="12.75">
      <c r="A26" s="54"/>
      <c r="B26" s="54"/>
      <c r="C26" s="63"/>
      <c r="D26" s="63"/>
      <c r="E26" s="63"/>
      <c r="F26" s="63"/>
      <c r="G26" s="63"/>
      <c r="H26" s="63"/>
      <c r="I26" s="63"/>
      <c r="J26" s="54"/>
      <c r="K26" s="54"/>
      <c r="L26" s="54"/>
      <c r="M26" s="192"/>
      <c r="N26" s="193"/>
      <c r="O26" s="193"/>
      <c r="P26" s="193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spans="1:27" ht="12.75">
      <c r="A27" s="54"/>
      <c r="B27" s="54"/>
      <c r="C27" s="63"/>
      <c r="D27" s="63"/>
      <c r="E27" s="63"/>
      <c r="F27" s="63"/>
      <c r="G27" s="63"/>
      <c r="H27" s="63"/>
      <c r="I27" s="63"/>
      <c r="J27" s="54"/>
      <c r="K27" s="54"/>
      <c r="L27" s="54"/>
      <c r="M27" s="192"/>
      <c r="N27" s="193"/>
      <c r="O27" s="193"/>
      <c r="P27" s="193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  <row r="28" spans="1:27" ht="12.75">
      <c r="A28" s="54"/>
      <c r="B28" s="54"/>
      <c r="C28" s="63"/>
      <c r="D28" s="63"/>
      <c r="E28" s="63"/>
      <c r="F28" s="63"/>
      <c r="G28" s="63"/>
      <c r="H28" s="63"/>
      <c r="I28" s="63"/>
      <c r="J28" s="54"/>
      <c r="K28" s="54"/>
      <c r="L28" s="54"/>
      <c r="M28" s="192"/>
      <c r="N28" s="193"/>
      <c r="O28" s="193"/>
      <c r="P28" s="19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spans="1:27" ht="12.75">
      <c r="A29" s="54"/>
      <c r="B29" s="54"/>
      <c r="C29" s="63"/>
      <c r="D29" s="63"/>
      <c r="E29" s="63"/>
      <c r="F29" s="63"/>
      <c r="G29" s="63"/>
      <c r="H29" s="63"/>
      <c r="I29" s="63"/>
      <c r="J29" s="54"/>
      <c r="K29" s="54"/>
      <c r="L29" s="54"/>
      <c r="M29" s="192"/>
      <c r="N29" s="193"/>
      <c r="O29" s="193"/>
      <c r="P29" s="193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:27" ht="12.75">
      <c r="A30" s="54"/>
      <c r="B30" s="54"/>
      <c r="C30" s="63"/>
      <c r="D30" s="63"/>
      <c r="E30" s="63"/>
      <c r="F30" s="63"/>
      <c r="G30" s="63"/>
      <c r="H30" s="63"/>
      <c r="I30" s="63"/>
      <c r="J30" s="54"/>
      <c r="K30" s="54"/>
      <c r="L30" s="54"/>
      <c r="M30" s="192"/>
      <c r="N30" s="193"/>
      <c r="O30" s="193"/>
      <c r="P30" s="193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ht="12.75">
      <c r="A31" s="54"/>
      <c r="B31" s="54"/>
      <c r="C31" s="63"/>
      <c r="D31" s="63"/>
      <c r="E31" s="63"/>
      <c r="F31" s="63"/>
      <c r="G31" s="63"/>
      <c r="H31" s="63"/>
      <c r="I31" s="63"/>
      <c r="J31" s="54"/>
      <c r="K31" s="54"/>
      <c r="L31" s="54"/>
      <c r="M31" s="192"/>
      <c r="N31" s="193"/>
      <c r="O31" s="193"/>
      <c r="P31" s="193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</row>
    <row r="32" spans="1:27" ht="12.75">
      <c r="A32" s="54"/>
      <c r="B32" s="54"/>
      <c r="C32" s="63"/>
      <c r="D32" s="63"/>
      <c r="E32" s="63"/>
      <c r="F32" s="63"/>
      <c r="G32" s="63"/>
      <c r="H32" s="63"/>
      <c r="I32" s="63"/>
      <c r="J32" s="54"/>
      <c r="K32" s="54"/>
      <c r="L32" s="54"/>
      <c r="M32" s="192"/>
      <c r="N32" s="193"/>
      <c r="O32" s="193"/>
      <c r="P32" s="193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spans="1:27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192"/>
      <c r="N33" s="193"/>
      <c r="O33" s="193"/>
      <c r="P33" s="193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</row>
    <row r="34" spans="1:27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92"/>
      <c r="N34" s="193"/>
      <c r="O34" s="193"/>
      <c r="P34" s="193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</row>
    <row r="35" spans="1:27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192"/>
      <c r="N35" s="193"/>
      <c r="O35" s="193"/>
      <c r="P35" s="193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</row>
    <row r="36" spans="1:27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92"/>
      <c r="N36" s="193"/>
      <c r="O36" s="193"/>
      <c r="P36" s="193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  <row r="37" spans="1:27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192"/>
      <c r="N37" s="193"/>
      <c r="O37" s="193"/>
      <c r="P37" s="193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</row>
    <row r="38" spans="1:27" ht="12.7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192"/>
      <c r="N38" s="193"/>
      <c r="O38" s="193"/>
      <c r="P38" s="193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</row>
    <row r="39" spans="1:27" ht="12.7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192"/>
      <c r="N39" s="193"/>
      <c r="O39" s="193"/>
      <c r="P39" s="193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</row>
    <row r="40" spans="1:27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192"/>
      <c r="N40" s="193"/>
      <c r="O40" s="193"/>
      <c r="P40" s="193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192"/>
      <c r="N41" s="193"/>
      <c r="O41" s="193"/>
      <c r="P41" s="193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</row>
    <row r="42" spans="1:27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92"/>
      <c r="N42" s="193"/>
      <c r="O42" s="193"/>
      <c r="P42" s="193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spans="1:27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192"/>
      <c r="N43" s="193"/>
      <c r="O43" s="193"/>
      <c r="P43" s="193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</row>
    <row r="44" spans="1:27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192"/>
      <c r="N44" s="193"/>
      <c r="O44" s="193"/>
      <c r="P44" s="193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  <row r="45" spans="1:27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192"/>
      <c r="N45" s="193"/>
      <c r="O45" s="193"/>
      <c r="P45" s="193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.7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192"/>
      <c r="N46" s="193"/>
      <c r="O46" s="193"/>
      <c r="P46" s="193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27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192"/>
      <c r="N47" s="193"/>
      <c r="O47" s="193"/>
      <c r="P47" s="193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</row>
    <row r="48" spans="1:27" ht="12.7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192"/>
      <c r="N48" s="193"/>
      <c r="O48" s="193"/>
      <c r="P48" s="193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1:27" ht="12.7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192"/>
      <c r="N49" s="193"/>
      <c r="O49" s="193"/>
      <c r="P49" s="193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</row>
    <row r="50" spans="1:27" ht="12.7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192"/>
      <c r="N50" s="193"/>
      <c r="O50" s="193"/>
      <c r="P50" s="193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</row>
    <row r="51" spans="1:27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192"/>
      <c r="N51" s="193"/>
      <c r="O51" s="193"/>
      <c r="P51" s="193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</row>
    <row r="52" spans="1:27" ht="12.7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192"/>
      <c r="N52" s="193"/>
      <c r="O52" s="193"/>
      <c r="P52" s="193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</row>
    <row r="53" spans="1:27" ht="12.7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192"/>
      <c r="N53" s="193"/>
      <c r="O53" s="193"/>
      <c r="P53" s="193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spans="1:27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192"/>
      <c r="N54" s="193"/>
      <c r="O54" s="193"/>
      <c r="P54" s="193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192"/>
      <c r="N55" s="193"/>
      <c r="O55" s="193"/>
      <c r="P55" s="193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1:27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192"/>
      <c r="N56" s="193"/>
      <c r="O56" s="193"/>
      <c r="P56" s="193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</row>
    <row r="57" spans="1:27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192"/>
      <c r="N57" s="193"/>
      <c r="O57" s="193"/>
      <c r="P57" s="193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</row>
    <row r="58" spans="1:27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192"/>
      <c r="N58" s="193"/>
      <c r="O58" s="193"/>
      <c r="P58" s="193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</row>
    <row r="59" spans="1:27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192"/>
      <c r="N59" s="193"/>
      <c r="O59" s="193"/>
      <c r="P59" s="193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</row>
    <row r="60" spans="1:27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192"/>
      <c r="N60" s="193"/>
      <c r="O60" s="193"/>
      <c r="P60" s="193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</row>
    <row r="61" spans="1:27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192"/>
      <c r="N61" s="193"/>
      <c r="O61" s="193"/>
      <c r="P61" s="193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</row>
    <row r="62" spans="1:27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192"/>
      <c r="N62" s="193"/>
      <c r="O62" s="193"/>
      <c r="P62" s="193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spans="1:27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192"/>
      <c r="N63" s="193"/>
      <c r="O63" s="193"/>
      <c r="P63" s="193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</row>
    <row r="64" spans="1:27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192"/>
      <c r="N64" s="193"/>
      <c r="O64" s="193"/>
      <c r="P64" s="193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</row>
    <row r="65" spans="1:27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192"/>
      <c r="N65" s="193"/>
      <c r="O65" s="193"/>
      <c r="P65" s="193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</row>
    <row r="66" spans="1:27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192"/>
      <c r="N66" s="193"/>
      <c r="O66" s="193"/>
      <c r="P66" s="193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</row>
    <row r="67" spans="1:27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192"/>
      <c r="N67" s="193"/>
      <c r="O67" s="193"/>
      <c r="P67" s="193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</row>
    <row r="68" spans="1:27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192"/>
      <c r="N68" s="193"/>
      <c r="O68" s="193"/>
      <c r="P68" s="193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</row>
    <row r="69" spans="1:27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192"/>
      <c r="N69" s="193"/>
      <c r="O69" s="193"/>
      <c r="P69" s="193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</row>
    <row r="70" spans="1:27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192"/>
      <c r="N70" s="193"/>
      <c r="O70" s="193"/>
      <c r="P70" s="193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</row>
    <row r="71" spans="1:27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192"/>
      <c r="N71" s="193"/>
      <c r="O71" s="193"/>
      <c r="P71" s="193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</row>
    <row r="72" spans="1:27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192"/>
      <c r="N72" s="193"/>
      <c r="O72" s="193"/>
      <c r="P72" s="193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</row>
    <row r="73" spans="1:27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192"/>
      <c r="N73" s="193"/>
      <c r="O73" s="193"/>
      <c r="P73" s="193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</row>
    <row r="74" spans="1:27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192"/>
      <c r="N74" s="193"/>
      <c r="O74" s="193"/>
      <c r="P74" s="193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</row>
    <row r="75" spans="1:27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192"/>
      <c r="N75" s="193"/>
      <c r="O75" s="193"/>
      <c r="P75" s="193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</row>
    <row r="76" spans="1:27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192"/>
      <c r="N76" s="193"/>
      <c r="O76" s="193"/>
      <c r="P76" s="193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spans="1:27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192"/>
      <c r="N77" s="193"/>
      <c r="O77" s="193"/>
      <c r="P77" s="193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1:27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192"/>
      <c r="N78" s="193"/>
      <c r="O78" s="193"/>
      <c r="P78" s="193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:27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192"/>
      <c r="N79" s="193"/>
      <c r="O79" s="193"/>
      <c r="P79" s="193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</row>
    <row r="80" spans="1:27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192"/>
      <c r="N80" s="193"/>
      <c r="O80" s="193"/>
      <c r="P80" s="193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  <row r="81" spans="1:27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192"/>
      <c r="N81" s="193"/>
      <c r="O81" s="193"/>
      <c r="P81" s="193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:27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192"/>
      <c r="N82" s="193"/>
      <c r="O82" s="193"/>
      <c r="P82" s="193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</row>
    <row r="83" spans="1:27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192"/>
      <c r="N83" s="193"/>
      <c r="O83" s="193"/>
      <c r="P83" s="193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</row>
    <row r="84" spans="1:27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192"/>
      <c r="N84" s="193"/>
      <c r="O84" s="193"/>
      <c r="P84" s="193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</row>
    <row r="85" spans="1:27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192"/>
      <c r="N85" s="193"/>
      <c r="O85" s="193"/>
      <c r="P85" s="193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</row>
    <row r="86" spans="1:27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192"/>
      <c r="N86" s="193"/>
      <c r="O86" s="193"/>
      <c r="P86" s="193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</row>
    <row r="87" spans="1:27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192"/>
      <c r="N87" s="193"/>
      <c r="O87" s="193"/>
      <c r="P87" s="193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</row>
    <row r="88" spans="1:27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192"/>
      <c r="N88" s="193"/>
      <c r="O88" s="193"/>
      <c r="P88" s="193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:27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192"/>
      <c r="N89" s="193"/>
      <c r="O89" s="193"/>
      <c r="P89" s="193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</row>
    <row r="90" spans="1:27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192"/>
      <c r="N90" s="193"/>
      <c r="O90" s="193"/>
      <c r="P90" s="193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</row>
    <row r="91" spans="1:27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192"/>
      <c r="N91" s="193"/>
      <c r="O91" s="193"/>
      <c r="P91" s="193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</row>
    <row r="92" spans="1:27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192"/>
      <c r="N92" s="193"/>
      <c r="O92" s="193"/>
      <c r="P92" s="193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</row>
    <row r="93" spans="1:27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192"/>
      <c r="N93" s="193"/>
      <c r="O93" s="193"/>
      <c r="P93" s="193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</row>
    <row r="94" spans="1:27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192"/>
      <c r="N94" s="193"/>
      <c r="O94" s="193"/>
      <c r="P94" s="193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</row>
    <row r="95" spans="1:27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192"/>
      <c r="N95" s="193"/>
      <c r="O95" s="193"/>
      <c r="P95" s="193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</row>
    <row r="96" spans="1:27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192"/>
      <c r="N96" s="193"/>
      <c r="O96" s="193"/>
      <c r="P96" s="193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</row>
    <row r="97" spans="1:27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192"/>
      <c r="N97" s="193"/>
      <c r="O97" s="193"/>
      <c r="P97" s="193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</row>
    <row r="98" spans="1:27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192"/>
      <c r="N98" s="193"/>
      <c r="O98" s="193"/>
      <c r="P98" s="193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</row>
    <row r="99" spans="1:27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192"/>
      <c r="N99" s="193"/>
      <c r="O99" s="193"/>
      <c r="P99" s="193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27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192"/>
      <c r="N100" s="193"/>
      <c r="O100" s="193"/>
      <c r="P100" s="193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</row>
    <row r="101" spans="1:27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192"/>
      <c r="N101" s="193"/>
      <c r="O101" s="193"/>
      <c r="P101" s="193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</row>
    <row r="102" spans="1:27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192"/>
      <c r="N102" s="193"/>
      <c r="O102" s="193"/>
      <c r="P102" s="193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</row>
    <row r="103" spans="1:27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192"/>
      <c r="N103" s="193"/>
      <c r="O103" s="193"/>
      <c r="P103" s="193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</row>
    <row r="104" spans="1:27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192"/>
      <c r="N104" s="193"/>
      <c r="O104" s="193"/>
      <c r="P104" s="193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</row>
    <row r="105" spans="1:27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192"/>
      <c r="N105" s="193"/>
      <c r="O105" s="193"/>
      <c r="P105" s="193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</row>
    <row r="106" spans="1:27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192"/>
      <c r="N106" s="193"/>
      <c r="O106" s="193"/>
      <c r="P106" s="193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192"/>
      <c r="N107" s="193"/>
      <c r="O107" s="193"/>
      <c r="P107" s="193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27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192"/>
      <c r="N108" s="193"/>
      <c r="O108" s="193"/>
      <c r="P108" s="193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</row>
    <row r="109" spans="1:27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192"/>
      <c r="N109" s="193"/>
      <c r="O109" s="193"/>
      <c r="P109" s="193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</row>
    <row r="110" spans="1:27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192"/>
      <c r="N110" s="193"/>
      <c r="O110" s="193"/>
      <c r="P110" s="193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</row>
    <row r="111" spans="1:27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192"/>
      <c r="N111" s="193"/>
      <c r="O111" s="193"/>
      <c r="P111" s="193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</row>
    <row r="112" spans="1:27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192"/>
      <c r="N112" s="193"/>
      <c r="O112" s="193"/>
      <c r="P112" s="193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</row>
    <row r="113" spans="1:27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192"/>
      <c r="N113" s="193"/>
      <c r="O113" s="193"/>
      <c r="P113" s="193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</row>
    <row r="114" spans="1:27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192"/>
      <c r="N114" s="193"/>
      <c r="O114" s="193"/>
      <c r="P114" s="193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</row>
    <row r="115" spans="1:27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192"/>
      <c r="N115" s="193"/>
      <c r="O115" s="193"/>
      <c r="P115" s="193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</row>
    <row r="116" spans="1:27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192"/>
      <c r="N116" s="193"/>
      <c r="O116" s="193"/>
      <c r="P116" s="193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</row>
    <row r="117" spans="1:27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192"/>
      <c r="N117" s="193"/>
      <c r="O117" s="193"/>
      <c r="P117" s="193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</row>
    <row r="118" spans="1:27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192"/>
      <c r="N118" s="193"/>
      <c r="O118" s="193"/>
      <c r="P118" s="193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</row>
    <row r="119" spans="1:27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192"/>
      <c r="N119" s="193"/>
      <c r="O119" s="193"/>
      <c r="P119" s="193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</row>
    <row r="120" spans="1:27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192"/>
      <c r="N120" s="193"/>
      <c r="O120" s="193"/>
      <c r="P120" s="193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</row>
    <row r="121" spans="1:27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192"/>
      <c r="N121" s="193"/>
      <c r="O121" s="193"/>
      <c r="P121" s="193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</row>
    <row r="122" spans="1:27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192"/>
      <c r="N122" s="193"/>
      <c r="O122" s="193"/>
      <c r="P122" s="193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</row>
    <row r="123" spans="1:27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192"/>
      <c r="N123" s="193"/>
      <c r="O123" s="193"/>
      <c r="P123" s="193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</row>
    <row r="124" spans="1:27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192"/>
      <c r="N124" s="193"/>
      <c r="O124" s="193"/>
      <c r="P124" s="193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</row>
    <row r="125" spans="1:27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192"/>
      <c r="N125" s="193"/>
      <c r="O125" s="193"/>
      <c r="P125" s="193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</row>
    <row r="126" spans="1:27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192"/>
      <c r="N126" s="193"/>
      <c r="O126" s="193"/>
      <c r="P126" s="193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</row>
    <row r="127" spans="1:27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192"/>
      <c r="N127" s="193"/>
      <c r="O127" s="193"/>
      <c r="P127" s="193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</row>
    <row r="128" spans="1:27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192"/>
      <c r="N128" s="193"/>
      <c r="O128" s="193"/>
      <c r="P128" s="193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</row>
    <row r="129" spans="1:27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192"/>
      <c r="N129" s="193"/>
      <c r="O129" s="193"/>
      <c r="P129" s="193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</row>
    <row r="130" spans="1:27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192"/>
      <c r="N130" s="193"/>
      <c r="O130" s="193"/>
      <c r="P130" s="193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</row>
    <row r="131" spans="1:27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192"/>
      <c r="N131" s="193"/>
      <c r="O131" s="193"/>
      <c r="P131" s="193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</row>
    <row r="132" spans="1:27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192"/>
      <c r="N132" s="193"/>
      <c r="O132" s="193"/>
      <c r="P132" s="193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</row>
    <row r="133" spans="1:27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192"/>
      <c r="N133" s="193"/>
      <c r="O133" s="193"/>
      <c r="P133" s="193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</row>
    <row r="134" spans="1:27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192"/>
      <c r="N134" s="193"/>
      <c r="O134" s="193"/>
      <c r="P134" s="193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</row>
    <row r="135" spans="1:27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192"/>
      <c r="N135" s="193"/>
      <c r="O135" s="193"/>
      <c r="P135" s="193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</row>
    <row r="136" spans="1:27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192"/>
      <c r="N136" s="193"/>
      <c r="O136" s="193"/>
      <c r="P136" s="193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</row>
    <row r="137" spans="1:27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192"/>
      <c r="N137" s="193"/>
      <c r="O137" s="193"/>
      <c r="P137" s="193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</row>
    <row r="138" spans="1:27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192"/>
      <c r="N138" s="193"/>
      <c r="O138" s="193"/>
      <c r="P138" s="193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</row>
    <row r="139" spans="1:27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192"/>
      <c r="N139" s="193"/>
      <c r="O139" s="193"/>
      <c r="P139" s="193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</row>
    <row r="140" spans="1:27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192"/>
      <c r="N140" s="193"/>
      <c r="O140" s="193"/>
      <c r="P140" s="193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</row>
    <row r="141" spans="1:27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192"/>
      <c r="N141" s="193"/>
      <c r="O141" s="193"/>
      <c r="P141" s="193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</row>
    <row r="142" spans="1:27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192"/>
      <c r="N142" s="193"/>
      <c r="O142" s="193"/>
      <c r="P142" s="193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</row>
    <row r="143" spans="1:27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192"/>
      <c r="N143" s="193"/>
      <c r="O143" s="193"/>
      <c r="P143" s="193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</row>
    <row r="144" spans="1:27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192"/>
      <c r="N144" s="193"/>
      <c r="O144" s="193"/>
      <c r="P144" s="193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</row>
    <row r="145" spans="1:27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192"/>
      <c r="N145" s="193"/>
      <c r="O145" s="193"/>
      <c r="P145" s="193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</row>
    <row r="146" spans="1:27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192"/>
      <c r="N146" s="193"/>
      <c r="O146" s="193"/>
      <c r="P146" s="193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</row>
    <row r="147" spans="1:27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192"/>
      <c r="N147" s="193"/>
      <c r="O147" s="193"/>
      <c r="P147" s="193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</row>
    <row r="148" spans="1:27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192"/>
      <c r="N148" s="193"/>
      <c r="O148" s="193"/>
      <c r="P148" s="193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</row>
    <row r="149" spans="1:27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192"/>
      <c r="N149" s="193"/>
      <c r="O149" s="193"/>
      <c r="P149" s="193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</row>
    <row r="150" spans="1:27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192"/>
      <c r="N150" s="193"/>
      <c r="O150" s="193"/>
      <c r="P150" s="193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</row>
    <row r="151" spans="1:27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192"/>
      <c r="N151" s="193"/>
      <c r="O151" s="193"/>
      <c r="P151" s="193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</row>
    <row r="152" spans="1:27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192"/>
      <c r="N152" s="193"/>
      <c r="O152" s="193"/>
      <c r="P152" s="193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</row>
    <row r="153" spans="1:27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192"/>
      <c r="N153" s="193"/>
      <c r="O153" s="193"/>
      <c r="P153" s="193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</row>
    <row r="154" spans="1:27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192"/>
      <c r="N154" s="193"/>
      <c r="O154" s="193"/>
      <c r="P154" s="193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</row>
    <row r="155" spans="1:27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192"/>
      <c r="N155" s="193"/>
      <c r="O155" s="193"/>
      <c r="P155" s="193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</row>
    <row r="156" spans="1:27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192"/>
      <c r="N156" s="193"/>
      <c r="O156" s="193"/>
      <c r="P156" s="193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</row>
    <row r="157" spans="1:27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192"/>
      <c r="N157" s="193"/>
      <c r="O157" s="193"/>
      <c r="P157" s="193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</row>
    <row r="158" spans="1:27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192"/>
      <c r="N158" s="193"/>
      <c r="O158" s="193"/>
      <c r="P158" s="193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</row>
    <row r="159" spans="1:27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192"/>
      <c r="N159" s="193"/>
      <c r="O159" s="193"/>
      <c r="P159" s="193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</row>
    <row r="160" spans="1:27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192"/>
      <c r="N160" s="193"/>
      <c r="O160" s="193"/>
      <c r="P160" s="193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</row>
    <row r="161" spans="1:27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192"/>
      <c r="N161" s="193"/>
      <c r="O161" s="193"/>
      <c r="P161" s="193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</row>
    <row r="162" spans="1:27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192"/>
      <c r="N162" s="193"/>
      <c r="O162" s="193"/>
      <c r="P162" s="193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</row>
    <row r="163" spans="1:27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192"/>
      <c r="N163" s="193"/>
      <c r="O163" s="193"/>
      <c r="P163" s="193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</row>
    <row r="164" spans="1:27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192"/>
      <c r="N164" s="193"/>
      <c r="O164" s="193"/>
      <c r="P164" s="193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</row>
    <row r="165" spans="1:27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192"/>
      <c r="N165" s="193"/>
      <c r="O165" s="193"/>
      <c r="P165" s="193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</row>
    <row r="166" spans="1:27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192"/>
      <c r="N166" s="193"/>
      <c r="O166" s="193"/>
      <c r="P166" s="193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</row>
    <row r="167" spans="1:27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192"/>
      <c r="N167" s="193"/>
      <c r="O167" s="193"/>
      <c r="P167" s="193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</row>
    <row r="168" spans="1:27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192"/>
      <c r="N168" s="193"/>
      <c r="O168" s="193"/>
      <c r="P168" s="193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</row>
    <row r="169" spans="1:27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192"/>
      <c r="N169" s="193"/>
      <c r="O169" s="193"/>
      <c r="P169" s="193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</row>
    <row r="170" spans="1:27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192"/>
      <c r="N170" s="193"/>
      <c r="O170" s="193"/>
      <c r="P170" s="193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</row>
    <row r="171" spans="1:27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192"/>
      <c r="N171" s="193"/>
      <c r="O171" s="193"/>
      <c r="P171" s="193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</row>
    <row r="172" spans="1:27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192"/>
      <c r="N172" s="193"/>
      <c r="O172" s="193"/>
      <c r="P172" s="193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</row>
    <row r="173" spans="1:27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192"/>
      <c r="N173" s="193"/>
      <c r="O173" s="193"/>
      <c r="P173" s="193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</row>
    <row r="174" spans="1:27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192"/>
      <c r="N174" s="193"/>
      <c r="O174" s="193"/>
      <c r="P174" s="193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</row>
    <row r="175" spans="1:27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192"/>
      <c r="N175" s="193"/>
      <c r="O175" s="193"/>
      <c r="P175" s="193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</row>
    <row r="176" spans="1:27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192"/>
      <c r="N176" s="193"/>
      <c r="O176" s="193"/>
      <c r="P176" s="193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</row>
    <row r="177" spans="1:27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192"/>
      <c r="N177" s="193"/>
      <c r="O177" s="193"/>
      <c r="P177" s="193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</row>
    <row r="178" spans="1:27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192"/>
      <c r="N178" s="193"/>
      <c r="O178" s="193"/>
      <c r="P178" s="193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</row>
    <row r="179" spans="1:27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192"/>
      <c r="N179" s="193"/>
      <c r="O179" s="193"/>
      <c r="P179" s="193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</row>
    <row r="180" spans="1:27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192"/>
      <c r="N180" s="193"/>
      <c r="O180" s="193"/>
      <c r="P180" s="193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</row>
    <row r="181" spans="1:27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192"/>
      <c r="N181" s="193"/>
      <c r="O181" s="193"/>
      <c r="P181" s="193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</row>
    <row r="182" spans="1:27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192"/>
      <c r="N182" s="193"/>
      <c r="O182" s="193"/>
      <c r="P182" s="193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</row>
    <row r="183" spans="1:27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192"/>
      <c r="N183" s="193"/>
      <c r="O183" s="193"/>
      <c r="P183" s="193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</row>
    <row r="184" spans="1:27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192"/>
      <c r="N184" s="193"/>
      <c r="O184" s="193"/>
      <c r="P184" s="193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</row>
    <row r="185" spans="1:27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192"/>
      <c r="N185" s="193"/>
      <c r="O185" s="193"/>
      <c r="P185" s="193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</row>
    <row r="186" spans="1:27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192"/>
      <c r="N186" s="193"/>
      <c r="O186" s="193"/>
      <c r="P186" s="193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</row>
    <row r="187" spans="1:27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192"/>
      <c r="N187" s="193"/>
      <c r="O187" s="193"/>
      <c r="P187" s="193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</row>
    <row r="188" spans="1:27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192"/>
      <c r="N188" s="193"/>
      <c r="O188" s="193"/>
      <c r="P188" s="193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</row>
    <row r="189" spans="1:27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192"/>
      <c r="N189" s="193"/>
      <c r="O189" s="193"/>
      <c r="P189" s="193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</row>
    <row r="190" spans="1:27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192"/>
      <c r="N190" s="193"/>
      <c r="O190" s="193"/>
      <c r="P190" s="193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</row>
    <row r="191" spans="1:27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192"/>
      <c r="N191" s="193"/>
      <c r="O191" s="193"/>
      <c r="P191" s="193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</row>
    <row r="192" spans="1:27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192"/>
      <c r="N192" s="193"/>
      <c r="O192" s="193"/>
      <c r="P192" s="193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</row>
    <row r="193" spans="1:27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192"/>
      <c r="N193" s="193"/>
      <c r="O193" s="193"/>
      <c r="P193" s="193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</row>
    <row r="194" spans="1:27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192"/>
      <c r="N194" s="193"/>
      <c r="O194" s="193"/>
      <c r="P194" s="193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</row>
    <row r="195" spans="1:27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192"/>
      <c r="N195" s="193"/>
      <c r="O195" s="193"/>
      <c r="P195" s="193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</row>
    <row r="196" spans="1:27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192"/>
      <c r="N196" s="193"/>
      <c r="O196" s="193"/>
      <c r="P196" s="193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</row>
    <row r="197" spans="1:27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192"/>
      <c r="N197" s="193"/>
      <c r="O197" s="193"/>
      <c r="P197" s="193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</row>
    <row r="198" spans="1:27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192"/>
      <c r="N198" s="193"/>
      <c r="O198" s="193"/>
      <c r="P198" s="193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</row>
    <row r="199" spans="1:27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192"/>
      <c r="N199" s="193"/>
      <c r="O199" s="193"/>
      <c r="P199" s="193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</row>
    <row r="200" spans="1:27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192"/>
      <c r="N200" s="193"/>
      <c r="O200" s="193"/>
      <c r="P200" s="193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</row>
    <row r="201" spans="1:27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192"/>
      <c r="N201" s="193"/>
      <c r="O201" s="193"/>
      <c r="P201" s="193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</row>
    <row r="202" spans="1:27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192"/>
      <c r="N202" s="193"/>
      <c r="O202" s="193"/>
      <c r="P202" s="193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</row>
    <row r="203" spans="1:27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192"/>
      <c r="N203" s="193"/>
      <c r="O203" s="193"/>
      <c r="P203" s="193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</row>
    <row r="204" spans="1:27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192"/>
      <c r="N204" s="193"/>
      <c r="O204" s="193"/>
      <c r="P204" s="193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</row>
    <row r="205" spans="1:27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192"/>
      <c r="N205" s="193"/>
      <c r="O205" s="193"/>
      <c r="P205" s="193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</row>
    <row r="206" spans="1:27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192"/>
      <c r="N206" s="193"/>
      <c r="O206" s="193"/>
      <c r="P206" s="193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</row>
    <row r="207" spans="1:27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192"/>
      <c r="N207" s="193"/>
      <c r="O207" s="193"/>
      <c r="P207" s="193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</row>
    <row r="208" spans="1:27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192"/>
      <c r="N208" s="193"/>
      <c r="O208" s="193"/>
      <c r="P208" s="193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</row>
    <row r="209" spans="1:27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192"/>
      <c r="N209" s="193"/>
      <c r="O209" s="193"/>
      <c r="P209" s="193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</row>
    <row r="210" spans="1:27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192"/>
      <c r="N210" s="193"/>
      <c r="O210" s="193"/>
      <c r="P210" s="193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</row>
    <row r="211" spans="1:27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192"/>
      <c r="N211" s="193"/>
      <c r="O211" s="193"/>
      <c r="P211" s="193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</row>
    <row r="212" spans="1:27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192"/>
      <c r="N212" s="193"/>
      <c r="O212" s="193"/>
      <c r="P212" s="193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</row>
    <row r="213" spans="1:27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192"/>
      <c r="N213" s="193"/>
      <c r="O213" s="193"/>
      <c r="P213" s="193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</row>
    <row r="214" spans="1:27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192"/>
      <c r="N214" s="193"/>
      <c r="O214" s="193"/>
      <c r="P214" s="193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</row>
    <row r="215" spans="1:27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192"/>
      <c r="N215" s="193"/>
      <c r="O215" s="193"/>
      <c r="P215" s="193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</row>
    <row r="216" spans="1:27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192"/>
      <c r="N216" s="193"/>
      <c r="O216" s="193"/>
      <c r="P216" s="193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</row>
    <row r="217" spans="1:27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192"/>
      <c r="N217" s="193"/>
      <c r="O217" s="193"/>
      <c r="P217" s="193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</row>
    <row r="218" spans="1:27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192"/>
      <c r="N218" s="193"/>
      <c r="O218" s="193"/>
      <c r="P218" s="193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</row>
    <row r="219" spans="1:27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192"/>
      <c r="N219" s="193"/>
      <c r="O219" s="193"/>
      <c r="P219" s="193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</row>
    <row r="220" spans="1:27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192"/>
      <c r="N220" s="193"/>
      <c r="O220" s="193"/>
      <c r="P220" s="193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</row>
  </sheetData>
  <mergeCells count="3">
    <mergeCell ref="G9:G10"/>
    <mergeCell ref="H9:H10"/>
    <mergeCell ref="K9:K10"/>
  </mergeCells>
  <printOptions/>
  <pageMargins left="0.1968503937007874" right="0" top="0.787401574803149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59"/>
  <sheetViews>
    <sheetView workbookViewId="0" topLeftCell="A1">
      <selection activeCell="O2" sqref="O2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3" width="7.7109375" style="0" customWidth="1"/>
    <col min="4" max="4" width="14.00390625" style="0" customWidth="1"/>
    <col min="5" max="30" width="11.7109375" style="0" customWidth="1"/>
  </cols>
  <sheetData>
    <row r="1" ht="20.25">
      <c r="J1" s="160" t="s">
        <v>802</v>
      </c>
    </row>
    <row r="2" spans="1:5" ht="18">
      <c r="A2" s="473" t="s">
        <v>803</v>
      </c>
      <c r="B2" s="354"/>
      <c r="C2" s="354"/>
      <c r="D2" s="354"/>
      <c r="E2" s="354"/>
    </row>
    <row r="3" spans="1:5" ht="18">
      <c r="A3" s="473" t="s">
        <v>804</v>
      </c>
      <c r="B3" s="354"/>
      <c r="C3" s="354"/>
      <c r="D3" s="354"/>
      <c r="E3" s="354"/>
    </row>
    <row r="4" spans="1:5" ht="21" customHeight="1">
      <c r="A4" s="563"/>
      <c r="B4" s="354"/>
      <c r="C4" s="354"/>
      <c r="D4" s="354"/>
      <c r="E4" s="354"/>
    </row>
    <row r="5" spans="1:30" ht="15.75" customHeight="1">
      <c r="A5" s="1279" t="s">
        <v>347</v>
      </c>
      <c r="B5" s="1282" t="s">
        <v>348</v>
      </c>
      <c r="C5" s="1285" t="s">
        <v>349</v>
      </c>
      <c r="D5" s="1282" t="s">
        <v>350</v>
      </c>
      <c r="E5" s="1272" t="s">
        <v>351</v>
      </c>
      <c r="F5" s="1273"/>
      <c r="G5" s="1273"/>
      <c r="H5" s="1273"/>
      <c r="I5" s="1273"/>
      <c r="J5" s="1273"/>
      <c r="K5" s="1273"/>
      <c r="L5" s="1273"/>
      <c r="M5" s="1273"/>
      <c r="N5" s="1273"/>
      <c r="O5" s="1273"/>
      <c r="P5" s="1273"/>
      <c r="Q5" s="1273"/>
      <c r="R5" s="1273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6"/>
    </row>
    <row r="6" spans="1:30" ht="5.25" customHeight="1" hidden="1">
      <c r="A6" s="1280"/>
      <c r="B6" s="1283"/>
      <c r="C6" s="1286"/>
      <c r="D6" s="1283"/>
      <c r="E6" s="1274"/>
      <c r="F6" s="1275"/>
      <c r="G6" s="1275"/>
      <c r="H6" s="1275"/>
      <c r="I6" s="1275"/>
      <c r="J6" s="1275"/>
      <c r="K6" s="1275"/>
      <c r="L6" s="1275"/>
      <c r="M6" s="1275"/>
      <c r="N6" s="1275"/>
      <c r="O6" s="1275"/>
      <c r="P6" s="1275"/>
      <c r="Q6" s="1275"/>
      <c r="R6" s="1275"/>
      <c r="AD6" s="597"/>
    </row>
    <row r="7" spans="1:30" ht="42" customHeight="1">
      <c r="A7" s="1281"/>
      <c r="B7" s="1284"/>
      <c r="C7" s="1287"/>
      <c r="D7" s="1284"/>
      <c r="E7" s="564" t="s">
        <v>352</v>
      </c>
      <c r="F7" s="564" t="s">
        <v>353</v>
      </c>
      <c r="G7" s="564" t="s">
        <v>354</v>
      </c>
      <c r="H7" s="564" t="s">
        <v>355</v>
      </c>
      <c r="I7" s="564" t="s">
        <v>356</v>
      </c>
      <c r="J7" s="564" t="s">
        <v>357</v>
      </c>
      <c r="K7" s="564" t="s">
        <v>358</v>
      </c>
      <c r="L7" s="564" t="s">
        <v>359</v>
      </c>
      <c r="M7" s="564" t="s">
        <v>360</v>
      </c>
      <c r="N7" s="564" t="s">
        <v>361</v>
      </c>
      <c r="O7" s="564" t="s">
        <v>362</v>
      </c>
      <c r="P7" s="564" t="s">
        <v>363</v>
      </c>
      <c r="Q7" s="564" t="s">
        <v>364</v>
      </c>
      <c r="R7" s="564" t="s">
        <v>365</v>
      </c>
      <c r="S7" s="564" t="s">
        <v>366</v>
      </c>
      <c r="T7" s="564" t="s">
        <v>367</v>
      </c>
      <c r="U7" s="564" t="s">
        <v>368</v>
      </c>
      <c r="V7" s="564" t="s">
        <v>369</v>
      </c>
      <c r="W7" s="564" t="s">
        <v>370</v>
      </c>
      <c r="X7" s="564" t="s">
        <v>371</v>
      </c>
      <c r="Y7" s="564" t="s">
        <v>372</v>
      </c>
      <c r="Z7" s="564" t="s">
        <v>373</v>
      </c>
      <c r="AA7" s="564" t="s">
        <v>374</v>
      </c>
      <c r="AB7" s="564" t="s">
        <v>375</v>
      </c>
      <c r="AC7" s="564" t="s">
        <v>376</v>
      </c>
      <c r="AD7" s="564" t="s">
        <v>377</v>
      </c>
    </row>
    <row r="8" spans="1:31" s="324" customFormat="1" ht="20.25" customHeight="1">
      <c r="A8" s="1276" t="s">
        <v>378</v>
      </c>
      <c r="B8" s="1277"/>
      <c r="C8" s="1277"/>
      <c r="D8" s="1277"/>
      <c r="E8" s="1278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3"/>
      <c r="Q8" s="593"/>
      <c r="R8" s="593"/>
      <c r="S8" s="593"/>
      <c r="T8" s="593"/>
      <c r="U8" s="593"/>
      <c r="V8" s="593"/>
      <c r="W8" s="593"/>
      <c r="X8" s="593"/>
      <c r="Y8" s="593"/>
      <c r="Z8" s="593"/>
      <c r="AA8" s="593"/>
      <c r="AB8" s="593"/>
      <c r="AC8" s="593"/>
      <c r="AD8" s="598"/>
      <c r="AE8" s="492"/>
    </row>
    <row r="9" spans="1:31" ht="12" customHeight="1">
      <c r="A9" s="1254">
        <v>1</v>
      </c>
      <c r="B9" s="1255" t="s">
        <v>379</v>
      </c>
      <c r="C9" s="1266" t="s">
        <v>441</v>
      </c>
      <c r="D9" s="565" t="s">
        <v>380</v>
      </c>
      <c r="E9" s="566">
        <v>0</v>
      </c>
      <c r="F9" s="567">
        <f>E9+F10+F11</f>
        <v>0</v>
      </c>
      <c r="G9" s="567">
        <f aca="true" t="shared" si="0" ref="G9:AC9">F9+G10+G11</f>
        <v>0</v>
      </c>
      <c r="H9" s="567">
        <f t="shared" si="0"/>
        <v>0</v>
      </c>
      <c r="I9" s="567">
        <f t="shared" si="0"/>
        <v>0</v>
      </c>
      <c r="J9" s="567">
        <f t="shared" si="0"/>
        <v>0</v>
      </c>
      <c r="K9" s="567">
        <f t="shared" si="0"/>
        <v>0</v>
      </c>
      <c r="L9" s="567">
        <f t="shared" si="0"/>
        <v>0</v>
      </c>
      <c r="M9" s="567">
        <f t="shared" si="0"/>
        <v>0</v>
      </c>
      <c r="N9" s="567">
        <f t="shared" si="0"/>
        <v>0</v>
      </c>
      <c r="O9" s="567">
        <f>N9+O10+O11</f>
        <v>0</v>
      </c>
      <c r="P9" s="567">
        <f t="shared" si="0"/>
        <v>0</v>
      </c>
      <c r="Q9" s="567">
        <f t="shared" si="0"/>
        <v>1950000</v>
      </c>
      <c r="R9" s="567">
        <f t="shared" si="0"/>
        <v>1950000</v>
      </c>
      <c r="S9" s="567">
        <f t="shared" si="0"/>
        <v>1950000</v>
      </c>
      <c r="T9" s="567">
        <f t="shared" si="0"/>
        <v>1950000</v>
      </c>
      <c r="U9" s="567">
        <f t="shared" si="0"/>
        <v>1950000</v>
      </c>
      <c r="V9" s="567">
        <f t="shared" si="0"/>
        <v>1950000</v>
      </c>
      <c r="W9" s="567">
        <f t="shared" si="0"/>
        <v>1950000</v>
      </c>
      <c r="X9" s="567">
        <f t="shared" si="0"/>
        <v>1950000</v>
      </c>
      <c r="Y9" s="567">
        <f t="shared" si="0"/>
        <v>1950000</v>
      </c>
      <c r="Z9" s="567">
        <f t="shared" si="0"/>
        <v>1915473.25</v>
      </c>
      <c r="AA9" s="567">
        <f t="shared" si="0"/>
        <v>1915473.25</v>
      </c>
      <c r="AB9" s="567">
        <f t="shared" si="0"/>
        <v>1915473.25</v>
      </c>
      <c r="AC9" s="567">
        <f t="shared" si="0"/>
        <v>1915473.25</v>
      </c>
      <c r="AD9" s="567">
        <f>AC9+AD10+AD11</f>
        <v>1915473.25</v>
      </c>
      <c r="AE9" s="30"/>
    </row>
    <row r="10" spans="1:31" ht="12" customHeight="1">
      <c r="A10" s="1254"/>
      <c r="B10" s="1255"/>
      <c r="C10" s="1266"/>
      <c r="D10" s="565" t="s">
        <v>381</v>
      </c>
      <c r="E10" s="568"/>
      <c r="F10" s="569"/>
      <c r="G10" s="569"/>
      <c r="H10" s="569"/>
      <c r="I10" s="569"/>
      <c r="J10" s="569"/>
      <c r="K10" s="569"/>
      <c r="L10" s="569"/>
      <c r="M10" s="569"/>
      <c r="N10" s="569"/>
      <c r="O10" s="569"/>
      <c r="P10" s="569"/>
      <c r="Q10" s="569"/>
      <c r="R10" s="569"/>
      <c r="S10" s="569"/>
      <c r="T10" s="569"/>
      <c r="U10" s="569"/>
      <c r="V10" s="569"/>
      <c r="W10" s="569"/>
      <c r="X10" s="569"/>
      <c r="Y10" s="569">
        <v>-65955.05</v>
      </c>
      <c r="Z10" s="569">
        <v>-34526.75</v>
      </c>
      <c r="AA10" s="569"/>
      <c r="AB10" s="569"/>
      <c r="AC10" s="569"/>
      <c r="AD10" s="569"/>
      <c r="AE10" s="30"/>
    </row>
    <row r="11" spans="1:31" ht="12" customHeight="1">
      <c r="A11" s="1254"/>
      <c r="B11" s="1255"/>
      <c r="C11" s="1266"/>
      <c r="D11" s="565" t="s">
        <v>382</v>
      </c>
      <c r="E11" s="568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>
        <v>1950000</v>
      </c>
      <c r="R11" s="569"/>
      <c r="S11" s="569"/>
      <c r="T11" s="569"/>
      <c r="U11" s="569"/>
      <c r="V11" s="569"/>
      <c r="W11" s="569"/>
      <c r="X11" s="569"/>
      <c r="Y11" s="569">
        <v>65955.05</v>
      </c>
      <c r="Z11" s="569"/>
      <c r="AA11" s="569"/>
      <c r="AB11" s="569"/>
      <c r="AC11" s="569"/>
      <c r="AD11" s="569"/>
      <c r="AE11" s="30"/>
    </row>
    <row r="12" spans="1:31" ht="12" customHeight="1">
      <c r="A12" s="1254"/>
      <c r="B12" s="1255"/>
      <c r="C12" s="1266"/>
      <c r="D12" s="565" t="s">
        <v>383</v>
      </c>
      <c r="E12" s="568"/>
      <c r="F12" s="569"/>
      <c r="G12" s="569"/>
      <c r="H12" s="569"/>
      <c r="I12" s="569"/>
      <c r="J12" s="570"/>
      <c r="K12" s="569"/>
      <c r="L12" s="569"/>
      <c r="M12" s="569"/>
      <c r="N12" s="569"/>
      <c r="O12" s="569"/>
      <c r="P12" s="569"/>
      <c r="Q12" s="569" t="s">
        <v>384</v>
      </c>
      <c r="R12" s="569"/>
      <c r="S12" s="569"/>
      <c r="T12" s="569"/>
      <c r="U12" s="569"/>
      <c r="V12" s="569"/>
      <c r="W12" s="569"/>
      <c r="X12" s="569"/>
      <c r="Y12" s="569"/>
      <c r="Z12" s="569"/>
      <c r="AA12" s="569"/>
      <c r="AB12" s="569"/>
      <c r="AC12" s="569"/>
      <c r="AD12" s="569"/>
      <c r="AE12" s="30"/>
    </row>
    <row r="13" spans="1:31" ht="12" customHeight="1">
      <c r="A13" s="1270">
        <v>2</v>
      </c>
      <c r="B13" s="1261" t="s">
        <v>385</v>
      </c>
      <c r="C13" s="1271" t="s">
        <v>464</v>
      </c>
      <c r="D13" s="571" t="s">
        <v>380</v>
      </c>
      <c r="E13" s="572">
        <f>831472+1800000</f>
        <v>2631472</v>
      </c>
      <c r="F13" s="573">
        <f>E13+F14+F15</f>
        <v>2631472</v>
      </c>
      <c r="G13" s="573">
        <f aca="true" t="shared" si="1" ref="G13:AC13">F13+G14+G15</f>
        <v>2631472</v>
      </c>
      <c r="H13" s="573">
        <f t="shared" si="1"/>
        <v>2631472</v>
      </c>
      <c r="I13" s="573">
        <f t="shared" si="1"/>
        <v>2631472</v>
      </c>
      <c r="J13" s="573">
        <f t="shared" si="1"/>
        <v>2631472</v>
      </c>
      <c r="K13" s="573">
        <f t="shared" si="1"/>
        <v>2631472</v>
      </c>
      <c r="L13" s="573">
        <f t="shared" si="1"/>
        <v>2631472</v>
      </c>
      <c r="M13" s="573">
        <f t="shared" si="1"/>
        <v>2631472</v>
      </c>
      <c r="N13" s="573">
        <f t="shared" si="1"/>
        <v>2631472</v>
      </c>
      <c r="O13" s="573">
        <f>N13+O14+O15</f>
        <v>2631472</v>
      </c>
      <c r="P13" s="573">
        <f t="shared" si="1"/>
        <v>2631472</v>
      </c>
      <c r="Q13" s="573">
        <f t="shared" si="1"/>
        <v>2631472</v>
      </c>
      <c r="R13" s="573">
        <f t="shared" si="1"/>
        <v>2631472</v>
      </c>
      <c r="S13" s="573">
        <f t="shared" si="1"/>
        <v>2631472</v>
      </c>
      <c r="T13" s="573">
        <f t="shared" si="1"/>
        <v>2631472</v>
      </c>
      <c r="U13" s="573">
        <f t="shared" si="1"/>
        <v>2631472</v>
      </c>
      <c r="V13" s="573">
        <f t="shared" si="1"/>
        <v>2631472</v>
      </c>
      <c r="W13" s="573">
        <f t="shared" si="1"/>
        <v>2579503.25</v>
      </c>
      <c r="X13" s="573">
        <f t="shared" si="1"/>
        <v>2579503.25</v>
      </c>
      <c r="Y13" s="573">
        <f t="shared" si="1"/>
        <v>2579503.25</v>
      </c>
      <c r="Z13" s="573">
        <f t="shared" si="1"/>
        <v>2579503.25</v>
      </c>
      <c r="AA13" s="573">
        <f t="shared" si="1"/>
        <v>2579503.25</v>
      </c>
      <c r="AB13" s="573">
        <f t="shared" si="1"/>
        <v>2358503.25</v>
      </c>
      <c r="AC13" s="573">
        <f t="shared" si="1"/>
        <v>2358503.25</v>
      </c>
      <c r="AD13" s="573">
        <f>AC13+AD14+AD15</f>
        <v>2358503.25</v>
      </c>
      <c r="AE13" s="30"/>
    </row>
    <row r="14" spans="1:31" ht="12" customHeight="1">
      <c r="A14" s="1270"/>
      <c r="B14" s="1261"/>
      <c r="C14" s="1271"/>
      <c r="D14" s="571" t="s">
        <v>381</v>
      </c>
      <c r="E14" s="574"/>
      <c r="F14" s="575">
        <v>-2754</v>
      </c>
      <c r="G14" s="575">
        <v>-84080.5</v>
      </c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575"/>
      <c r="V14" s="575"/>
      <c r="W14" s="575">
        <v>-140748.77</v>
      </c>
      <c r="X14" s="575">
        <v>-10000</v>
      </c>
      <c r="Y14" s="575"/>
      <c r="Z14" s="575"/>
      <c r="AA14" s="575"/>
      <c r="AB14" s="575">
        <v>-221000</v>
      </c>
      <c r="AC14" s="575"/>
      <c r="AD14" s="575">
        <v>-1500</v>
      </c>
      <c r="AE14" s="30"/>
    </row>
    <row r="15" spans="1:31" ht="12" customHeight="1">
      <c r="A15" s="1270"/>
      <c r="B15" s="1261"/>
      <c r="C15" s="1271"/>
      <c r="D15" s="571" t="s">
        <v>382</v>
      </c>
      <c r="E15" s="574"/>
      <c r="F15" s="575">
        <v>2754</v>
      </c>
      <c r="G15" s="575">
        <v>84080.5</v>
      </c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5"/>
      <c r="U15" s="575"/>
      <c r="V15" s="575"/>
      <c r="W15" s="575">
        <v>88780.02</v>
      </c>
      <c r="X15" s="575">
        <v>10000</v>
      </c>
      <c r="Y15" s="575"/>
      <c r="Z15" s="575"/>
      <c r="AA15" s="575"/>
      <c r="AB15" s="575"/>
      <c r="AC15" s="575"/>
      <c r="AD15" s="575">
        <v>1500</v>
      </c>
      <c r="AE15" s="30"/>
    </row>
    <row r="16" spans="1:31" ht="12" customHeight="1">
      <c r="A16" s="1270"/>
      <c r="B16" s="1261"/>
      <c r="C16" s="1271"/>
      <c r="D16" s="571" t="s">
        <v>383</v>
      </c>
      <c r="E16" s="574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5"/>
      <c r="AE16" s="30"/>
    </row>
    <row r="17" spans="1:31" ht="12" customHeight="1">
      <c r="A17" s="1254">
        <v>3</v>
      </c>
      <c r="B17" s="1255" t="s">
        <v>386</v>
      </c>
      <c r="C17" s="1266" t="s">
        <v>464</v>
      </c>
      <c r="D17" s="565" t="s">
        <v>380</v>
      </c>
      <c r="E17" s="566">
        <v>383906.5</v>
      </c>
      <c r="F17" s="567">
        <f>E17+F18+F19</f>
        <v>383906.5</v>
      </c>
      <c r="G17" s="567">
        <f aca="true" t="shared" si="2" ref="G17:AC17">F17+G18+G19</f>
        <v>383906.5</v>
      </c>
      <c r="H17" s="567">
        <f t="shared" si="2"/>
        <v>383906.5</v>
      </c>
      <c r="I17" s="567">
        <f t="shared" si="2"/>
        <v>383906.5</v>
      </c>
      <c r="J17" s="567">
        <f t="shared" si="2"/>
        <v>383906.5</v>
      </c>
      <c r="K17" s="567">
        <f t="shared" si="2"/>
        <v>383906.5</v>
      </c>
      <c r="L17" s="567">
        <f t="shared" si="2"/>
        <v>383906.5</v>
      </c>
      <c r="M17" s="567">
        <f t="shared" si="2"/>
        <v>383906.5</v>
      </c>
      <c r="N17" s="567">
        <f t="shared" si="2"/>
        <v>383906.5</v>
      </c>
      <c r="O17" s="567">
        <f>N17+O18+O19</f>
        <v>383906.5</v>
      </c>
      <c r="P17" s="567">
        <f t="shared" si="2"/>
        <v>383906.5</v>
      </c>
      <c r="Q17" s="567">
        <f t="shared" si="2"/>
        <v>383906.5</v>
      </c>
      <c r="R17" s="567">
        <f t="shared" si="2"/>
        <v>383906.5</v>
      </c>
      <c r="S17" s="567">
        <f t="shared" si="2"/>
        <v>383906.5</v>
      </c>
      <c r="T17" s="567">
        <f t="shared" si="2"/>
        <v>383906.5</v>
      </c>
      <c r="U17" s="567">
        <f t="shared" si="2"/>
        <v>383906.5</v>
      </c>
      <c r="V17" s="567">
        <f t="shared" si="2"/>
        <v>383906.5</v>
      </c>
      <c r="W17" s="567">
        <f t="shared" si="2"/>
        <v>383906.5</v>
      </c>
      <c r="X17" s="567">
        <f t="shared" si="2"/>
        <v>383906.5</v>
      </c>
      <c r="Y17" s="567">
        <f t="shared" si="2"/>
        <v>383906.5</v>
      </c>
      <c r="Z17" s="567">
        <f t="shared" si="2"/>
        <v>274253.3</v>
      </c>
      <c r="AA17" s="567">
        <f t="shared" si="2"/>
        <v>274253.3</v>
      </c>
      <c r="AB17" s="567">
        <f t="shared" si="2"/>
        <v>274253.3</v>
      </c>
      <c r="AC17" s="567">
        <f t="shared" si="2"/>
        <v>274253.3</v>
      </c>
      <c r="AD17" s="567">
        <f>AC17+AD18+AD19</f>
        <v>274253.3</v>
      </c>
      <c r="AE17" s="30"/>
    </row>
    <row r="18" spans="1:31" ht="12" customHeight="1">
      <c r="A18" s="1254"/>
      <c r="B18" s="1255"/>
      <c r="C18" s="1266"/>
      <c r="D18" s="565" t="s">
        <v>381</v>
      </c>
      <c r="E18" s="568"/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69">
        <v>-8692.75</v>
      </c>
      <c r="V18" s="569">
        <v>-8692.75</v>
      </c>
      <c r="W18" s="569"/>
      <c r="X18" s="569"/>
      <c r="Y18" s="569"/>
      <c r="Z18" s="569">
        <v>-109653.2</v>
      </c>
      <c r="AA18" s="569"/>
      <c r="AB18" s="569"/>
      <c r="AC18" s="569"/>
      <c r="AD18" s="569"/>
      <c r="AE18" s="30"/>
    </row>
    <row r="19" spans="1:31" ht="18" customHeight="1">
      <c r="A19" s="1254"/>
      <c r="B19" s="1255"/>
      <c r="C19" s="1266"/>
      <c r="D19" s="565" t="s">
        <v>382</v>
      </c>
      <c r="E19" s="568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>
        <v>8692.75</v>
      </c>
      <c r="V19" s="569">
        <v>8692.75</v>
      </c>
      <c r="W19" s="569"/>
      <c r="X19" s="569"/>
      <c r="Y19" s="569"/>
      <c r="Z19" s="569"/>
      <c r="AA19" s="569"/>
      <c r="AB19" s="569"/>
      <c r="AC19" s="569"/>
      <c r="AD19" s="569"/>
      <c r="AE19" s="30"/>
    </row>
    <row r="20" spans="1:31" ht="19.5" customHeight="1">
      <c r="A20" s="1254"/>
      <c r="B20" s="1255"/>
      <c r="C20" s="1266"/>
      <c r="D20" s="565" t="s">
        <v>383</v>
      </c>
      <c r="E20" s="568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69"/>
      <c r="S20" s="569"/>
      <c r="T20" s="569"/>
      <c r="U20" s="569"/>
      <c r="V20" s="569"/>
      <c r="W20" s="569"/>
      <c r="X20" s="569"/>
      <c r="Y20" s="569"/>
      <c r="Z20" s="569"/>
      <c r="AA20" s="569"/>
      <c r="AB20" s="569"/>
      <c r="AC20" s="569"/>
      <c r="AD20" s="569"/>
      <c r="AE20" s="30"/>
    </row>
    <row r="21" spans="1:31" ht="12" customHeight="1">
      <c r="A21" s="1270">
        <v>4</v>
      </c>
      <c r="B21" s="1261" t="s">
        <v>387</v>
      </c>
      <c r="C21" s="1271" t="s">
        <v>388</v>
      </c>
      <c r="D21" s="571" t="s">
        <v>380</v>
      </c>
      <c r="E21" s="576">
        <v>179718</v>
      </c>
      <c r="F21" s="573">
        <f>E21+F22+F23</f>
        <v>179718</v>
      </c>
      <c r="G21" s="573">
        <f aca="true" t="shared" si="3" ref="G21:AC21">F21+G22+G23</f>
        <v>179718</v>
      </c>
      <c r="H21" s="573">
        <f t="shared" si="3"/>
        <v>179718</v>
      </c>
      <c r="I21" s="573">
        <f t="shared" si="3"/>
        <v>179718</v>
      </c>
      <c r="J21" s="573">
        <f t="shared" si="3"/>
        <v>179718</v>
      </c>
      <c r="K21" s="573">
        <f t="shared" si="3"/>
        <v>179718</v>
      </c>
      <c r="L21" s="573">
        <f t="shared" si="3"/>
        <v>191340.32</v>
      </c>
      <c r="M21" s="573">
        <f t="shared" si="3"/>
        <v>191340.32</v>
      </c>
      <c r="N21" s="573">
        <f t="shared" si="3"/>
        <v>191340.32</v>
      </c>
      <c r="O21" s="573">
        <f>N21+O22+O23</f>
        <v>191340.32</v>
      </c>
      <c r="P21" s="573">
        <f t="shared" si="3"/>
        <v>191340.32</v>
      </c>
      <c r="Q21" s="573">
        <f t="shared" si="3"/>
        <v>191340.32</v>
      </c>
      <c r="R21" s="573">
        <f t="shared" si="3"/>
        <v>191340.32</v>
      </c>
      <c r="S21" s="573">
        <f t="shared" si="3"/>
        <v>191340.32</v>
      </c>
      <c r="T21" s="573">
        <f t="shared" si="3"/>
        <v>191340.32</v>
      </c>
      <c r="U21" s="573">
        <f t="shared" si="3"/>
        <v>191340.32</v>
      </c>
      <c r="V21" s="573">
        <f t="shared" si="3"/>
        <v>191340.32</v>
      </c>
      <c r="W21" s="573">
        <f t="shared" si="3"/>
        <v>191340.32</v>
      </c>
      <c r="X21" s="573">
        <f t="shared" si="3"/>
        <v>191340.32</v>
      </c>
      <c r="Y21" s="573">
        <f t="shared" si="3"/>
        <v>191340.32</v>
      </c>
      <c r="Z21" s="573">
        <f t="shared" si="3"/>
        <v>175540.07</v>
      </c>
      <c r="AA21" s="573">
        <f t="shared" si="3"/>
        <v>175540.07</v>
      </c>
      <c r="AB21" s="573">
        <f t="shared" si="3"/>
        <v>175540.07</v>
      </c>
      <c r="AC21" s="573">
        <f t="shared" si="3"/>
        <v>175540.07</v>
      </c>
      <c r="AD21" s="573">
        <f>AC21+AD22+AD23</f>
        <v>175540.07</v>
      </c>
      <c r="AE21" s="30"/>
    </row>
    <row r="22" spans="1:31" ht="12" customHeight="1">
      <c r="A22" s="1270"/>
      <c r="B22" s="1261"/>
      <c r="C22" s="1271"/>
      <c r="D22" s="571" t="s">
        <v>381</v>
      </c>
      <c r="E22" s="574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>
        <v>-15800.25</v>
      </c>
      <c r="AA22" s="575"/>
      <c r="AB22" s="575"/>
      <c r="AC22" s="575"/>
      <c r="AD22" s="575"/>
      <c r="AE22" s="30"/>
    </row>
    <row r="23" spans="1:31" ht="12" customHeight="1">
      <c r="A23" s="1270"/>
      <c r="B23" s="1261"/>
      <c r="C23" s="1271"/>
      <c r="D23" s="571" t="s">
        <v>382</v>
      </c>
      <c r="E23" s="574"/>
      <c r="F23" s="575"/>
      <c r="G23" s="575"/>
      <c r="H23" s="575"/>
      <c r="I23" s="575"/>
      <c r="J23" s="575"/>
      <c r="K23" s="575"/>
      <c r="L23" s="575">
        <v>11622.32</v>
      </c>
      <c r="M23" s="575"/>
      <c r="N23" s="575"/>
      <c r="O23" s="575"/>
      <c r="P23" s="575"/>
      <c r="Q23" s="575"/>
      <c r="R23" s="575"/>
      <c r="S23" s="575"/>
      <c r="T23" s="575"/>
      <c r="U23" s="575"/>
      <c r="V23" s="575"/>
      <c r="W23" s="575"/>
      <c r="X23" s="575"/>
      <c r="Y23" s="575"/>
      <c r="Z23" s="575"/>
      <c r="AA23" s="575"/>
      <c r="AB23" s="575"/>
      <c r="AC23" s="575"/>
      <c r="AD23" s="575"/>
      <c r="AE23" s="30"/>
    </row>
    <row r="24" spans="1:31" ht="12" customHeight="1">
      <c r="A24" s="1270"/>
      <c r="B24" s="1261"/>
      <c r="C24" s="1271"/>
      <c r="D24" s="571" t="s">
        <v>383</v>
      </c>
      <c r="E24" s="574"/>
      <c r="F24" s="575"/>
      <c r="G24" s="577"/>
      <c r="H24" s="577"/>
      <c r="I24" s="575"/>
      <c r="J24" s="575"/>
      <c r="K24" s="575"/>
      <c r="L24" s="575"/>
      <c r="M24" s="575"/>
      <c r="N24" s="575"/>
      <c r="O24" s="575"/>
      <c r="P24" s="575"/>
      <c r="Q24" s="575"/>
      <c r="R24" s="577"/>
      <c r="S24" s="577"/>
      <c r="T24" s="577"/>
      <c r="U24" s="577"/>
      <c r="V24" s="577"/>
      <c r="W24" s="577"/>
      <c r="X24" s="577"/>
      <c r="Y24" s="577"/>
      <c r="Z24" s="577"/>
      <c r="AA24" s="577"/>
      <c r="AB24" s="577"/>
      <c r="AC24" s="577"/>
      <c r="AD24" s="577"/>
      <c r="AE24" s="30"/>
    </row>
    <row r="25" spans="1:31" ht="12" customHeight="1">
      <c r="A25" s="1254">
        <v>7</v>
      </c>
      <c r="B25" s="1255" t="s">
        <v>389</v>
      </c>
      <c r="C25" s="1266" t="s">
        <v>464</v>
      </c>
      <c r="D25" s="565" t="s">
        <v>380</v>
      </c>
      <c r="E25" s="566">
        <f>398614.41+16000</f>
        <v>414614.41</v>
      </c>
      <c r="F25" s="567">
        <f>F26+F27+E25</f>
        <v>414614.41</v>
      </c>
      <c r="G25" s="567">
        <f>F25+G26+G27</f>
        <v>414614.41</v>
      </c>
      <c r="H25" s="567">
        <f aca="true" t="shared" si="4" ref="H25:AC25">G25+H26+H27</f>
        <v>414614.41</v>
      </c>
      <c r="I25" s="567">
        <f t="shared" si="4"/>
        <v>414614.41</v>
      </c>
      <c r="J25" s="567">
        <f t="shared" si="4"/>
        <v>414614.41</v>
      </c>
      <c r="K25" s="567">
        <f t="shared" si="4"/>
        <v>414614.41</v>
      </c>
      <c r="L25" s="567">
        <f t="shared" si="4"/>
        <v>414614.41</v>
      </c>
      <c r="M25" s="567">
        <f t="shared" si="4"/>
        <v>414614.41</v>
      </c>
      <c r="N25" s="567">
        <f t="shared" si="4"/>
        <v>414614.41</v>
      </c>
      <c r="O25" s="567">
        <f>N25+O26+O27</f>
        <v>414614.41</v>
      </c>
      <c r="P25" s="567">
        <f t="shared" si="4"/>
        <v>414614.41</v>
      </c>
      <c r="Q25" s="567">
        <f t="shared" si="4"/>
        <v>414614.41</v>
      </c>
      <c r="R25" s="567">
        <f t="shared" si="4"/>
        <v>414614.41</v>
      </c>
      <c r="S25" s="567">
        <f t="shared" si="4"/>
        <v>414614.41</v>
      </c>
      <c r="T25" s="567">
        <f t="shared" si="4"/>
        <v>414614.41</v>
      </c>
      <c r="U25" s="567">
        <f t="shared" si="4"/>
        <v>414614.41</v>
      </c>
      <c r="V25" s="567">
        <f t="shared" si="4"/>
        <v>414614.41</v>
      </c>
      <c r="W25" s="567">
        <f t="shared" si="4"/>
        <v>414614.41</v>
      </c>
      <c r="X25" s="567">
        <f t="shared" si="4"/>
        <v>414614.41</v>
      </c>
      <c r="Y25" s="567">
        <f t="shared" si="4"/>
        <v>414614.41</v>
      </c>
      <c r="Z25" s="567">
        <f t="shared" si="4"/>
        <v>414614.41</v>
      </c>
      <c r="AA25" s="567">
        <f t="shared" si="4"/>
        <v>414614.41</v>
      </c>
      <c r="AB25" s="567">
        <f t="shared" si="4"/>
        <v>414614.41</v>
      </c>
      <c r="AC25" s="567">
        <f t="shared" si="4"/>
        <v>414614.41</v>
      </c>
      <c r="AD25" s="567">
        <f>AC25+AD26+AD27</f>
        <v>414614.41</v>
      </c>
      <c r="AE25" s="30"/>
    </row>
    <row r="26" spans="1:31" ht="12" customHeight="1">
      <c r="A26" s="1254"/>
      <c r="B26" s="1255"/>
      <c r="C26" s="1266"/>
      <c r="D26" s="565" t="s">
        <v>381</v>
      </c>
      <c r="E26" s="566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30"/>
    </row>
    <row r="27" spans="1:31" ht="12" customHeight="1">
      <c r="A27" s="1254"/>
      <c r="B27" s="1255"/>
      <c r="C27" s="1266"/>
      <c r="D27" s="565" t="s">
        <v>382</v>
      </c>
      <c r="E27" s="566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30"/>
    </row>
    <row r="28" spans="1:31" ht="12" customHeight="1">
      <c r="A28" s="1254"/>
      <c r="B28" s="1255"/>
      <c r="C28" s="1266"/>
      <c r="D28" s="565" t="s">
        <v>383</v>
      </c>
      <c r="E28" s="566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30"/>
    </row>
    <row r="29" spans="1:31" ht="12" customHeight="1">
      <c r="A29" s="1260">
        <v>8</v>
      </c>
      <c r="B29" s="1261" t="s">
        <v>390</v>
      </c>
      <c r="C29" s="1263" t="s">
        <v>464</v>
      </c>
      <c r="D29" s="571" t="s">
        <v>380</v>
      </c>
      <c r="E29" s="576">
        <v>467400</v>
      </c>
      <c r="F29" s="578">
        <f>E29+F31+F30</f>
        <v>467400</v>
      </c>
      <c r="G29" s="578">
        <f aca="true" t="shared" si="5" ref="G29:AC29">F29+G31+G30</f>
        <v>467400</v>
      </c>
      <c r="H29" s="578">
        <f t="shared" si="5"/>
        <v>467400</v>
      </c>
      <c r="I29" s="578">
        <f t="shared" si="5"/>
        <v>467400</v>
      </c>
      <c r="J29" s="578">
        <f t="shared" si="5"/>
        <v>467400</v>
      </c>
      <c r="K29" s="578">
        <f t="shared" si="5"/>
        <v>467400</v>
      </c>
      <c r="L29" s="578">
        <f t="shared" si="5"/>
        <v>467400</v>
      </c>
      <c r="M29" s="578">
        <f t="shared" si="5"/>
        <v>467400</v>
      </c>
      <c r="N29" s="578">
        <f t="shared" si="5"/>
        <v>467400</v>
      </c>
      <c r="O29" s="578">
        <f t="shared" si="5"/>
        <v>467400</v>
      </c>
      <c r="P29" s="578">
        <f t="shared" si="5"/>
        <v>467400</v>
      </c>
      <c r="Q29" s="578">
        <f t="shared" si="5"/>
        <v>467400</v>
      </c>
      <c r="R29" s="578">
        <f t="shared" si="5"/>
        <v>467400</v>
      </c>
      <c r="S29" s="578">
        <f t="shared" si="5"/>
        <v>467400</v>
      </c>
      <c r="T29" s="578">
        <f t="shared" si="5"/>
        <v>231240</v>
      </c>
      <c r="U29" s="578">
        <f t="shared" si="5"/>
        <v>231240</v>
      </c>
      <c r="V29" s="578">
        <f t="shared" si="5"/>
        <v>231240</v>
      </c>
      <c r="W29" s="578">
        <f t="shared" si="5"/>
        <v>231240</v>
      </c>
      <c r="X29" s="578">
        <f t="shared" si="5"/>
        <v>231240</v>
      </c>
      <c r="Y29" s="578">
        <f t="shared" si="5"/>
        <v>231240</v>
      </c>
      <c r="Z29" s="578">
        <f t="shared" si="5"/>
        <v>231240</v>
      </c>
      <c r="AA29" s="578">
        <f t="shared" si="5"/>
        <v>231240</v>
      </c>
      <c r="AB29" s="578">
        <f t="shared" si="5"/>
        <v>231240</v>
      </c>
      <c r="AC29" s="578">
        <f t="shared" si="5"/>
        <v>231240</v>
      </c>
      <c r="AD29" s="578">
        <f>AC29+AD31+AD30</f>
        <v>231240</v>
      </c>
      <c r="AE29" s="30"/>
    </row>
    <row r="30" spans="1:31" ht="12" customHeight="1">
      <c r="A30" s="1260"/>
      <c r="B30" s="1261"/>
      <c r="C30" s="1263"/>
      <c r="D30" s="571" t="s">
        <v>381</v>
      </c>
      <c r="E30" s="576"/>
      <c r="F30" s="577"/>
      <c r="G30" s="578"/>
      <c r="H30" s="577"/>
      <c r="I30" s="577"/>
      <c r="J30" s="577"/>
      <c r="K30" s="577"/>
      <c r="L30" s="577"/>
      <c r="M30" s="577"/>
      <c r="N30" s="577"/>
      <c r="O30" s="577"/>
      <c r="P30" s="577"/>
      <c r="Q30" s="577"/>
      <c r="R30" s="577"/>
      <c r="S30" s="577"/>
      <c r="T30" s="577">
        <v>-236160</v>
      </c>
      <c r="U30" s="577"/>
      <c r="V30" s="577"/>
      <c r="W30" s="577"/>
      <c r="X30" s="577"/>
      <c r="Y30" s="577"/>
      <c r="Z30" s="577"/>
      <c r="AA30" s="577"/>
      <c r="AB30" s="577"/>
      <c r="AC30" s="577"/>
      <c r="AD30" s="577"/>
      <c r="AE30" s="30"/>
    </row>
    <row r="31" spans="1:31" ht="12" customHeight="1">
      <c r="A31" s="1260"/>
      <c r="B31" s="1261"/>
      <c r="C31" s="1263"/>
      <c r="D31" s="571" t="s">
        <v>382</v>
      </c>
      <c r="E31" s="576"/>
      <c r="F31" s="577"/>
      <c r="G31" s="578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577"/>
      <c r="AA31" s="577"/>
      <c r="AB31" s="577"/>
      <c r="AC31" s="577"/>
      <c r="AD31" s="577"/>
      <c r="AE31" s="30"/>
    </row>
    <row r="32" spans="1:31" ht="31.5" customHeight="1">
      <c r="A32" s="1260"/>
      <c r="B32" s="1261"/>
      <c r="C32" s="1263"/>
      <c r="D32" s="571" t="s">
        <v>383</v>
      </c>
      <c r="E32" s="576"/>
      <c r="F32" s="577"/>
      <c r="G32" s="578"/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7"/>
      <c r="W32" s="577"/>
      <c r="X32" s="577"/>
      <c r="Y32" s="577"/>
      <c r="Z32" s="577"/>
      <c r="AA32" s="577"/>
      <c r="AB32" s="577"/>
      <c r="AC32" s="577"/>
      <c r="AD32" s="577"/>
      <c r="AE32" s="30"/>
    </row>
    <row r="33" spans="1:31" ht="13.5" customHeight="1">
      <c r="A33" s="1254">
        <v>9</v>
      </c>
      <c r="B33" s="1255" t="s">
        <v>391</v>
      </c>
      <c r="C33" s="1266" t="s">
        <v>392</v>
      </c>
      <c r="D33" s="565" t="s">
        <v>380</v>
      </c>
      <c r="E33" s="566">
        <v>429204</v>
      </c>
      <c r="F33" s="566">
        <f>E33+F35+F34</f>
        <v>429204</v>
      </c>
      <c r="G33" s="566">
        <f aca="true" t="shared" si="6" ref="G33:Q33">F33+G35+G34</f>
        <v>429204</v>
      </c>
      <c r="H33" s="566">
        <f t="shared" si="6"/>
        <v>429203.99999999994</v>
      </c>
      <c r="I33" s="566">
        <f t="shared" si="6"/>
        <v>429203.99999999994</v>
      </c>
      <c r="J33" s="566">
        <f t="shared" si="6"/>
        <v>429203.99999999994</v>
      </c>
      <c r="K33" s="566">
        <f t="shared" si="6"/>
        <v>429203.99999999994</v>
      </c>
      <c r="L33" s="566">
        <f t="shared" si="6"/>
        <v>446479.9799999999</v>
      </c>
      <c r="M33" s="566">
        <f t="shared" si="6"/>
        <v>446479.9799999999</v>
      </c>
      <c r="N33" s="566">
        <f t="shared" si="6"/>
        <v>446479.9799999999</v>
      </c>
      <c r="O33" s="566">
        <f>N33+O35+O34</f>
        <v>446479.9799999999</v>
      </c>
      <c r="P33" s="566">
        <f t="shared" si="6"/>
        <v>446479.9799999999</v>
      </c>
      <c r="Q33" s="566">
        <f t="shared" si="6"/>
        <v>446479.9799999999</v>
      </c>
      <c r="R33" s="567">
        <f aca="true" t="shared" si="7" ref="R33:AC33">Q33+R34+R35</f>
        <v>446479.9799999999</v>
      </c>
      <c r="S33" s="567">
        <f t="shared" si="7"/>
        <v>446479.9799999999</v>
      </c>
      <c r="T33" s="567">
        <f t="shared" si="7"/>
        <v>446479.9799999999</v>
      </c>
      <c r="U33" s="567">
        <f t="shared" si="7"/>
        <v>446479.9799999999</v>
      </c>
      <c r="V33" s="567">
        <f t="shared" si="7"/>
        <v>446479.9799999999</v>
      </c>
      <c r="W33" s="567">
        <f t="shared" si="7"/>
        <v>446479.9799999999</v>
      </c>
      <c r="X33" s="567">
        <f t="shared" si="7"/>
        <v>446479.9799999999</v>
      </c>
      <c r="Y33" s="567">
        <f t="shared" si="7"/>
        <v>446479.9799999999</v>
      </c>
      <c r="Z33" s="567">
        <f t="shared" si="7"/>
        <v>446479.9799999999</v>
      </c>
      <c r="AA33" s="567">
        <f t="shared" si="7"/>
        <v>446479.9799999999</v>
      </c>
      <c r="AB33" s="567">
        <f t="shared" si="7"/>
        <v>446479.9799999999</v>
      </c>
      <c r="AC33" s="567">
        <f t="shared" si="7"/>
        <v>446479.9799999999</v>
      </c>
      <c r="AD33" s="567">
        <f>AC33+AD34+AD35</f>
        <v>446479.9799999999</v>
      </c>
      <c r="AE33" s="30"/>
    </row>
    <row r="34" spans="1:31" ht="13.5" customHeight="1">
      <c r="A34" s="1254"/>
      <c r="B34" s="1255"/>
      <c r="C34" s="1266"/>
      <c r="D34" s="565" t="s">
        <v>381</v>
      </c>
      <c r="E34" s="566"/>
      <c r="F34" s="569"/>
      <c r="G34" s="567"/>
      <c r="H34" s="569">
        <v>-115379.46</v>
      </c>
      <c r="I34" s="569"/>
      <c r="J34" s="569"/>
      <c r="K34" s="569"/>
      <c r="L34" s="569"/>
      <c r="M34" s="569"/>
      <c r="N34" s="569"/>
      <c r="O34" s="569"/>
      <c r="P34" s="569"/>
      <c r="Q34" s="569"/>
      <c r="R34" s="569"/>
      <c r="S34" s="569"/>
      <c r="T34" s="569"/>
      <c r="U34" s="569"/>
      <c r="V34" s="569"/>
      <c r="W34" s="569"/>
      <c r="X34" s="569"/>
      <c r="Y34" s="569"/>
      <c r="Z34" s="569">
        <v>-3.67</v>
      </c>
      <c r="AA34" s="569"/>
      <c r="AB34" s="569"/>
      <c r="AC34" s="569"/>
      <c r="AD34" s="569"/>
      <c r="AE34" s="30"/>
    </row>
    <row r="35" spans="1:31" ht="15" customHeight="1">
      <c r="A35" s="1254"/>
      <c r="B35" s="1255"/>
      <c r="C35" s="1266"/>
      <c r="D35" s="565" t="s">
        <v>382</v>
      </c>
      <c r="E35" s="566"/>
      <c r="F35" s="569"/>
      <c r="G35" s="567"/>
      <c r="H35" s="569">
        <v>115379.46</v>
      </c>
      <c r="I35" s="569"/>
      <c r="J35" s="569"/>
      <c r="K35" s="569"/>
      <c r="L35" s="569">
        <v>17275.98</v>
      </c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569"/>
      <c r="X35" s="569"/>
      <c r="Y35" s="569"/>
      <c r="Z35" s="569">
        <v>3.67</v>
      </c>
      <c r="AA35" s="569"/>
      <c r="AB35" s="569"/>
      <c r="AC35" s="569"/>
      <c r="AD35" s="569"/>
      <c r="AE35" s="30"/>
    </row>
    <row r="36" spans="1:31" ht="12" customHeight="1">
      <c r="A36" s="1254"/>
      <c r="B36" s="1255"/>
      <c r="C36" s="1266"/>
      <c r="D36" s="565" t="s">
        <v>383</v>
      </c>
      <c r="E36" s="566"/>
      <c r="F36" s="569"/>
      <c r="G36" s="567"/>
      <c r="H36" s="569"/>
      <c r="I36" s="569"/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30"/>
    </row>
    <row r="37" spans="1:31" ht="12" customHeight="1">
      <c r="A37" s="1260">
        <v>10</v>
      </c>
      <c r="B37" s="1261" t="s">
        <v>394</v>
      </c>
      <c r="C37" s="1263" t="s">
        <v>395</v>
      </c>
      <c r="D37" s="571" t="s">
        <v>380</v>
      </c>
      <c r="E37" s="576">
        <v>128351</v>
      </c>
      <c r="F37" s="576">
        <f>E37+F39+F38</f>
        <v>128351</v>
      </c>
      <c r="G37" s="576">
        <f aca="true" t="shared" si="8" ref="G37:AC37">F37+G39+G38</f>
        <v>128351</v>
      </c>
      <c r="H37" s="576">
        <f t="shared" si="8"/>
        <v>128351</v>
      </c>
      <c r="I37" s="576">
        <f t="shared" si="8"/>
        <v>128351</v>
      </c>
      <c r="J37" s="576">
        <f t="shared" si="8"/>
        <v>128351</v>
      </c>
      <c r="K37" s="576">
        <f t="shared" si="8"/>
        <v>128351</v>
      </c>
      <c r="L37" s="576">
        <f t="shared" si="8"/>
        <v>154883.83000000002</v>
      </c>
      <c r="M37" s="576">
        <f t="shared" si="8"/>
        <v>154883.83000000002</v>
      </c>
      <c r="N37" s="576">
        <f t="shared" si="8"/>
        <v>154883.83000000002</v>
      </c>
      <c r="O37" s="576">
        <f>N37+O39+O38</f>
        <v>154883.83000000002</v>
      </c>
      <c r="P37" s="576">
        <f t="shared" si="8"/>
        <v>154883.83000000002</v>
      </c>
      <c r="Q37" s="576">
        <f t="shared" si="8"/>
        <v>154883.83000000002</v>
      </c>
      <c r="R37" s="576">
        <f t="shared" si="8"/>
        <v>154883.83000000002</v>
      </c>
      <c r="S37" s="576">
        <f t="shared" si="8"/>
        <v>154883.83000000002</v>
      </c>
      <c r="T37" s="576">
        <f t="shared" si="8"/>
        <v>154883.83000000002</v>
      </c>
      <c r="U37" s="576">
        <f t="shared" si="8"/>
        <v>154883.83000000002</v>
      </c>
      <c r="V37" s="576">
        <f t="shared" si="8"/>
        <v>154883.83000000002</v>
      </c>
      <c r="W37" s="576">
        <f t="shared" si="8"/>
        <v>154883.83000000002</v>
      </c>
      <c r="X37" s="576">
        <f t="shared" si="8"/>
        <v>154883.83000000002</v>
      </c>
      <c r="Y37" s="576">
        <f t="shared" si="8"/>
        <v>154883.83000000002</v>
      </c>
      <c r="Z37" s="576">
        <f t="shared" si="8"/>
        <v>122930.83000000002</v>
      </c>
      <c r="AA37" s="576">
        <f t="shared" si="8"/>
        <v>122930.83000000002</v>
      </c>
      <c r="AB37" s="576">
        <f t="shared" si="8"/>
        <v>122930.83000000002</v>
      </c>
      <c r="AC37" s="576">
        <f t="shared" si="8"/>
        <v>122930.83000000002</v>
      </c>
      <c r="AD37" s="576">
        <f>AC37+AD39+AD38</f>
        <v>122930.83000000002</v>
      </c>
      <c r="AE37" s="30"/>
    </row>
    <row r="38" spans="1:31" ht="12" customHeight="1">
      <c r="A38" s="1260"/>
      <c r="B38" s="1261"/>
      <c r="C38" s="1263"/>
      <c r="D38" s="571" t="s">
        <v>381</v>
      </c>
      <c r="E38" s="576"/>
      <c r="F38" s="577">
        <v>-6110</v>
      </c>
      <c r="G38" s="578"/>
      <c r="H38" s="577"/>
      <c r="I38" s="577"/>
      <c r="J38" s="577"/>
      <c r="K38" s="577"/>
      <c r="L38" s="577"/>
      <c r="M38" s="577"/>
      <c r="N38" s="577">
        <v>-12056.68</v>
      </c>
      <c r="O38" s="577"/>
      <c r="P38" s="577"/>
      <c r="Q38" s="577"/>
      <c r="R38" s="577"/>
      <c r="S38" s="577"/>
      <c r="T38" s="577"/>
      <c r="U38" s="577"/>
      <c r="V38" s="577"/>
      <c r="W38" s="577"/>
      <c r="X38" s="577"/>
      <c r="Y38" s="577"/>
      <c r="Z38" s="577">
        <v>-31953</v>
      </c>
      <c r="AA38" s="577"/>
      <c r="AB38" s="577">
        <v>-5.62</v>
      </c>
      <c r="AC38" s="577"/>
      <c r="AD38" s="577"/>
      <c r="AE38" s="30"/>
    </row>
    <row r="39" spans="1:31" ht="12" customHeight="1">
      <c r="A39" s="1260"/>
      <c r="B39" s="1261"/>
      <c r="C39" s="1263"/>
      <c r="D39" s="571" t="s">
        <v>382</v>
      </c>
      <c r="E39" s="576"/>
      <c r="F39" s="577">
        <v>6110</v>
      </c>
      <c r="G39" s="578"/>
      <c r="H39" s="577"/>
      <c r="I39" s="577"/>
      <c r="J39" s="577"/>
      <c r="K39" s="577"/>
      <c r="L39" s="577">
        <v>26532.83</v>
      </c>
      <c r="M39" s="577"/>
      <c r="N39" s="577">
        <v>12056.68</v>
      </c>
      <c r="O39" s="577"/>
      <c r="P39" s="577"/>
      <c r="Q39" s="577"/>
      <c r="R39" s="577"/>
      <c r="S39" s="577"/>
      <c r="T39" s="577"/>
      <c r="U39" s="577"/>
      <c r="V39" s="577"/>
      <c r="W39" s="577"/>
      <c r="X39" s="577"/>
      <c r="Y39" s="577"/>
      <c r="Z39" s="577"/>
      <c r="AA39" s="577"/>
      <c r="AB39" s="577">
        <v>5.62</v>
      </c>
      <c r="AC39" s="577"/>
      <c r="AD39" s="577"/>
      <c r="AE39" s="30"/>
    </row>
    <row r="40" spans="1:31" ht="12" customHeight="1">
      <c r="A40" s="1260"/>
      <c r="B40" s="1261"/>
      <c r="C40" s="1263"/>
      <c r="D40" s="571" t="s">
        <v>383</v>
      </c>
      <c r="E40" s="576"/>
      <c r="F40" s="577"/>
      <c r="G40" s="578"/>
      <c r="H40" s="577"/>
      <c r="I40" s="577"/>
      <c r="J40" s="577"/>
      <c r="K40" s="577"/>
      <c r="L40" s="577"/>
      <c r="M40" s="577"/>
      <c r="N40" s="577"/>
      <c r="O40" s="577"/>
      <c r="P40" s="577"/>
      <c r="Q40" s="577"/>
      <c r="R40" s="577"/>
      <c r="S40" s="577"/>
      <c r="T40" s="577"/>
      <c r="U40" s="577"/>
      <c r="V40" s="577"/>
      <c r="W40" s="577"/>
      <c r="X40" s="577"/>
      <c r="Y40" s="577"/>
      <c r="Z40" s="577"/>
      <c r="AA40" s="577"/>
      <c r="AB40" s="577"/>
      <c r="AC40" s="577"/>
      <c r="AD40" s="577"/>
      <c r="AE40" s="30"/>
    </row>
    <row r="41" spans="1:31" ht="12" customHeight="1">
      <c r="A41" s="1254">
        <v>11</v>
      </c>
      <c r="B41" s="1255" t="s">
        <v>396</v>
      </c>
      <c r="C41" s="1266" t="s">
        <v>397</v>
      </c>
      <c r="D41" s="565" t="s">
        <v>380</v>
      </c>
      <c r="E41" s="566">
        <v>130079</v>
      </c>
      <c r="F41" s="566">
        <f>E41+F43+F42</f>
        <v>130079</v>
      </c>
      <c r="G41" s="566">
        <f aca="true" t="shared" si="9" ref="G41:AC41">F41+G43+G42</f>
        <v>130079</v>
      </c>
      <c r="H41" s="566">
        <f t="shared" si="9"/>
        <v>130079</v>
      </c>
      <c r="I41" s="566">
        <f t="shared" si="9"/>
        <v>130078.99999999999</v>
      </c>
      <c r="J41" s="566">
        <f t="shared" si="9"/>
        <v>130078.99999999999</v>
      </c>
      <c r="K41" s="566">
        <f t="shared" si="9"/>
        <v>130078.99999999999</v>
      </c>
      <c r="L41" s="566">
        <f t="shared" si="9"/>
        <v>153612.19999999998</v>
      </c>
      <c r="M41" s="566">
        <f t="shared" si="9"/>
        <v>153612.19999999998</v>
      </c>
      <c r="N41" s="566">
        <f t="shared" si="9"/>
        <v>153612.19999999998</v>
      </c>
      <c r="O41" s="566">
        <f>N41+O43+O42</f>
        <v>153612.19999999998</v>
      </c>
      <c r="P41" s="566">
        <f t="shared" si="9"/>
        <v>153612.19999999998</v>
      </c>
      <c r="Q41" s="566">
        <f t="shared" si="9"/>
        <v>153612.19999999998</v>
      </c>
      <c r="R41" s="566">
        <f t="shared" si="9"/>
        <v>153612.19999999998</v>
      </c>
      <c r="S41" s="566">
        <f t="shared" si="9"/>
        <v>153612.19999999998</v>
      </c>
      <c r="T41" s="566">
        <f t="shared" si="9"/>
        <v>153612.19999999998</v>
      </c>
      <c r="U41" s="566">
        <f t="shared" si="9"/>
        <v>153612.19999999998</v>
      </c>
      <c r="V41" s="566">
        <f t="shared" si="9"/>
        <v>153612.19999999998</v>
      </c>
      <c r="W41" s="566">
        <f t="shared" si="9"/>
        <v>153612.19999999998</v>
      </c>
      <c r="X41" s="566">
        <f t="shared" si="9"/>
        <v>153612.19999999998</v>
      </c>
      <c r="Y41" s="566">
        <f t="shared" si="9"/>
        <v>153612.19999999998</v>
      </c>
      <c r="Z41" s="566">
        <f t="shared" si="9"/>
        <v>153612.19999999998</v>
      </c>
      <c r="AA41" s="566">
        <f t="shared" si="9"/>
        <v>153612.19999999998</v>
      </c>
      <c r="AB41" s="566">
        <f t="shared" si="9"/>
        <v>153612.19999999998</v>
      </c>
      <c r="AC41" s="566">
        <f t="shared" si="9"/>
        <v>153612.19999999998</v>
      </c>
      <c r="AD41" s="566">
        <f>AC41+AD43+AD42</f>
        <v>153612.19999999998</v>
      </c>
      <c r="AE41" s="30"/>
    </row>
    <row r="42" spans="1:31" ht="12" customHeight="1">
      <c r="A42" s="1254"/>
      <c r="B42" s="1255"/>
      <c r="C42" s="1266"/>
      <c r="D42" s="565" t="s">
        <v>381</v>
      </c>
      <c r="E42" s="566"/>
      <c r="F42" s="569"/>
      <c r="G42" s="567"/>
      <c r="H42" s="569"/>
      <c r="I42" s="569">
        <v>-18718.11</v>
      </c>
      <c r="J42" s="569"/>
      <c r="K42" s="569"/>
      <c r="L42" s="569"/>
      <c r="M42" s="569"/>
      <c r="N42" s="569"/>
      <c r="O42" s="569">
        <v>-7224</v>
      </c>
      <c r="P42" s="569"/>
      <c r="Q42" s="569">
        <v>-2356.6</v>
      </c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569"/>
      <c r="AE42" s="30"/>
    </row>
    <row r="43" spans="1:31" ht="12" customHeight="1">
      <c r="A43" s="1254"/>
      <c r="B43" s="1255"/>
      <c r="C43" s="1266"/>
      <c r="D43" s="565" t="s">
        <v>382</v>
      </c>
      <c r="E43" s="566"/>
      <c r="F43" s="569"/>
      <c r="G43" s="567"/>
      <c r="H43" s="569"/>
      <c r="I43" s="569">
        <v>18718.11</v>
      </c>
      <c r="J43" s="569"/>
      <c r="K43" s="569"/>
      <c r="L43" s="569">
        <v>23533.2</v>
      </c>
      <c r="M43" s="569"/>
      <c r="N43" s="569"/>
      <c r="O43" s="569">
        <v>7224</v>
      </c>
      <c r="P43" s="569"/>
      <c r="Q43" s="569">
        <v>2356.6</v>
      </c>
      <c r="R43" s="569"/>
      <c r="S43" s="569"/>
      <c r="T43" s="569"/>
      <c r="U43" s="569"/>
      <c r="V43" s="569"/>
      <c r="W43" s="569"/>
      <c r="X43" s="569"/>
      <c r="Y43" s="569"/>
      <c r="Z43" s="569"/>
      <c r="AA43" s="569"/>
      <c r="AB43" s="569"/>
      <c r="AC43" s="569"/>
      <c r="AD43" s="569"/>
      <c r="AE43" s="30"/>
    </row>
    <row r="44" spans="1:31" ht="12" customHeight="1">
      <c r="A44" s="1254"/>
      <c r="B44" s="1255"/>
      <c r="C44" s="1266"/>
      <c r="D44" s="565" t="s">
        <v>383</v>
      </c>
      <c r="E44" s="566"/>
      <c r="F44" s="569"/>
      <c r="G44" s="567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569"/>
      <c r="T44" s="569"/>
      <c r="U44" s="569"/>
      <c r="V44" s="569"/>
      <c r="W44" s="569"/>
      <c r="X44" s="569"/>
      <c r="Y44" s="569"/>
      <c r="Z44" s="569"/>
      <c r="AA44" s="569"/>
      <c r="AB44" s="569"/>
      <c r="AC44" s="569"/>
      <c r="AD44" s="569"/>
      <c r="AE44" s="30"/>
    </row>
    <row r="45" spans="1:31" ht="12" customHeight="1">
      <c r="A45" s="1260">
        <v>12</v>
      </c>
      <c r="B45" s="1261" t="s">
        <v>398</v>
      </c>
      <c r="C45" s="1267" t="s">
        <v>399</v>
      </c>
      <c r="D45" s="571" t="s">
        <v>380</v>
      </c>
      <c r="E45" s="576">
        <v>24000</v>
      </c>
      <c r="F45" s="576">
        <f>E45+F47+F46</f>
        <v>24000</v>
      </c>
      <c r="G45" s="576">
        <f aca="true" t="shared" si="10" ref="G45:AC45">F45+G47+G46</f>
        <v>24000</v>
      </c>
      <c r="H45" s="576">
        <f t="shared" si="10"/>
        <v>24000</v>
      </c>
      <c r="I45" s="576">
        <f t="shared" si="10"/>
        <v>24000</v>
      </c>
      <c r="J45" s="576">
        <f t="shared" si="10"/>
        <v>24000</v>
      </c>
      <c r="K45" s="576">
        <f t="shared" si="10"/>
        <v>24000</v>
      </c>
      <c r="L45" s="576">
        <f t="shared" si="10"/>
        <v>24000</v>
      </c>
      <c r="M45" s="576">
        <f t="shared" si="10"/>
        <v>24000</v>
      </c>
      <c r="N45" s="576">
        <f t="shared" si="10"/>
        <v>24000</v>
      </c>
      <c r="O45" s="576">
        <f>N45+O47+O46</f>
        <v>24000</v>
      </c>
      <c r="P45" s="576">
        <f t="shared" si="10"/>
        <v>24000</v>
      </c>
      <c r="Q45" s="576">
        <f t="shared" si="10"/>
        <v>24000</v>
      </c>
      <c r="R45" s="576">
        <f t="shared" si="10"/>
        <v>24000</v>
      </c>
      <c r="S45" s="576">
        <f t="shared" si="10"/>
        <v>24000</v>
      </c>
      <c r="T45" s="576">
        <f t="shared" si="10"/>
        <v>24000</v>
      </c>
      <c r="U45" s="576">
        <f t="shared" si="10"/>
        <v>24000</v>
      </c>
      <c r="V45" s="576">
        <f t="shared" si="10"/>
        <v>24000</v>
      </c>
      <c r="W45" s="576">
        <f t="shared" si="10"/>
        <v>24000</v>
      </c>
      <c r="X45" s="576">
        <f t="shared" si="10"/>
        <v>24000</v>
      </c>
      <c r="Y45" s="576">
        <f t="shared" si="10"/>
        <v>24000</v>
      </c>
      <c r="Z45" s="576">
        <f t="shared" si="10"/>
        <v>24000</v>
      </c>
      <c r="AA45" s="576">
        <f t="shared" si="10"/>
        <v>24000</v>
      </c>
      <c r="AB45" s="576">
        <f t="shared" si="10"/>
        <v>24000</v>
      </c>
      <c r="AC45" s="576">
        <f t="shared" si="10"/>
        <v>24000</v>
      </c>
      <c r="AD45" s="576">
        <f>AC45+AD47+AD46</f>
        <v>24000</v>
      </c>
      <c r="AE45" s="30"/>
    </row>
    <row r="46" spans="1:31" ht="12" customHeight="1">
      <c r="A46" s="1260"/>
      <c r="B46" s="1261"/>
      <c r="C46" s="1268"/>
      <c r="D46" s="571" t="s">
        <v>381</v>
      </c>
      <c r="E46" s="576"/>
      <c r="F46" s="577"/>
      <c r="G46" s="578"/>
      <c r="H46" s="577">
        <v>-3598.78</v>
      </c>
      <c r="I46" s="577"/>
      <c r="J46" s="577"/>
      <c r="K46" s="577"/>
      <c r="L46" s="577"/>
      <c r="M46" s="577"/>
      <c r="N46" s="577"/>
      <c r="O46" s="577"/>
      <c r="P46" s="577"/>
      <c r="Q46" s="577">
        <v>-518.79</v>
      </c>
      <c r="R46" s="577"/>
      <c r="S46" s="577"/>
      <c r="T46" s="577"/>
      <c r="U46" s="577"/>
      <c r="V46" s="577"/>
      <c r="W46" s="577"/>
      <c r="X46" s="577"/>
      <c r="Y46" s="577"/>
      <c r="Z46" s="577"/>
      <c r="AA46" s="577"/>
      <c r="AB46" s="577"/>
      <c r="AC46" s="577"/>
      <c r="AD46" s="577"/>
      <c r="AE46" s="30"/>
    </row>
    <row r="47" spans="1:31" ht="12" customHeight="1">
      <c r="A47" s="1260"/>
      <c r="B47" s="1261"/>
      <c r="C47" s="1268"/>
      <c r="D47" s="571" t="s">
        <v>382</v>
      </c>
      <c r="E47" s="576"/>
      <c r="F47" s="577"/>
      <c r="G47" s="578"/>
      <c r="H47" s="577">
        <v>3598.78</v>
      </c>
      <c r="I47" s="577"/>
      <c r="J47" s="577"/>
      <c r="K47" s="577"/>
      <c r="L47" s="577"/>
      <c r="M47" s="577"/>
      <c r="N47" s="577"/>
      <c r="O47" s="577"/>
      <c r="P47" s="577"/>
      <c r="Q47" s="577">
        <v>518.79</v>
      </c>
      <c r="R47" s="577"/>
      <c r="S47" s="577"/>
      <c r="T47" s="577"/>
      <c r="U47" s="577"/>
      <c r="V47" s="577"/>
      <c r="W47" s="577"/>
      <c r="X47" s="577"/>
      <c r="Y47" s="577"/>
      <c r="Z47" s="577"/>
      <c r="AA47" s="577"/>
      <c r="AB47" s="577"/>
      <c r="AC47" s="577"/>
      <c r="AD47" s="577"/>
      <c r="AE47" s="30"/>
    </row>
    <row r="48" spans="1:31" ht="12" customHeight="1">
      <c r="A48" s="1260"/>
      <c r="B48" s="1261"/>
      <c r="C48" s="1269"/>
      <c r="D48" s="571" t="s">
        <v>383</v>
      </c>
      <c r="E48" s="576"/>
      <c r="F48" s="577"/>
      <c r="G48" s="578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7"/>
      <c r="S48" s="577"/>
      <c r="T48" s="577"/>
      <c r="U48" s="577"/>
      <c r="V48" s="577"/>
      <c r="W48" s="577"/>
      <c r="X48" s="577"/>
      <c r="Y48" s="577"/>
      <c r="Z48" s="577"/>
      <c r="AA48" s="577"/>
      <c r="AB48" s="577"/>
      <c r="AC48" s="577"/>
      <c r="AD48" s="577"/>
      <c r="AE48" s="30"/>
    </row>
    <row r="49" spans="1:31" ht="12" customHeight="1">
      <c r="A49" s="1254">
        <v>13</v>
      </c>
      <c r="B49" s="1255" t="s">
        <v>400</v>
      </c>
      <c r="C49" s="1266" t="s">
        <v>388</v>
      </c>
      <c r="D49" s="565" t="s">
        <v>380</v>
      </c>
      <c r="E49" s="566">
        <v>0</v>
      </c>
      <c r="F49" s="567">
        <f>E49+F50+F51</f>
        <v>0</v>
      </c>
      <c r="G49" s="567">
        <f aca="true" t="shared" si="11" ref="G49:AC49">F49+G50+G51</f>
        <v>0</v>
      </c>
      <c r="H49" s="567">
        <f t="shared" si="11"/>
        <v>0</v>
      </c>
      <c r="I49" s="567">
        <f t="shared" si="11"/>
        <v>0</v>
      </c>
      <c r="J49" s="567">
        <f t="shared" si="11"/>
        <v>53587.7</v>
      </c>
      <c r="K49" s="567">
        <f t="shared" si="11"/>
        <v>53587.7</v>
      </c>
      <c r="L49" s="567">
        <f t="shared" si="11"/>
        <v>53587.7</v>
      </c>
      <c r="M49" s="567">
        <f t="shared" si="11"/>
        <v>53587.7</v>
      </c>
      <c r="N49" s="567">
        <f t="shared" si="11"/>
        <v>53587.7</v>
      </c>
      <c r="O49" s="567">
        <f>N49+O50+O51</f>
        <v>53587.7</v>
      </c>
      <c r="P49" s="567">
        <f t="shared" si="11"/>
        <v>53587.7</v>
      </c>
      <c r="Q49" s="567">
        <f t="shared" si="11"/>
        <v>53587.7</v>
      </c>
      <c r="R49" s="567">
        <f t="shared" si="11"/>
        <v>53587.7</v>
      </c>
      <c r="S49" s="567">
        <f t="shared" si="11"/>
        <v>53587.7</v>
      </c>
      <c r="T49" s="567">
        <f t="shared" si="11"/>
        <v>53587.7</v>
      </c>
      <c r="U49" s="567">
        <f t="shared" si="11"/>
        <v>53587.7</v>
      </c>
      <c r="V49" s="567">
        <f t="shared" si="11"/>
        <v>53587.7</v>
      </c>
      <c r="W49" s="567">
        <f t="shared" si="11"/>
        <v>53587.7</v>
      </c>
      <c r="X49" s="567">
        <f t="shared" si="11"/>
        <v>53587.7</v>
      </c>
      <c r="Y49" s="567">
        <f t="shared" si="11"/>
        <v>53587.7</v>
      </c>
      <c r="Z49" s="567">
        <f t="shared" si="11"/>
        <v>53587.7</v>
      </c>
      <c r="AA49" s="567">
        <f t="shared" si="11"/>
        <v>53587.7</v>
      </c>
      <c r="AB49" s="567">
        <f t="shared" si="11"/>
        <v>54087.7</v>
      </c>
      <c r="AC49" s="567">
        <f t="shared" si="11"/>
        <v>54087.7</v>
      </c>
      <c r="AD49" s="567">
        <f>AC49+AD50+AD51</f>
        <v>54087.7</v>
      </c>
      <c r="AE49" s="30"/>
    </row>
    <row r="50" spans="1:31" ht="12" customHeight="1">
      <c r="A50" s="1254"/>
      <c r="B50" s="1255"/>
      <c r="C50" s="1266"/>
      <c r="D50" s="565" t="s">
        <v>381</v>
      </c>
      <c r="E50" s="568"/>
      <c r="F50" s="569"/>
      <c r="G50" s="567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  <c r="AC50" s="569"/>
      <c r="AD50" s="569"/>
      <c r="AE50" s="30"/>
    </row>
    <row r="51" spans="1:31" ht="12" customHeight="1">
      <c r="A51" s="1254"/>
      <c r="B51" s="1255"/>
      <c r="C51" s="1266"/>
      <c r="D51" s="565" t="s">
        <v>382</v>
      </c>
      <c r="E51" s="568"/>
      <c r="F51" s="569"/>
      <c r="G51" s="569"/>
      <c r="H51" s="569"/>
      <c r="I51" s="569"/>
      <c r="J51" s="569">
        <v>53587.7</v>
      </c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U51" s="569"/>
      <c r="V51" s="569"/>
      <c r="W51" s="569"/>
      <c r="X51" s="569"/>
      <c r="Y51" s="569"/>
      <c r="Z51" s="569"/>
      <c r="AA51" s="569"/>
      <c r="AB51" s="569">
        <v>500</v>
      </c>
      <c r="AC51" s="569"/>
      <c r="AD51" s="569"/>
      <c r="AE51" s="30"/>
    </row>
    <row r="52" spans="1:31" ht="12" customHeight="1">
      <c r="A52" s="1254"/>
      <c r="B52" s="1255"/>
      <c r="C52" s="1266"/>
      <c r="D52" s="565" t="s">
        <v>383</v>
      </c>
      <c r="E52" s="568"/>
      <c r="F52" s="569"/>
      <c r="G52" s="567"/>
      <c r="H52" s="569"/>
      <c r="I52" s="569"/>
      <c r="J52" s="569" t="s">
        <v>384</v>
      </c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9"/>
      <c r="AD52" s="569"/>
      <c r="AE52" s="30"/>
    </row>
    <row r="53" spans="1:31" ht="12" customHeight="1">
      <c r="A53" s="1260">
        <v>14</v>
      </c>
      <c r="B53" s="1261" t="s">
        <v>401</v>
      </c>
      <c r="C53" s="1263" t="s">
        <v>402</v>
      </c>
      <c r="D53" s="571" t="s">
        <v>380</v>
      </c>
      <c r="E53" s="576">
        <v>0</v>
      </c>
      <c r="F53" s="578">
        <f>F54+F55+E53</f>
        <v>0</v>
      </c>
      <c r="G53" s="578">
        <f aca="true" t="shared" si="12" ref="G53:AC53">G54+G55+F53</f>
        <v>0</v>
      </c>
      <c r="H53" s="578">
        <f t="shared" si="12"/>
        <v>0</v>
      </c>
      <c r="I53" s="578">
        <f t="shared" si="12"/>
        <v>0</v>
      </c>
      <c r="J53" s="578">
        <f t="shared" si="12"/>
        <v>149743.8</v>
      </c>
      <c r="K53" s="578">
        <f t="shared" si="12"/>
        <v>149743.8</v>
      </c>
      <c r="L53" s="578">
        <f t="shared" si="12"/>
        <v>149743.8</v>
      </c>
      <c r="M53" s="578">
        <f t="shared" si="12"/>
        <v>149743.8</v>
      </c>
      <c r="N53" s="578">
        <f t="shared" si="12"/>
        <v>149743.8</v>
      </c>
      <c r="O53" s="578">
        <f>O54+O55+N53</f>
        <v>149743.8</v>
      </c>
      <c r="P53" s="578">
        <f t="shared" si="12"/>
        <v>149743.8</v>
      </c>
      <c r="Q53" s="578">
        <f t="shared" si="12"/>
        <v>149743.8</v>
      </c>
      <c r="R53" s="578">
        <f t="shared" si="12"/>
        <v>149743.8</v>
      </c>
      <c r="S53" s="578">
        <f t="shared" si="12"/>
        <v>149743.8</v>
      </c>
      <c r="T53" s="578">
        <f t="shared" si="12"/>
        <v>149743.8</v>
      </c>
      <c r="U53" s="578">
        <f t="shared" si="12"/>
        <v>149743.8</v>
      </c>
      <c r="V53" s="578">
        <f t="shared" si="12"/>
        <v>149743.8</v>
      </c>
      <c r="W53" s="578">
        <f t="shared" si="12"/>
        <v>149743.8</v>
      </c>
      <c r="X53" s="578">
        <f t="shared" si="12"/>
        <v>149743.8</v>
      </c>
      <c r="Y53" s="578">
        <f t="shared" si="12"/>
        <v>149743.8</v>
      </c>
      <c r="Z53" s="578">
        <f t="shared" si="12"/>
        <v>149743.8</v>
      </c>
      <c r="AA53" s="578">
        <f t="shared" si="12"/>
        <v>149743.8</v>
      </c>
      <c r="AB53" s="578">
        <f t="shared" si="12"/>
        <v>150106</v>
      </c>
      <c r="AC53" s="578">
        <f t="shared" si="12"/>
        <v>150106</v>
      </c>
      <c r="AD53" s="578">
        <f>AD54+AD55+AC53</f>
        <v>150106</v>
      </c>
      <c r="AE53" s="30"/>
    </row>
    <row r="54" spans="1:31" ht="12" customHeight="1">
      <c r="A54" s="1260"/>
      <c r="B54" s="1261"/>
      <c r="C54" s="1263"/>
      <c r="D54" s="571" t="s">
        <v>381</v>
      </c>
      <c r="E54" s="576"/>
      <c r="F54" s="577"/>
      <c r="G54" s="578"/>
      <c r="H54" s="577"/>
      <c r="I54" s="577"/>
      <c r="J54" s="577"/>
      <c r="K54" s="577"/>
      <c r="L54" s="577"/>
      <c r="M54" s="577"/>
      <c r="N54" s="577"/>
      <c r="O54" s="577"/>
      <c r="P54" s="577"/>
      <c r="Q54" s="577"/>
      <c r="R54" s="577"/>
      <c r="S54" s="577"/>
      <c r="T54" s="577"/>
      <c r="U54" s="577">
        <v>-1100</v>
      </c>
      <c r="V54" s="577"/>
      <c r="W54" s="577"/>
      <c r="X54" s="577"/>
      <c r="Y54" s="577"/>
      <c r="Z54" s="577"/>
      <c r="AA54" s="577">
        <v>-334</v>
      </c>
      <c r="AB54" s="577"/>
      <c r="AC54" s="577"/>
      <c r="AD54" s="577"/>
      <c r="AE54" s="30"/>
    </row>
    <row r="55" spans="1:31" ht="12" customHeight="1">
      <c r="A55" s="1260"/>
      <c r="B55" s="1261"/>
      <c r="C55" s="1263"/>
      <c r="D55" s="571" t="s">
        <v>382</v>
      </c>
      <c r="E55" s="576"/>
      <c r="F55" s="577"/>
      <c r="G55" s="578"/>
      <c r="H55" s="577"/>
      <c r="I55" s="577"/>
      <c r="J55" s="577">
        <v>149743.8</v>
      </c>
      <c r="K55" s="577"/>
      <c r="L55" s="577"/>
      <c r="M55" s="577"/>
      <c r="N55" s="577"/>
      <c r="O55" s="577"/>
      <c r="P55" s="577"/>
      <c r="Q55" s="577"/>
      <c r="R55" s="577"/>
      <c r="S55" s="577"/>
      <c r="T55" s="577"/>
      <c r="U55" s="577">
        <v>1100</v>
      </c>
      <c r="V55" s="577"/>
      <c r="W55" s="577"/>
      <c r="X55" s="577"/>
      <c r="Y55" s="577"/>
      <c r="Z55" s="577"/>
      <c r="AA55" s="577">
        <v>334</v>
      </c>
      <c r="AB55" s="577">
        <v>362.2</v>
      </c>
      <c r="AC55" s="577"/>
      <c r="AD55" s="577"/>
      <c r="AE55" s="30"/>
    </row>
    <row r="56" spans="1:31" ht="12" customHeight="1">
      <c r="A56" s="1260"/>
      <c r="B56" s="1261"/>
      <c r="C56" s="1263"/>
      <c r="D56" s="571" t="s">
        <v>383</v>
      </c>
      <c r="E56" s="576"/>
      <c r="F56" s="577"/>
      <c r="G56" s="578"/>
      <c r="H56" s="577"/>
      <c r="I56" s="577"/>
      <c r="J56" s="577" t="s">
        <v>384</v>
      </c>
      <c r="K56" s="577"/>
      <c r="L56" s="577"/>
      <c r="M56" s="577"/>
      <c r="N56" s="577"/>
      <c r="O56" s="577"/>
      <c r="P56" s="577"/>
      <c r="Q56" s="577"/>
      <c r="R56" s="577"/>
      <c r="S56" s="577"/>
      <c r="T56" s="577"/>
      <c r="U56" s="577"/>
      <c r="V56" s="577"/>
      <c r="W56" s="577"/>
      <c r="X56" s="577"/>
      <c r="Y56" s="577"/>
      <c r="Z56" s="577"/>
      <c r="AA56" s="577"/>
      <c r="AB56" s="577"/>
      <c r="AC56" s="577"/>
      <c r="AD56" s="577"/>
      <c r="AE56" s="30"/>
    </row>
    <row r="57" spans="1:31" ht="12" customHeight="1">
      <c r="A57" s="1254">
        <v>15</v>
      </c>
      <c r="B57" s="1255" t="s">
        <v>403</v>
      </c>
      <c r="C57" s="1266" t="s">
        <v>464</v>
      </c>
      <c r="D57" s="565" t="s">
        <v>380</v>
      </c>
      <c r="E57" s="566">
        <v>0</v>
      </c>
      <c r="F57" s="567">
        <f>F58+F59+E57</f>
        <v>0</v>
      </c>
      <c r="G57" s="567">
        <f aca="true" t="shared" si="13" ref="G57:N57">G58+G59+F57</f>
        <v>0</v>
      </c>
      <c r="H57" s="567">
        <f t="shared" si="13"/>
        <v>0</v>
      </c>
      <c r="I57" s="567">
        <f t="shared" si="13"/>
        <v>0</v>
      </c>
      <c r="J57" s="567">
        <f t="shared" si="13"/>
        <v>0</v>
      </c>
      <c r="K57" s="567">
        <f t="shared" si="13"/>
        <v>0</v>
      </c>
      <c r="L57" s="567">
        <f t="shared" si="13"/>
        <v>0</v>
      </c>
      <c r="M57" s="567">
        <f t="shared" si="13"/>
        <v>0</v>
      </c>
      <c r="N57" s="567">
        <f t="shared" si="13"/>
        <v>0</v>
      </c>
      <c r="O57" s="567">
        <f>O58+O59+N57</f>
        <v>0</v>
      </c>
      <c r="P57" s="567">
        <f aca="true" t="shared" si="14" ref="P57:AC57">P58+P59+O57</f>
        <v>0</v>
      </c>
      <c r="Q57" s="567">
        <f t="shared" si="14"/>
        <v>0</v>
      </c>
      <c r="R57" s="567">
        <f t="shared" si="14"/>
        <v>0</v>
      </c>
      <c r="S57" s="567">
        <f t="shared" si="14"/>
        <v>0</v>
      </c>
      <c r="T57" s="567">
        <f t="shared" si="14"/>
        <v>432050</v>
      </c>
      <c r="U57" s="567">
        <f t="shared" si="14"/>
        <v>432050</v>
      </c>
      <c r="V57" s="567">
        <f t="shared" si="14"/>
        <v>432050</v>
      </c>
      <c r="W57" s="567">
        <f t="shared" si="14"/>
        <v>432050</v>
      </c>
      <c r="X57" s="567">
        <f t="shared" si="14"/>
        <v>432050</v>
      </c>
      <c r="Y57" s="567">
        <f t="shared" si="14"/>
        <v>432050</v>
      </c>
      <c r="Z57" s="567">
        <f t="shared" si="14"/>
        <v>432050</v>
      </c>
      <c r="AA57" s="567">
        <f t="shared" si="14"/>
        <v>432050</v>
      </c>
      <c r="AB57" s="567">
        <f t="shared" si="14"/>
        <v>432050</v>
      </c>
      <c r="AC57" s="567">
        <f t="shared" si="14"/>
        <v>432050</v>
      </c>
      <c r="AD57" s="567">
        <f>AD58+AD59+AC57</f>
        <v>432050</v>
      </c>
      <c r="AE57" s="30"/>
    </row>
    <row r="58" spans="1:31" ht="12" customHeight="1">
      <c r="A58" s="1254"/>
      <c r="B58" s="1255"/>
      <c r="C58" s="1266"/>
      <c r="D58" s="565" t="s">
        <v>381</v>
      </c>
      <c r="E58" s="566"/>
      <c r="F58" s="569"/>
      <c r="G58" s="567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569"/>
      <c r="W58" s="569"/>
      <c r="X58" s="569"/>
      <c r="Y58" s="569"/>
      <c r="Z58" s="569"/>
      <c r="AA58" s="569"/>
      <c r="AB58" s="569"/>
      <c r="AC58" s="569"/>
      <c r="AD58" s="569"/>
      <c r="AE58" s="30"/>
    </row>
    <row r="59" spans="1:31" ht="12" customHeight="1">
      <c r="A59" s="1254"/>
      <c r="B59" s="1255"/>
      <c r="C59" s="1266"/>
      <c r="D59" s="565" t="s">
        <v>382</v>
      </c>
      <c r="E59" s="566"/>
      <c r="F59" s="569"/>
      <c r="G59" s="567"/>
      <c r="H59" s="569"/>
      <c r="I59" s="569"/>
      <c r="J59" s="569"/>
      <c r="K59" s="569"/>
      <c r="L59" s="569"/>
      <c r="M59" s="569"/>
      <c r="N59" s="569"/>
      <c r="O59" s="569"/>
      <c r="P59" s="569"/>
      <c r="Q59" s="569"/>
      <c r="R59" s="569"/>
      <c r="S59" s="569"/>
      <c r="T59" s="569">
        <v>432050</v>
      </c>
      <c r="U59" s="569"/>
      <c r="V59" s="569"/>
      <c r="W59" s="569"/>
      <c r="X59" s="569"/>
      <c r="Y59" s="569"/>
      <c r="Z59" s="569"/>
      <c r="AA59" s="569"/>
      <c r="AB59" s="569"/>
      <c r="AC59" s="569"/>
      <c r="AD59" s="569"/>
      <c r="AE59" s="30"/>
    </row>
    <row r="60" spans="1:31" ht="12" customHeight="1">
      <c r="A60" s="1254"/>
      <c r="B60" s="1255"/>
      <c r="C60" s="1266"/>
      <c r="D60" s="565" t="s">
        <v>383</v>
      </c>
      <c r="E60" s="566"/>
      <c r="F60" s="569"/>
      <c r="G60" s="567"/>
      <c r="H60" s="569"/>
      <c r="I60" s="569"/>
      <c r="J60" s="569"/>
      <c r="K60" s="569"/>
      <c r="L60" s="569"/>
      <c r="M60" s="569"/>
      <c r="N60" s="569"/>
      <c r="O60" s="569"/>
      <c r="P60" s="569"/>
      <c r="Q60" s="569"/>
      <c r="R60" s="569"/>
      <c r="S60" s="569"/>
      <c r="T60" s="569" t="s">
        <v>384</v>
      </c>
      <c r="U60" s="569"/>
      <c r="V60" s="569"/>
      <c r="W60" s="569"/>
      <c r="X60" s="569"/>
      <c r="Y60" s="569"/>
      <c r="Z60" s="569"/>
      <c r="AA60" s="569"/>
      <c r="AB60" s="569"/>
      <c r="AC60" s="569"/>
      <c r="AD60" s="569"/>
      <c r="AE60" s="30"/>
    </row>
    <row r="61" spans="1:31" ht="12" customHeight="1">
      <c r="A61" s="1260">
        <v>16</v>
      </c>
      <c r="B61" s="1261" t="s">
        <v>404</v>
      </c>
      <c r="C61" s="1263" t="s">
        <v>464</v>
      </c>
      <c r="D61" s="571" t="s">
        <v>380</v>
      </c>
      <c r="E61" s="576">
        <v>0</v>
      </c>
      <c r="F61" s="578">
        <f>F62+F63+E61</f>
        <v>0</v>
      </c>
      <c r="G61" s="578">
        <f aca="true" t="shared" si="15" ref="G61:N61">G62+G63+F61</f>
        <v>0</v>
      </c>
      <c r="H61" s="578">
        <f t="shared" si="15"/>
        <v>0</v>
      </c>
      <c r="I61" s="578">
        <f t="shared" si="15"/>
        <v>0</v>
      </c>
      <c r="J61" s="578">
        <f t="shared" si="15"/>
        <v>0</v>
      </c>
      <c r="K61" s="578">
        <f t="shared" si="15"/>
        <v>0</v>
      </c>
      <c r="L61" s="578">
        <f t="shared" si="15"/>
        <v>0</v>
      </c>
      <c r="M61" s="578">
        <f t="shared" si="15"/>
        <v>0</v>
      </c>
      <c r="N61" s="578">
        <f t="shared" si="15"/>
        <v>0</v>
      </c>
      <c r="O61" s="578">
        <f>O62+O63+N61</f>
        <v>0</v>
      </c>
      <c r="P61" s="578">
        <f aca="true" t="shared" si="16" ref="P61:AC61">P62+P63+O61</f>
        <v>0</v>
      </c>
      <c r="Q61" s="578">
        <f t="shared" si="16"/>
        <v>0</v>
      </c>
      <c r="R61" s="578">
        <f t="shared" si="16"/>
        <v>0</v>
      </c>
      <c r="S61" s="578">
        <f t="shared" si="16"/>
        <v>0</v>
      </c>
      <c r="T61" s="578">
        <f t="shared" si="16"/>
        <v>0</v>
      </c>
      <c r="U61" s="578">
        <f t="shared" si="16"/>
        <v>0</v>
      </c>
      <c r="V61" s="578">
        <f t="shared" si="16"/>
        <v>0</v>
      </c>
      <c r="W61" s="578">
        <f t="shared" si="16"/>
        <v>61321.45</v>
      </c>
      <c r="X61" s="578">
        <f t="shared" si="16"/>
        <v>61321.45</v>
      </c>
      <c r="Y61" s="578">
        <f t="shared" si="16"/>
        <v>61321.45</v>
      </c>
      <c r="Z61" s="578">
        <f t="shared" si="16"/>
        <v>61321.45</v>
      </c>
      <c r="AA61" s="578">
        <f t="shared" si="16"/>
        <v>61321.45</v>
      </c>
      <c r="AB61" s="578">
        <f t="shared" si="16"/>
        <v>61321.45</v>
      </c>
      <c r="AC61" s="578">
        <f t="shared" si="16"/>
        <v>61321.45</v>
      </c>
      <c r="AD61" s="578">
        <f>AD62+AD63+AC61</f>
        <v>61321.45</v>
      </c>
      <c r="AE61" s="30"/>
    </row>
    <row r="62" spans="1:31" ht="12" customHeight="1">
      <c r="A62" s="1260"/>
      <c r="B62" s="1261"/>
      <c r="C62" s="1263"/>
      <c r="D62" s="571" t="s">
        <v>381</v>
      </c>
      <c r="E62" s="576"/>
      <c r="F62" s="577"/>
      <c r="G62" s="578"/>
      <c r="H62" s="577"/>
      <c r="I62" s="577"/>
      <c r="J62" s="577"/>
      <c r="K62" s="577"/>
      <c r="L62" s="577"/>
      <c r="M62" s="577"/>
      <c r="N62" s="577"/>
      <c r="O62" s="577"/>
      <c r="P62" s="577"/>
      <c r="Q62" s="577"/>
      <c r="R62" s="577"/>
      <c r="S62" s="577"/>
      <c r="T62" s="577"/>
      <c r="U62" s="577"/>
      <c r="V62" s="577"/>
      <c r="W62" s="577"/>
      <c r="X62" s="577"/>
      <c r="Y62" s="577"/>
      <c r="Z62" s="577"/>
      <c r="AA62" s="577"/>
      <c r="AB62" s="577"/>
      <c r="AC62" s="577"/>
      <c r="AD62" s="577"/>
      <c r="AE62" s="30"/>
    </row>
    <row r="63" spans="1:31" ht="12" customHeight="1">
      <c r="A63" s="1260"/>
      <c r="B63" s="1261"/>
      <c r="C63" s="1263"/>
      <c r="D63" s="571" t="s">
        <v>382</v>
      </c>
      <c r="E63" s="576"/>
      <c r="F63" s="577"/>
      <c r="G63" s="578"/>
      <c r="H63" s="577"/>
      <c r="I63" s="577"/>
      <c r="J63" s="577"/>
      <c r="K63" s="577"/>
      <c r="L63" s="577"/>
      <c r="M63" s="577"/>
      <c r="N63" s="577"/>
      <c r="O63" s="577"/>
      <c r="P63" s="577"/>
      <c r="Q63" s="577"/>
      <c r="R63" s="577"/>
      <c r="S63" s="577"/>
      <c r="T63" s="577"/>
      <c r="U63" s="577"/>
      <c r="V63" s="577"/>
      <c r="W63" s="577">
        <v>61321.45</v>
      </c>
      <c r="X63" s="577"/>
      <c r="Y63" s="577"/>
      <c r="Z63" s="577"/>
      <c r="AA63" s="577"/>
      <c r="AB63" s="577"/>
      <c r="AC63" s="577"/>
      <c r="AD63" s="577"/>
      <c r="AE63" s="30"/>
    </row>
    <row r="64" spans="1:31" ht="12" customHeight="1">
      <c r="A64" s="1260"/>
      <c r="B64" s="1261"/>
      <c r="C64" s="1263"/>
      <c r="D64" s="571" t="s">
        <v>383</v>
      </c>
      <c r="E64" s="576"/>
      <c r="F64" s="577"/>
      <c r="G64" s="578"/>
      <c r="H64" s="577"/>
      <c r="I64" s="577"/>
      <c r="J64" s="577"/>
      <c r="K64" s="577"/>
      <c r="L64" s="577"/>
      <c r="M64" s="577"/>
      <c r="N64" s="577"/>
      <c r="O64" s="577"/>
      <c r="P64" s="577"/>
      <c r="Q64" s="577"/>
      <c r="R64" s="577"/>
      <c r="S64" s="577"/>
      <c r="T64" s="577"/>
      <c r="U64" s="577"/>
      <c r="V64" s="577"/>
      <c r="W64" s="577" t="s">
        <v>384</v>
      </c>
      <c r="X64" s="577"/>
      <c r="Y64" s="577"/>
      <c r="Z64" s="577"/>
      <c r="AA64" s="577"/>
      <c r="AB64" s="577"/>
      <c r="AC64" s="577"/>
      <c r="AD64" s="577"/>
      <c r="AE64" s="30"/>
    </row>
    <row r="65" spans="1:31" ht="12" customHeight="1">
      <c r="A65" s="1254">
        <v>17</v>
      </c>
      <c r="B65" s="1255" t="s">
        <v>405</v>
      </c>
      <c r="C65" s="1266" t="s">
        <v>464</v>
      </c>
      <c r="D65" s="565" t="s">
        <v>380</v>
      </c>
      <c r="E65" s="566">
        <v>0</v>
      </c>
      <c r="F65" s="567">
        <f>F66+F67+E65</f>
        <v>0</v>
      </c>
      <c r="G65" s="567">
        <f aca="true" t="shared" si="17" ref="G65:N65">G66+G67+F65</f>
        <v>0</v>
      </c>
      <c r="H65" s="567">
        <f t="shared" si="17"/>
        <v>0</v>
      </c>
      <c r="I65" s="567">
        <f t="shared" si="17"/>
        <v>0</v>
      </c>
      <c r="J65" s="567">
        <f t="shared" si="17"/>
        <v>0</v>
      </c>
      <c r="K65" s="567">
        <f t="shared" si="17"/>
        <v>0</v>
      </c>
      <c r="L65" s="567">
        <f t="shared" si="17"/>
        <v>0</v>
      </c>
      <c r="M65" s="567">
        <f t="shared" si="17"/>
        <v>0</v>
      </c>
      <c r="N65" s="567">
        <f t="shared" si="17"/>
        <v>0</v>
      </c>
      <c r="O65" s="567">
        <f>O66+O67+N65</f>
        <v>0</v>
      </c>
      <c r="P65" s="567">
        <f aca="true" t="shared" si="18" ref="P65:AC65">P66+P67+O65</f>
        <v>0</v>
      </c>
      <c r="Q65" s="567">
        <f t="shared" si="18"/>
        <v>0</v>
      </c>
      <c r="R65" s="567">
        <f t="shared" si="18"/>
        <v>0</v>
      </c>
      <c r="S65" s="567">
        <f t="shared" si="18"/>
        <v>0</v>
      </c>
      <c r="T65" s="567">
        <f t="shared" si="18"/>
        <v>0</v>
      </c>
      <c r="U65" s="567">
        <f t="shared" si="18"/>
        <v>0</v>
      </c>
      <c r="V65" s="567">
        <f t="shared" si="18"/>
        <v>0</v>
      </c>
      <c r="W65" s="567">
        <f t="shared" si="18"/>
        <v>30831.19</v>
      </c>
      <c r="X65" s="567">
        <f t="shared" si="18"/>
        <v>30831.19</v>
      </c>
      <c r="Y65" s="567">
        <f t="shared" si="18"/>
        <v>30831.19</v>
      </c>
      <c r="Z65" s="567">
        <f t="shared" si="18"/>
        <v>30831.19</v>
      </c>
      <c r="AA65" s="567">
        <f t="shared" si="18"/>
        <v>30831.19</v>
      </c>
      <c r="AB65" s="567">
        <f t="shared" si="18"/>
        <v>30831.19</v>
      </c>
      <c r="AC65" s="567">
        <f t="shared" si="18"/>
        <v>30831.19</v>
      </c>
      <c r="AD65" s="567">
        <f>AD66+AD67+AC65</f>
        <v>30831.19</v>
      </c>
      <c r="AE65" s="30"/>
    </row>
    <row r="66" spans="1:31" ht="12" customHeight="1">
      <c r="A66" s="1254"/>
      <c r="B66" s="1255"/>
      <c r="C66" s="1266"/>
      <c r="D66" s="565" t="s">
        <v>381</v>
      </c>
      <c r="E66" s="566"/>
      <c r="F66" s="569"/>
      <c r="G66" s="567"/>
      <c r="H66" s="569"/>
      <c r="I66" s="569"/>
      <c r="J66" s="569"/>
      <c r="K66" s="569"/>
      <c r="L66" s="569"/>
      <c r="M66" s="569"/>
      <c r="N66" s="569"/>
      <c r="O66" s="569"/>
      <c r="P66" s="569"/>
      <c r="Q66" s="569"/>
      <c r="R66" s="569"/>
      <c r="S66" s="569"/>
      <c r="T66" s="569"/>
      <c r="U66" s="569"/>
      <c r="V66" s="569"/>
      <c r="W66" s="569"/>
      <c r="X66" s="569"/>
      <c r="Y66" s="569"/>
      <c r="Z66" s="569"/>
      <c r="AA66" s="569"/>
      <c r="AB66" s="569"/>
      <c r="AC66" s="569"/>
      <c r="AD66" s="569">
        <v>-1500</v>
      </c>
      <c r="AE66" s="30"/>
    </row>
    <row r="67" spans="1:31" ht="12" customHeight="1">
      <c r="A67" s="1254"/>
      <c r="B67" s="1255"/>
      <c r="C67" s="1266"/>
      <c r="D67" s="565" t="s">
        <v>382</v>
      </c>
      <c r="E67" s="566"/>
      <c r="F67" s="569"/>
      <c r="G67" s="567"/>
      <c r="H67" s="569"/>
      <c r="I67" s="569"/>
      <c r="J67" s="569"/>
      <c r="K67" s="569"/>
      <c r="L67" s="569"/>
      <c r="M67" s="569"/>
      <c r="N67" s="569"/>
      <c r="O67" s="569"/>
      <c r="P67" s="569"/>
      <c r="Q67" s="569"/>
      <c r="R67" s="569"/>
      <c r="S67" s="569"/>
      <c r="T67" s="569"/>
      <c r="U67" s="569"/>
      <c r="V67" s="569"/>
      <c r="W67" s="569">
        <v>30831.19</v>
      </c>
      <c r="X67" s="569"/>
      <c r="Y67" s="569"/>
      <c r="Z67" s="569"/>
      <c r="AA67" s="569"/>
      <c r="AB67" s="569"/>
      <c r="AC67" s="569"/>
      <c r="AD67" s="569">
        <v>1500</v>
      </c>
      <c r="AE67" s="30"/>
    </row>
    <row r="68" spans="1:31" ht="12" customHeight="1">
      <c r="A68" s="1254"/>
      <c r="B68" s="1255"/>
      <c r="C68" s="1266"/>
      <c r="D68" s="565" t="s">
        <v>383</v>
      </c>
      <c r="E68" s="566"/>
      <c r="F68" s="569"/>
      <c r="G68" s="567"/>
      <c r="H68" s="569"/>
      <c r="I68" s="569"/>
      <c r="J68" s="569"/>
      <c r="K68" s="569"/>
      <c r="L68" s="569"/>
      <c r="M68" s="569"/>
      <c r="N68" s="569"/>
      <c r="O68" s="569"/>
      <c r="P68" s="569"/>
      <c r="Q68" s="569"/>
      <c r="R68" s="569"/>
      <c r="S68" s="569"/>
      <c r="T68" s="569"/>
      <c r="U68" s="569"/>
      <c r="V68" s="569"/>
      <c r="W68" s="569" t="s">
        <v>384</v>
      </c>
      <c r="X68" s="569"/>
      <c r="Y68" s="569"/>
      <c r="Z68" s="569"/>
      <c r="AA68" s="569"/>
      <c r="AB68" s="569"/>
      <c r="AC68" s="569"/>
      <c r="AD68" s="569"/>
      <c r="AE68" s="30"/>
    </row>
    <row r="69" spans="1:31" ht="12" customHeight="1">
      <c r="A69" s="1260">
        <v>18</v>
      </c>
      <c r="B69" s="1261" t="s">
        <v>406</v>
      </c>
      <c r="C69" s="1263" t="s">
        <v>407</v>
      </c>
      <c r="D69" s="571" t="s">
        <v>380</v>
      </c>
      <c r="E69" s="576">
        <v>0</v>
      </c>
      <c r="F69" s="578">
        <f>F70+F71+E69</f>
        <v>0</v>
      </c>
      <c r="G69" s="578">
        <f aca="true" t="shared" si="19" ref="G69:N69">G70+G71+F69</f>
        <v>0</v>
      </c>
      <c r="H69" s="578">
        <f t="shared" si="19"/>
        <v>0</v>
      </c>
      <c r="I69" s="578">
        <f t="shared" si="19"/>
        <v>0</v>
      </c>
      <c r="J69" s="578">
        <f t="shared" si="19"/>
        <v>0</v>
      </c>
      <c r="K69" s="578">
        <f t="shared" si="19"/>
        <v>0</v>
      </c>
      <c r="L69" s="578">
        <f t="shared" si="19"/>
        <v>0</v>
      </c>
      <c r="M69" s="578">
        <f t="shared" si="19"/>
        <v>0</v>
      </c>
      <c r="N69" s="578">
        <f t="shared" si="19"/>
        <v>0</v>
      </c>
      <c r="O69" s="578">
        <f>O70+O71+N69</f>
        <v>0</v>
      </c>
      <c r="P69" s="578">
        <f aca="true" t="shared" si="20" ref="P69:AC69">P70+P71+O69</f>
        <v>0</v>
      </c>
      <c r="Q69" s="578">
        <f t="shared" si="20"/>
        <v>0</v>
      </c>
      <c r="R69" s="578">
        <f t="shared" si="20"/>
        <v>0</v>
      </c>
      <c r="S69" s="578">
        <f t="shared" si="20"/>
        <v>0</v>
      </c>
      <c r="T69" s="578">
        <f t="shared" si="20"/>
        <v>0</v>
      </c>
      <c r="U69" s="578">
        <f t="shared" si="20"/>
        <v>0</v>
      </c>
      <c r="V69" s="578">
        <f t="shared" si="20"/>
        <v>0</v>
      </c>
      <c r="W69" s="578">
        <f t="shared" si="20"/>
        <v>203287.6</v>
      </c>
      <c r="X69" s="578">
        <f t="shared" si="20"/>
        <v>203287.6</v>
      </c>
      <c r="Y69" s="578">
        <f t="shared" si="20"/>
        <v>203287.6</v>
      </c>
      <c r="Z69" s="578">
        <f t="shared" si="20"/>
        <v>203287.6</v>
      </c>
      <c r="AA69" s="578">
        <f t="shared" si="20"/>
        <v>203287.6</v>
      </c>
      <c r="AB69" s="578">
        <f t="shared" si="20"/>
        <v>203287.6</v>
      </c>
      <c r="AC69" s="578">
        <f t="shared" si="20"/>
        <v>203287.6</v>
      </c>
      <c r="AD69" s="578">
        <f>AD70+AD71+AC69</f>
        <v>203287.6</v>
      </c>
      <c r="AE69" s="30"/>
    </row>
    <row r="70" spans="1:31" ht="20.25" customHeight="1">
      <c r="A70" s="1260"/>
      <c r="B70" s="1261"/>
      <c r="C70" s="1263"/>
      <c r="D70" s="571" t="s">
        <v>381</v>
      </c>
      <c r="E70" s="576"/>
      <c r="F70" s="577"/>
      <c r="G70" s="578"/>
      <c r="H70" s="577"/>
      <c r="I70" s="577"/>
      <c r="J70" s="577"/>
      <c r="K70" s="577"/>
      <c r="L70" s="577"/>
      <c r="M70" s="577"/>
      <c r="N70" s="577"/>
      <c r="O70" s="577"/>
      <c r="P70" s="577"/>
      <c r="Q70" s="577"/>
      <c r="R70" s="577"/>
      <c r="S70" s="577"/>
      <c r="T70" s="577"/>
      <c r="U70" s="577"/>
      <c r="V70" s="577"/>
      <c r="W70" s="577"/>
      <c r="X70" s="577">
        <v>-4847.4</v>
      </c>
      <c r="Y70" s="577"/>
      <c r="Z70" s="577"/>
      <c r="AA70" s="577"/>
      <c r="AB70" s="577"/>
      <c r="AC70" s="577"/>
      <c r="AD70" s="577"/>
      <c r="AE70" s="30"/>
    </row>
    <row r="71" spans="1:31" ht="12" customHeight="1">
      <c r="A71" s="1260"/>
      <c r="B71" s="1261"/>
      <c r="C71" s="1263"/>
      <c r="D71" s="571" t="s">
        <v>382</v>
      </c>
      <c r="E71" s="576"/>
      <c r="F71" s="577"/>
      <c r="G71" s="578"/>
      <c r="H71" s="577"/>
      <c r="I71" s="577"/>
      <c r="J71" s="577"/>
      <c r="K71" s="577"/>
      <c r="L71" s="577"/>
      <c r="M71" s="577"/>
      <c r="N71" s="577"/>
      <c r="O71" s="577"/>
      <c r="P71" s="577"/>
      <c r="Q71" s="577"/>
      <c r="R71" s="577"/>
      <c r="S71" s="577"/>
      <c r="T71" s="577"/>
      <c r="U71" s="577"/>
      <c r="V71" s="577"/>
      <c r="W71" s="577">
        <v>203287.6</v>
      </c>
      <c r="X71" s="577">
        <v>4847.4</v>
      </c>
      <c r="Y71" s="577"/>
      <c r="Z71" s="577"/>
      <c r="AA71" s="577"/>
      <c r="AB71" s="577"/>
      <c r="AC71" s="577"/>
      <c r="AD71" s="577"/>
      <c r="AE71" s="30"/>
    </row>
    <row r="72" spans="1:31" ht="12" customHeight="1">
      <c r="A72" s="1260"/>
      <c r="B72" s="1261"/>
      <c r="C72" s="1263"/>
      <c r="D72" s="571" t="s">
        <v>383</v>
      </c>
      <c r="E72" s="576"/>
      <c r="F72" s="577"/>
      <c r="G72" s="578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7" t="s">
        <v>384</v>
      </c>
      <c r="X72" s="577"/>
      <c r="Y72" s="577"/>
      <c r="Z72" s="577"/>
      <c r="AA72" s="577"/>
      <c r="AB72" s="577"/>
      <c r="AC72" s="577"/>
      <c r="AD72" s="577"/>
      <c r="AE72" s="30"/>
    </row>
    <row r="73" spans="1:31" ht="12" customHeight="1">
      <c r="A73" s="1254">
        <v>19</v>
      </c>
      <c r="B73" s="1255" t="s">
        <v>408</v>
      </c>
      <c r="C73" s="1266" t="s">
        <v>402</v>
      </c>
      <c r="D73" s="565" t="s">
        <v>380</v>
      </c>
      <c r="E73" s="566">
        <v>0</v>
      </c>
      <c r="F73" s="567">
        <f>F74+F75+E73</f>
        <v>0</v>
      </c>
      <c r="G73" s="567">
        <f aca="true" t="shared" si="21" ref="G73:N73">G74+G75+F73</f>
        <v>0</v>
      </c>
      <c r="H73" s="567">
        <f t="shared" si="21"/>
        <v>0</v>
      </c>
      <c r="I73" s="567">
        <f t="shared" si="21"/>
        <v>0</v>
      </c>
      <c r="J73" s="567">
        <f t="shared" si="21"/>
        <v>0</v>
      </c>
      <c r="K73" s="567">
        <f t="shared" si="21"/>
        <v>0</v>
      </c>
      <c r="L73" s="567">
        <f t="shared" si="21"/>
        <v>0</v>
      </c>
      <c r="M73" s="567">
        <f t="shared" si="21"/>
        <v>0</v>
      </c>
      <c r="N73" s="567">
        <f t="shared" si="21"/>
        <v>0</v>
      </c>
      <c r="O73" s="567">
        <f>O74+O75+N73</f>
        <v>0</v>
      </c>
      <c r="P73" s="567">
        <f aca="true" t="shared" si="22" ref="P73:AC73">P74+P75+O73</f>
        <v>0</v>
      </c>
      <c r="Q73" s="567">
        <f t="shared" si="22"/>
        <v>0</v>
      </c>
      <c r="R73" s="567">
        <f t="shared" si="22"/>
        <v>0</v>
      </c>
      <c r="S73" s="567">
        <f t="shared" si="22"/>
        <v>0</v>
      </c>
      <c r="T73" s="567">
        <f t="shared" si="22"/>
        <v>0</v>
      </c>
      <c r="U73" s="567">
        <f t="shared" si="22"/>
        <v>0</v>
      </c>
      <c r="V73" s="567">
        <f t="shared" si="22"/>
        <v>0</v>
      </c>
      <c r="W73" s="567">
        <f t="shared" si="22"/>
        <v>31185</v>
      </c>
      <c r="X73" s="567">
        <f t="shared" si="22"/>
        <v>31185</v>
      </c>
      <c r="Y73" s="567">
        <f t="shared" si="22"/>
        <v>31185</v>
      </c>
      <c r="Z73" s="567">
        <f t="shared" si="22"/>
        <v>31185</v>
      </c>
      <c r="AA73" s="567">
        <f t="shared" si="22"/>
        <v>31185</v>
      </c>
      <c r="AB73" s="567">
        <f t="shared" si="22"/>
        <v>31185</v>
      </c>
      <c r="AC73" s="567">
        <f t="shared" si="22"/>
        <v>31185</v>
      </c>
      <c r="AD73" s="567">
        <f>AD74+AD75+AC73</f>
        <v>31185</v>
      </c>
      <c r="AE73" s="30"/>
    </row>
    <row r="74" spans="1:31" ht="12" customHeight="1">
      <c r="A74" s="1254"/>
      <c r="B74" s="1255"/>
      <c r="C74" s="1266"/>
      <c r="D74" s="565" t="s">
        <v>381</v>
      </c>
      <c r="E74" s="566"/>
      <c r="F74" s="569"/>
      <c r="G74" s="567"/>
      <c r="H74" s="569"/>
      <c r="I74" s="569"/>
      <c r="J74" s="569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569"/>
      <c r="V74" s="569"/>
      <c r="W74" s="569"/>
      <c r="X74" s="569"/>
      <c r="Y74" s="569"/>
      <c r="Z74" s="569"/>
      <c r="AA74" s="569">
        <v>-3000</v>
      </c>
      <c r="AB74" s="569"/>
      <c r="AC74" s="569">
        <v>-20</v>
      </c>
      <c r="AD74" s="569"/>
      <c r="AE74" s="30"/>
    </row>
    <row r="75" spans="1:31" ht="12" customHeight="1">
      <c r="A75" s="1254"/>
      <c r="B75" s="1255"/>
      <c r="C75" s="1266"/>
      <c r="D75" s="565" t="s">
        <v>382</v>
      </c>
      <c r="E75" s="566"/>
      <c r="F75" s="569"/>
      <c r="G75" s="567"/>
      <c r="H75" s="569"/>
      <c r="I75" s="569"/>
      <c r="J75" s="569"/>
      <c r="K75" s="569"/>
      <c r="L75" s="569"/>
      <c r="M75" s="569"/>
      <c r="N75" s="569"/>
      <c r="O75" s="569"/>
      <c r="P75" s="569"/>
      <c r="Q75" s="569"/>
      <c r="R75" s="569"/>
      <c r="S75" s="569"/>
      <c r="T75" s="569"/>
      <c r="U75" s="569"/>
      <c r="V75" s="569"/>
      <c r="W75" s="569">
        <v>31185</v>
      </c>
      <c r="X75" s="569"/>
      <c r="Y75" s="569"/>
      <c r="Z75" s="569"/>
      <c r="AA75" s="569">
        <v>3000</v>
      </c>
      <c r="AB75" s="569"/>
      <c r="AC75" s="569">
        <v>20</v>
      </c>
      <c r="AD75" s="569"/>
      <c r="AE75" s="30"/>
    </row>
    <row r="76" spans="1:31" ht="12" customHeight="1">
      <c r="A76" s="1254"/>
      <c r="B76" s="1255"/>
      <c r="C76" s="1266"/>
      <c r="D76" s="565" t="s">
        <v>383</v>
      </c>
      <c r="E76" s="566"/>
      <c r="F76" s="569"/>
      <c r="G76" s="567"/>
      <c r="H76" s="569"/>
      <c r="I76" s="569"/>
      <c r="J76" s="569"/>
      <c r="K76" s="569"/>
      <c r="L76" s="569"/>
      <c r="M76" s="569"/>
      <c r="N76" s="569"/>
      <c r="O76" s="569"/>
      <c r="P76" s="569"/>
      <c r="Q76" s="569"/>
      <c r="R76" s="569"/>
      <c r="S76" s="569"/>
      <c r="T76" s="569"/>
      <c r="U76" s="569"/>
      <c r="V76" s="569"/>
      <c r="W76" s="569" t="s">
        <v>384</v>
      </c>
      <c r="X76" s="569"/>
      <c r="Y76" s="569"/>
      <c r="Z76" s="569"/>
      <c r="AA76" s="569"/>
      <c r="AB76" s="569"/>
      <c r="AC76" s="569"/>
      <c r="AD76" s="569"/>
      <c r="AE76" s="30"/>
    </row>
    <row r="77" spans="1:31" ht="12" customHeight="1">
      <c r="A77" s="1260">
        <v>20</v>
      </c>
      <c r="B77" s="1261" t="s">
        <v>409</v>
      </c>
      <c r="C77" s="1263" t="s">
        <v>410</v>
      </c>
      <c r="D77" s="571" t="s">
        <v>380</v>
      </c>
      <c r="E77" s="576">
        <v>0</v>
      </c>
      <c r="F77" s="578">
        <f>F78+F79+E77</f>
        <v>0</v>
      </c>
      <c r="G77" s="578">
        <f aca="true" t="shared" si="23" ref="G77:N77">G78+G79+F77</f>
        <v>0</v>
      </c>
      <c r="H77" s="578">
        <f t="shared" si="23"/>
        <v>0</v>
      </c>
      <c r="I77" s="578">
        <f t="shared" si="23"/>
        <v>0</v>
      </c>
      <c r="J77" s="578">
        <f t="shared" si="23"/>
        <v>0</v>
      </c>
      <c r="K77" s="578">
        <f t="shared" si="23"/>
        <v>0</v>
      </c>
      <c r="L77" s="578">
        <f t="shared" si="23"/>
        <v>0</v>
      </c>
      <c r="M77" s="578">
        <f t="shared" si="23"/>
        <v>0</v>
      </c>
      <c r="N77" s="578">
        <f t="shared" si="23"/>
        <v>0</v>
      </c>
      <c r="O77" s="578">
        <f>O78+O79+N77</f>
        <v>0</v>
      </c>
      <c r="P77" s="578">
        <f aca="true" t="shared" si="24" ref="P77:AC77">P78+P79+O77</f>
        <v>0</v>
      </c>
      <c r="Q77" s="578">
        <f t="shared" si="24"/>
        <v>0</v>
      </c>
      <c r="R77" s="578">
        <f t="shared" si="24"/>
        <v>0</v>
      </c>
      <c r="S77" s="578">
        <f t="shared" si="24"/>
        <v>0</v>
      </c>
      <c r="T77" s="578">
        <f t="shared" si="24"/>
        <v>0</v>
      </c>
      <c r="U77" s="578">
        <f t="shared" si="24"/>
        <v>0</v>
      </c>
      <c r="V77" s="578">
        <f t="shared" si="24"/>
        <v>0</v>
      </c>
      <c r="W77" s="578">
        <f t="shared" si="24"/>
        <v>0</v>
      </c>
      <c r="X77" s="578">
        <f t="shared" si="24"/>
        <v>0</v>
      </c>
      <c r="Y77" s="578">
        <f t="shared" si="24"/>
        <v>0</v>
      </c>
      <c r="Z77" s="578">
        <f t="shared" si="24"/>
        <v>149615</v>
      </c>
      <c r="AA77" s="578">
        <f t="shared" si="24"/>
        <v>149615</v>
      </c>
      <c r="AB77" s="578">
        <f t="shared" si="24"/>
        <v>149615</v>
      </c>
      <c r="AC77" s="578">
        <f t="shared" si="24"/>
        <v>149615</v>
      </c>
      <c r="AD77" s="578">
        <f>AD78+AD79+AC77</f>
        <v>149615</v>
      </c>
      <c r="AE77" s="30"/>
    </row>
    <row r="78" spans="1:31" ht="12" customHeight="1">
      <c r="A78" s="1260"/>
      <c r="B78" s="1261"/>
      <c r="C78" s="1263"/>
      <c r="D78" s="571" t="s">
        <v>381</v>
      </c>
      <c r="E78" s="576"/>
      <c r="F78" s="577"/>
      <c r="G78" s="578"/>
      <c r="H78" s="577"/>
      <c r="I78" s="577"/>
      <c r="J78" s="577"/>
      <c r="K78" s="577"/>
      <c r="L78" s="577"/>
      <c r="M78" s="577"/>
      <c r="N78" s="577"/>
      <c r="O78" s="577"/>
      <c r="P78" s="577"/>
      <c r="Q78" s="577"/>
      <c r="R78" s="577"/>
      <c r="S78" s="577"/>
      <c r="T78" s="577"/>
      <c r="U78" s="577"/>
      <c r="V78" s="577"/>
      <c r="W78" s="577"/>
      <c r="X78" s="577"/>
      <c r="Y78" s="577"/>
      <c r="Z78" s="577"/>
      <c r="AA78" s="577"/>
      <c r="AB78" s="577"/>
      <c r="AC78" s="577"/>
      <c r="AD78" s="577"/>
      <c r="AE78" s="30"/>
    </row>
    <row r="79" spans="1:31" ht="12" customHeight="1">
      <c r="A79" s="1260"/>
      <c r="B79" s="1261"/>
      <c r="C79" s="1263"/>
      <c r="D79" s="571" t="s">
        <v>382</v>
      </c>
      <c r="E79" s="576"/>
      <c r="F79" s="577"/>
      <c r="G79" s="578"/>
      <c r="H79" s="577"/>
      <c r="I79" s="577"/>
      <c r="J79" s="577"/>
      <c r="K79" s="577"/>
      <c r="L79" s="577"/>
      <c r="M79" s="577"/>
      <c r="N79" s="577"/>
      <c r="O79" s="577"/>
      <c r="P79" s="577"/>
      <c r="Q79" s="577"/>
      <c r="R79" s="577"/>
      <c r="S79" s="577"/>
      <c r="T79" s="577"/>
      <c r="U79" s="577"/>
      <c r="V79" s="577"/>
      <c r="W79" s="577"/>
      <c r="X79" s="577"/>
      <c r="Y79" s="577"/>
      <c r="Z79" s="577">
        <v>149615</v>
      </c>
      <c r="AA79" s="577"/>
      <c r="AB79" s="577"/>
      <c r="AC79" s="577"/>
      <c r="AD79" s="577"/>
      <c r="AE79" s="30"/>
    </row>
    <row r="80" spans="1:31" ht="12" customHeight="1">
      <c r="A80" s="1260"/>
      <c r="B80" s="1261"/>
      <c r="C80" s="1263"/>
      <c r="D80" s="571" t="s">
        <v>383</v>
      </c>
      <c r="E80" s="576"/>
      <c r="F80" s="577"/>
      <c r="G80" s="578"/>
      <c r="H80" s="577"/>
      <c r="I80" s="577"/>
      <c r="J80" s="577"/>
      <c r="K80" s="577"/>
      <c r="L80" s="577"/>
      <c r="M80" s="577"/>
      <c r="N80" s="577"/>
      <c r="O80" s="577"/>
      <c r="P80" s="577"/>
      <c r="Q80" s="577"/>
      <c r="R80" s="577"/>
      <c r="S80" s="577"/>
      <c r="T80" s="577"/>
      <c r="U80" s="577"/>
      <c r="V80" s="577"/>
      <c r="W80" s="577"/>
      <c r="X80" s="577"/>
      <c r="Y80" s="577"/>
      <c r="Z80" s="577" t="s">
        <v>384</v>
      </c>
      <c r="AA80" s="577"/>
      <c r="AB80" s="577"/>
      <c r="AC80" s="577"/>
      <c r="AD80" s="577"/>
      <c r="AE80" s="30"/>
    </row>
    <row r="81" spans="1:31" s="324" customFormat="1" ht="21" customHeight="1">
      <c r="A81" s="1264" t="s">
        <v>411</v>
      </c>
      <c r="B81" s="1265"/>
      <c r="C81" s="1265"/>
      <c r="D81" s="1265"/>
      <c r="E81" s="1265"/>
      <c r="F81" s="594"/>
      <c r="G81" s="594"/>
      <c r="H81" s="594"/>
      <c r="I81" s="594"/>
      <c r="J81" s="594"/>
      <c r="K81" s="594"/>
      <c r="L81" s="594"/>
      <c r="M81" s="594"/>
      <c r="N81" s="594"/>
      <c r="O81" s="594"/>
      <c r="P81" s="594"/>
      <c r="Q81" s="594"/>
      <c r="R81" s="594"/>
      <c r="S81" s="594"/>
      <c r="T81" s="594"/>
      <c r="U81" s="594"/>
      <c r="V81" s="594"/>
      <c r="W81" s="594"/>
      <c r="X81" s="594"/>
      <c r="Y81" s="594"/>
      <c r="Z81" s="594"/>
      <c r="AA81" s="594"/>
      <c r="AB81" s="594"/>
      <c r="AC81" s="594"/>
      <c r="AD81" s="594"/>
      <c r="AE81" s="492"/>
    </row>
    <row r="82" spans="1:31" ht="12" customHeight="1">
      <c r="A82" s="1254">
        <v>21</v>
      </c>
      <c r="B82" s="1255" t="s">
        <v>412</v>
      </c>
      <c r="C82" s="1256" t="s">
        <v>413</v>
      </c>
      <c r="D82" s="565" t="s">
        <v>380</v>
      </c>
      <c r="E82" s="579">
        <v>15316.4</v>
      </c>
      <c r="F82" s="567">
        <f>E82+F83+F84</f>
        <v>15316.4</v>
      </c>
      <c r="G82" s="567">
        <f aca="true" t="shared" si="25" ref="G82:AC82">F82+G83+G84</f>
        <v>15316.4</v>
      </c>
      <c r="H82" s="567">
        <f t="shared" si="25"/>
        <v>15316.4</v>
      </c>
      <c r="I82" s="567">
        <f t="shared" si="25"/>
        <v>15316.4</v>
      </c>
      <c r="J82" s="567">
        <f t="shared" si="25"/>
        <v>25291.34</v>
      </c>
      <c r="K82" s="567">
        <f t="shared" si="25"/>
        <v>25291.34</v>
      </c>
      <c r="L82" s="567">
        <f t="shared" si="25"/>
        <v>25291.34</v>
      </c>
      <c r="M82" s="567">
        <f t="shared" si="25"/>
        <v>25291.34</v>
      </c>
      <c r="N82" s="567">
        <f t="shared" si="25"/>
        <v>25291.34</v>
      </c>
      <c r="O82" s="567">
        <f>N82+O83+O84</f>
        <v>25291.34</v>
      </c>
      <c r="P82" s="567">
        <f t="shared" si="25"/>
        <v>25291.34</v>
      </c>
      <c r="Q82" s="567">
        <f t="shared" si="25"/>
        <v>25291.34</v>
      </c>
      <c r="R82" s="567">
        <f t="shared" si="25"/>
        <v>25291.34</v>
      </c>
      <c r="S82" s="567">
        <f t="shared" si="25"/>
        <v>25291.34</v>
      </c>
      <c r="T82" s="567">
        <f t="shared" si="25"/>
        <v>25291.34</v>
      </c>
      <c r="U82" s="567">
        <f t="shared" si="25"/>
        <v>25291.34</v>
      </c>
      <c r="V82" s="567">
        <f t="shared" si="25"/>
        <v>25291.34</v>
      </c>
      <c r="W82" s="567">
        <f t="shared" si="25"/>
        <v>25291.34</v>
      </c>
      <c r="X82" s="567">
        <f t="shared" si="25"/>
        <v>25291.34</v>
      </c>
      <c r="Y82" s="567">
        <f t="shared" si="25"/>
        <v>25291.34</v>
      </c>
      <c r="Z82" s="567">
        <f t="shared" si="25"/>
        <v>25291.34</v>
      </c>
      <c r="AA82" s="567">
        <f t="shared" si="25"/>
        <v>25291.34</v>
      </c>
      <c r="AB82" s="567">
        <f t="shared" si="25"/>
        <v>25291.34</v>
      </c>
      <c r="AC82" s="567">
        <f t="shared" si="25"/>
        <v>25291.34</v>
      </c>
      <c r="AD82" s="567">
        <f>AC82+AD83+AD84</f>
        <v>25291.34</v>
      </c>
      <c r="AE82" s="30"/>
    </row>
    <row r="83" spans="1:31" ht="12" customHeight="1">
      <c r="A83" s="1254"/>
      <c r="B83" s="1255"/>
      <c r="C83" s="1256"/>
      <c r="D83" s="565" t="s">
        <v>381</v>
      </c>
      <c r="E83" s="580"/>
      <c r="F83" s="569"/>
      <c r="G83" s="569"/>
      <c r="H83" s="569"/>
      <c r="I83" s="569"/>
      <c r="J83" s="569"/>
      <c r="K83" s="569"/>
      <c r="L83" s="569"/>
      <c r="M83" s="569"/>
      <c r="N83" s="569"/>
      <c r="O83" s="569"/>
      <c r="P83" s="569">
        <v>-268</v>
      </c>
      <c r="Q83" s="569"/>
      <c r="R83" s="569"/>
      <c r="S83" s="569"/>
      <c r="T83" s="569"/>
      <c r="U83" s="569"/>
      <c r="V83" s="569"/>
      <c r="W83" s="569"/>
      <c r="X83" s="569"/>
      <c r="Y83" s="569"/>
      <c r="Z83" s="569"/>
      <c r="AA83" s="569"/>
      <c r="AB83" s="569"/>
      <c r="AC83" s="569"/>
      <c r="AD83" s="569"/>
      <c r="AE83" s="30"/>
    </row>
    <row r="84" spans="1:31" ht="12" customHeight="1">
      <c r="A84" s="1254"/>
      <c r="B84" s="1255"/>
      <c r="C84" s="1256"/>
      <c r="D84" s="565" t="s">
        <v>382</v>
      </c>
      <c r="E84" s="581"/>
      <c r="F84" s="569"/>
      <c r="G84" s="569"/>
      <c r="H84" s="569"/>
      <c r="I84" s="569"/>
      <c r="J84" s="569">
        <v>9974.94</v>
      </c>
      <c r="K84" s="569"/>
      <c r="L84" s="569"/>
      <c r="M84" s="569"/>
      <c r="N84" s="569"/>
      <c r="O84" s="569"/>
      <c r="P84" s="569">
        <v>268</v>
      </c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30"/>
    </row>
    <row r="85" spans="1:31" ht="12" customHeight="1">
      <c r="A85" s="1254"/>
      <c r="B85" s="1255"/>
      <c r="C85" s="1256"/>
      <c r="D85" s="565" t="s">
        <v>383</v>
      </c>
      <c r="E85" s="581"/>
      <c r="F85" s="569"/>
      <c r="G85" s="569"/>
      <c r="H85" s="569"/>
      <c r="I85" s="569"/>
      <c r="J85" s="569"/>
      <c r="K85" s="569"/>
      <c r="L85" s="569"/>
      <c r="M85" s="569"/>
      <c r="N85" s="569"/>
      <c r="O85" s="569"/>
      <c r="P85" s="569"/>
      <c r="Q85" s="569"/>
      <c r="R85" s="569"/>
      <c r="S85" s="569"/>
      <c r="T85" s="569"/>
      <c r="U85" s="569"/>
      <c r="V85" s="569"/>
      <c r="W85" s="569"/>
      <c r="X85" s="569"/>
      <c r="Y85" s="569"/>
      <c r="Z85" s="569"/>
      <c r="AA85" s="569"/>
      <c r="AB85" s="569"/>
      <c r="AC85" s="569"/>
      <c r="AD85" s="569"/>
      <c r="AE85" s="30"/>
    </row>
    <row r="86" spans="1:31" ht="12" customHeight="1">
      <c r="A86" s="1260">
        <v>22</v>
      </c>
      <c r="B86" s="1261" t="s">
        <v>414</v>
      </c>
      <c r="C86" s="1262" t="s">
        <v>415</v>
      </c>
      <c r="D86" s="571" t="s">
        <v>380</v>
      </c>
      <c r="E86" s="582">
        <v>197100</v>
      </c>
      <c r="F86" s="578">
        <f>E86+F88+F87</f>
        <v>197100</v>
      </c>
      <c r="G86" s="578">
        <f aca="true" t="shared" si="26" ref="G86:AC86">F86+G88+G87</f>
        <v>197100</v>
      </c>
      <c r="H86" s="578">
        <f t="shared" si="26"/>
        <v>197100</v>
      </c>
      <c r="I86" s="578">
        <f t="shared" si="26"/>
        <v>197100</v>
      </c>
      <c r="J86" s="578">
        <f t="shared" si="26"/>
        <v>197100</v>
      </c>
      <c r="K86" s="578">
        <f t="shared" si="26"/>
        <v>197100</v>
      </c>
      <c r="L86" s="578">
        <f t="shared" si="26"/>
        <v>232813.41</v>
      </c>
      <c r="M86" s="578">
        <f t="shared" si="26"/>
        <v>232813.41</v>
      </c>
      <c r="N86" s="578">
        <f t="shared" si="26"/>
        <v>232813.41</v>
      </c>
      <c r="O86" s="578">
        <f t="shared" si="26"/>
        <v>232813.41</v>
      </c>
      <c r="P86" s="578">
        <f t="shared" si="26"/>
        <v>232813.41</v>
      </c>
      <c r="Q86" s="578">
        <f t="shared" si="26"/>
        <v>232813.41</v>
      </c>
      <c r="R86" s="578">
        <f t="shared" si="26"/>
        <v>232813.41</v>
      </c>
      <c r="S86" s="578">
        <f t="shared" si="26"/>
        <v>232813.41</v>
      </c>
      <c r="T86" s="578">
        <f t="shared" si="26"/>
        <v>232813.41</v>
      </c>
      <c r="U86" s="578">
        <f t="shared" si="26"/>
        <v>232813.41</v>
      </c>
      <c r="V86" s="578">
        <f t="shared" si="26"/>
        <v>232813.41</v>
      </c>
      <c r="W86" s="578">
        <f t="shared" si="26"/>
        <v>232813.41</v>
      </c>
      <c r="X86" s="578">
        <f t="shared" si="26"/>
        <v>232813.41</v>
      </c>
      <c r="Y86" s="578">
        <f t="shared" si="26"/>
        <v>232813.41</v>
      </c>
      <c r="Z86" s="578">
        <f t="shared" si="26"/>
        <v>232813.41</v>
      </c>
      <c r="AA86" s="578">
        <f t="shared" si="26"/>
        <v>232813.41</v>
      </c>
      <c r="AB86" s="578">
        <f t="shared" si="26"/>
        <v>232813.41</v>
      </c>
      <c r="AC86" s="578">
        <f t="shared" si="26"/>
        <v>232813.41</v>
      </c>
      <c r="AD86" s="578">
        <f>AC86+AD88+AD87</f>
        <v>232813.41</v>
      </c>
      <c r="AE86" s="30"/>
    </row>
    <row r="87" spans="1:31" ht="12" customHeight="1">
      <c r="A87" s="1260"/>
      <c r="B87" s="1261"/>
      <c r="C87" s="1262"/>
      <c r="D87" s="571" t="s">
        <v>381</v>
      </c>
      <c r="E87" s="583"/>
      <c r="F87" s="577"/>
      <c r="G87" s="577"/>
      <c r="H87" s="577"/>
      <c r="I87" s="577"/>
      <c r="J87" s="577"/>
      <c r="K87" s="577"/>
      <c r="L87" s="577"/>
      <c r="M87" s="577"/>
      <c r="N87" s="577"/>
      <c r="O87" s="577"/>
      <c r="P87" s="577"/>
      <c r="Q87" s="577"/>
      <c r="R87" s="577"/>
      <c r="S87" s="577">
        <v>-4002</v>
      </c>
      <c r="T87" s="577"/>
      <c r="U87" s="577"/>
      <c r="V87" s="577"/>
      <c r="W87" s="577"/>
      <c r="X87" s="577"/>
      <c r="Y87" s="577"/>
      <c r="Z87" s="577"/>
      <c r="AA87" s="577"/>
      <c r="AB87" s="577"/>
      <c r="AC87" s="577"/>
      <c r="AD87" s="577"/>
      <c r="AE87" s="30"/>
    </row>
    <row r="88" spans="1:31" ht="12" customHeight="1">
      <c r="A88" s="1260"/>
      <c r="B88" s="1261"/>
      <c r="C88" s="1262"/>
      <c r="D88" s="571" t="s">
        <v>382</v>
      </c>
      <c r="E88" s="583"/>
      <c r="F88" s="577"/>
      <c r="G88" s="577"/>
      <c r="H88" s="577"/>
      <c r="I88" s="577"/>
      <c r="J88" s="577"/>
      <c r="K88" s="577"/>
      <c r="L88" s="577">
        <v>35713.41</v>
      </c>
      <c r="M88" s="577"/>
      <c r="N88" s="577"/>
      <c r="O88" s="577"/>
      <c r="P88" s="577"/>
      <c r="Q88" s="577"/>
      <c r="R88" s="577"/>
      <c r="S88" s="577">
        <v>4002</v>
      </c>
      <c r="T88" s="577"/>
      <c r="U88" s="577"/>
      <c r="V88" s="577"/>
      <c r="W88" s="577"/>
      <c r="X88" s="577"/>
      <c r="Y88" s="577"/>
      <c r="Z88" s="577"/>
      <c r="AA88" s="577"/>
      <c r="AB88" s="577"/>
      <c r="AC88" s="577"/>
      <c r="AD88" s="577"/>
      <c r="AE88" s="30"/>
    </row>
    <row r="89" spans="1:31" ht="12" customHeight="1">
      <c r="A89" s="1260"/>
      <c r="B89" s="1261"/>
      <c r="C89" s="1262"/>
      <c r="D89" s="571" t="s">
        <v>383</v>
      </c>
      <c r="E89" s="583"/>
      <c r="F89" s="577"/>
      <c r="G89" s="577"/>
      <c r="H89" s="577"/>
      <c r="I89" s="577"/>
      <c r="J89" s="577"/>
      <c r="K89" s="577"/>
      <c r="L89" s="577"/>
      <c r="M89" s="577"/>
      <c r="N89" s="577"/>
      <c r="O89" s="577"/>
      <c r="P89" s="577"/>
      <c r="Q89" s="577"/>
      <c r="R89" s="577"/>
      <c r="S89" s="577"/>
      <c r="T89" s="577"/>
      <c r="U89" s="577"/>
      <c r="V89" s="577"/>
      <c r="W89" s="577"/>
      <c r="X89" s="577"/>
      <c r="Y89" s="577"/>
      <c r="Z89" s="577"/>
      <c r="AA89" s="577"/>
      <c r="AB89" s="577"/>
      <c r="AC89" s="577"/>
      <c r="AD89" s="577"/>
      <c r="AE89" s="30"/>
    </row>
    <row r="90" spans="1:31" ht="12" customHeight="1">
      <c r="A90" s="1254">
        <v>23</v>
      </c>
      <c r="B90" s="1255" t="s">
        <v>416</v>
      </c>
      <c r="C90" s="1256" t="s">
        <v>417</v>
      </c>
      <c r="D90" s="565" t="s">
        <v>380</v>
      </c>
      <c r="E90" s="579">
        <v>222073</v>
      </c>
      <c r="F90" s="579">
        <f>E90+F92+F91</f>
        <v>222073</v>
      </c>
      <c r="G90" s="579">
        <f>F90+G92+G91</f>
        <v>254421</v>
      </c>
      <c r="H90" s="579">
        <f aca="true" t="shared" si="27" ref="H90:AC90">G90+H92+H91</f>
        <v>254421</v>
      </c>
      <c r="I90" s="579">
        <f t="shared" si="27"/>
        <v>254421</v>
      </c>
      <c r="J90" s="579">
        <f t="shared" si="27"/>
        <v>254421</v>
      </c>
      <c r="K90" s="579">
        <f t="shared" si="27"/>
        <v>254421</v>
      </c>
      <c r="L90" s="579">
        <f t="shared" si="27"/>
        <v>254421</v>
      </c>
      <c r="M90" s="579">
        <f t="shared" si="27"/>
        <v>254421</v>
      </c>
      <c r="N90" s="579">
        <f t="shared" si="27"/>
        <v>254421</v>
      </c>
      <c r="O90" s="579">
        <f>N90+O92+O91</f>
        <v>254421</v>
      </c>
      <c r="P90" s="579">
        <f t="shared" si="27"/>
        <v>254421</v>
      </c>
      <c r="Q90" s="579">
        <f t="shared" si="27"/>
        <v>254421</v>
      </c>
      <c r="R90" s="579">
        <f t="shared" si="27"/>
        <v>254421</v>
      </c>
      <c r="S90" s="579">
        <f t="shared" si="27"/>
        <v>254421</v>
      </c>
      <c r="T90" s="579">
        <f t="shared" si="27"/>
        <v>254421</v>
      </c>
      <c r="U90" s="579">
        <f t="shared" si="27"/>
        <v>254421</v>
      </c>
      <c r="V90" s="579">
        <f t="shared" si="27"/>
        <v>254421</v>
      </c>
      <c r="W90" s="579">
        <f t="shared" si="27"/>
        <v>254421</v>
      </c>
      <c r="X90" s="579">
        <f t="shared" si="27"/>
        <v>254421</v>
      </c>
      <c r="Y90" s="579">
        <f t="shared" si="27"/>
        <v>254421</v>
      </c>
      <c r="Z90" s="579">
        <f t="shared" si="27"/>
        <v>254421</v>
      </c>
      <c r="AA90" s="579">
        <f t="shared" si="27"/>
        <v>254421</v>
      </c>
      <c r="AB90" s="579">
        <f t="shared" si="27"/>
        <v>254421</v>
      </c>
      <c r="AC90" s="579">
        <f t="shared" si="27"/>
        <v>254421</v>
      </c>
      <c r="AD90" s="579">
        <f>AC90+AD92+AD91</f>
        <v>254421</v>
      </c>
      <c r="AE90" s="30"/>
    </row>
    <row r="91" spans="1:31" ht="12" customHeight="1">
      <c r="A91" s="1254"/>
      <c r="B91" s="1255"/>
      <c r="C91" s="1256"/>
      <c r="D91" s="565" t="s">
        <v>381</v>
      </c>
      <c r="E91" s="581"/>
      <c r="F91" s="569"/>
      <c r="G91" s="569"/>
      <c r="H91" s="569"/>
      <c r="I91" s="569"/>
      <c r="J91" s="569"/>
      <c r="K91" s="569"/>
      <c r="L91" s="569"/>
      <c r="M91" s="569">
        <v>-9300</v>
      </c>
      <c r="N91" s="569"/>
      <c r="O91" s="569"/>
      <c r="P91" s="567"/>
      <c r="Q91" s="569"/>
      <c r="R91" s="569"/>
      <c r="S91" s="569"/>
      <c r="T91" s="569"/>
      <c r="U91" s="569"/>
      <c r="V91" s="569"/>
      <c r="W91" s="569"/>
      <c r="X91" s="569"/>
      <c r="Y91" s="569"/>
      <c r="Z91" s="569"/>
      <c r="AA91" s="569"/>
      <c r="AB91" s="569"/>
      <c r="AC91" s="569"/>
      <c r="AD91" s="569"/>
      <c r="AE91" s="30"/>
    </row>
    <row r="92" spans="1:31" ht="12" customHeight="1">
      <c r="A92" s="1254"/>
      <c r="B92" s="1255"/>
      <c r="C92" s="1256"/>
      <c r="D92" s="565" t="s">
        <v>382</v>
      </c>
      <c r="E92" s="581"/>
      <c r="F92" s="569"/>
      <c r="G92" s="569">
        <v>32348</v>
      </c>
      <c r="H92" s="569"/>
      <c r="I92" s="569"/>
      <c r="J92" s="569"/>
      <c r="K92" s="569"/>
      <c r="L92" s="569"/>
      <c r="M92" s="569">
        <v>9300</v>
      </c>
      <c r="N92" s="569"/>
      <c r="O92" s="569"/>
      <c r="P92" s="569"/>
      <c r="Q92" s="569"/>
      <c r="R92" s="569"/>
      <c r="S92" s="569"/>
      <c r="T92" s="569"/>
      <c r="U92" s="569"/>
      <c r="V92" s="569"/>
      <c r="W92" s="569"/>
      <c r="X92" s="569"/>
      <c r="Y92" s="569"/>
      <c r="Z92" s="569"/>
      <c r="AA92" s="569"/>
      <c r="AB92" s="569"/>
      <c r="AC92" s="569"/>
      <c r="AD92" s="569"/>
      <c r="AE92" s="30"/>
    </row>
    <row r="93" spans="1:31" ht="12" customHeight="1">
      <c r="A93" s="1254"/>
      <c r="B93" s="1255"/>
      <c r="C93" s="1256"/>
      <c r="D93" s="565" t="s">
        <v>383</v>
      </c>
      <c r="E93" s="581"/>
      <c r="F93" s="569"/>
      <c r="G93" s="569"/>
      <c r="H93" s="569"/>
      <c r="I93" s="569"/>
      <c r="J93" s="569"/>
      <c r="K93" s="569"/>
      <c r="L93" s="569"/>
      <c r="M93" s="569"/>
      <c r="N93" s="569"/>
      <c r="O93" s="569"/>
      <c r="P93" s="569"/>
      <c r="Q93" s="569"/>
      <c r="R93" s="569"/>
      <c r="S93" s="569"/>
      <c r="T93" s="569"/>
      <c r="U93" s="569"/>
      <c r="V93" s="569"/>
      <c r="W93" s="569"/>
      <c r="X93" s="569"/>
      <c r="Y93" s="569"/>
      <c r="Z93" s="569"/>
      <c r="AA93" s="569"/>
      <c r="AB93" s="569"/>
      <c r="AC93" s="569"/>
      <c r="AD93" s="569"/>
      <c r="AE93" s="30"/>
    </row>
    <row r="94" spans="1:31" ht="12" customHeight="1">
      <c r="A94" s="1260">
        <v>24</v>
      </c>
      <c r="B94" s="1261" t="s">
        <v>418</v>
      </c>
      <c r="C94" s="1262" t="s">
        <v>415</v>
      </c>
      <c r="D94" s="571" t="s">
        <v>380</v>
      </c>
      <c r="E94" s="582">
        <v>355378.16</v>
      </c>
      <c r="F94" s="582">
        <f>E94+F96+F95</f>
        <v>355378.16</v>
      </c>
      <c r="G94" s="582">
        <f aca="true" t="shared" si="28" ref="G94:AC94">F94+G96+G95</f>
        <v>355378.16</v>
      </c>
      <c r="H94" s="582">
        <f t="shared" si="28"/>
        <v>355378.16</v>
      </c>
      <c r="I94" s="582">
        <f t="shared" si="28"/>
        <v>355378.16</v>
      </c>
      <c r="J94" s="582">
        <f t="shared" si="28"/>
        <v>355378.16</v>
      </c>
      <c r="K94" s="582">
        <f t="shared" si="28"/>
        <v>401740.69999999995</v>
      </c>
      <c r="L94" s="582">
        <f t="shared" si="28"/>
        <v>401740.69999999995</v>
      </c>
      <c r="M94" s="582">
        <f t="shared" si="28"/>
        <v>401740.69999999995</v>
      </c>
      <c r="N94" s="582">
        <f t="shared" si="28"/>
        <v>409922.32999999996</v>
      </c>
      <c r="O94" s="582">
        <f>N94+O96+O95</f>
        <v>409922.32999999996</v>
      </c>
      <c r="P94" s="582">
        <f t="shared" si="28"/>
        <v>409922.32999999996</v>
      </c>
      <c r="Q94" s="582">
        <f t="shared" si="28"/>
        <v>409922.32999999996</v>
      </c>
      <c r="R94" s="582">
        <f t="shared" si="28"/>
        <v>409922.32999999996</v>
      </c>
      <c r="S94" s="582">
        <f t="shared" si="28"/>
        <v>409922.32999999996</v>
      </c>
      <c r="T94" s="582">
        <f t="shared" si="28"/>
        <v>409922.32999999996</v>
      </c>
      <c r="U94" s="582">
        <f t="shared" si="28"/>
        <v>409922.32999999996</v>
      </c>
      <c r="V94" s="582">
        <f t="shared" si="28"/>
        <v>409922.32999999996</v>
      </c>
      <c r="W94" s="582">
        <f t="shared" si="28"/>
        <v>409922.32999999996</v>
      </c>
      <c r="X94" s="582">
        <f t="shared" si="28"/>
        <v>409922.32999999996</v>
      </c>
      <c r="Y94" s="582">
        <f t="shared" si="28"/>
        <v>409922.32999999996</v>
      </c>
      <c r="Z94" s="582">
        <f t="shared" si="28"/>
        <v>409650.32999999996</v>
      </c>
      <c r="AA94" s="582">
        <f t="shared" si="28"/>
        <v>409650.32999999996</v>
      </c>
      <c r="AB94" s="582">
        <f t="shared" si="28"/>
        <v>409650.32999999996</v>
      </c>
      <c r="AC94" s="582">
        <f t="shared" si="28"/>
        <v>409650.32999999996</v>
      </c>
      <c r="AD94" s="582">
        <f>AC94+AD96+AD95</f>
        <v>409650.32999999996</v>
      </c>
      <c r="AE94" s="30"/>
    </row>
    <row r="95" spans="1:31" ht="12" customHeight="1">
      <c r="A95" s="1260"/>
      <c r="B95" s="1261"/>
      <c r="C95" s="1262"/>
      <c r="D95" s="571" t="s">
        <v>381</v>
      </c>
      <c r="E95" s="584"/>
      <c r="F95" s="577"/>
      <c r="G95" s="577"/>
      <c r="H95" s="577"/>
      <c r="I95" s="577"/>
      <c r="J95" s="577"/>
      <c r="K95" s="577"/>
      <c r="L95" s="577"/>
      <c r="M95" s="577"/>
      <c r="N95" s="577">
        <v>-19646.14</v>
      </c>
      <c r="O95" s="577"/>
      <c r="P95" s="577"/>
      <c r="Q95" s="577"/>
      <c r="R95" s="577"/>
      <c r="S95" s="577"/>
      <c r="T95" s="577"/>
      <c r="U95" s="577"/>
      <c r="V95" s="577"/>
      <c r="W95" s="577"/>
      <c r="X95" s="577"/>
      <c r="Y95" s="577"/>
      <c r="Z95" s="577">
        <v>-272</v>
      </c>
      <c r="AA95" s="577"/>
      <c r="AB95" s="577"/>
      <c r="AC95" s="577">
        <v>-10063</v>
      </c>
      <c r="AD95" s="577"/>
      <c r="AE95" s="30"/>
    </row>
    <row r="96" spans="1:31" ht="12" customHeight="1">
      <c r="A96" s="1260"/>
      <c r="B96" s="1261"/>
      <c r="C96" s="1262"/>
      <c r="D96" s="571" t="s">
        <v>382</v>
      </c>
      <c r="E96" s="583"/>
      <c r="F96" s="577"/>
      <c r="G96" s="577"/>
      <c r="H96" s="577"/>
      <c r="I96" s="577"/>
      <c r="J96" s="577"/>
      <c r="K96" s="577">
        <v>46362.54</v>
      </c>
      <c r="L96" s="577"/>
      <c r="M96" s="577"/>
      <c r="N96" s="577">
        <v>27827.77</v>
      </c>
      <c r="O96" s="577"/>
      <c r="P96" s="577"/>
      <c r="Q96" s="577"/>
      <c r="R96" s="577"/>
      <c r="S96" s="577"/>
      <c r="T96" s="577"/>
      <c r="U96" s="577"/>
      <c r="V96" s="577"/>
      <c r="W96" s="577"/>
      <c r="X96" s="577"/>
      <c r="Y96" s="577"/>
      <c r="Z96" s="577"/>
      <c r="AA96" s="577"/>
      <c r="AB96" s="577"/>
      <c r="AC96" s="577">
        <v>10063</v>
      </c>
      <c r="AD96" s="577"/>
      <c r="AE96" s="30"/>
    </row>
    <row r="97" spans="1:31" ht="12" customHeight="1">
      <c r="A97" s="1260"/>
      <c r="B97" s="1261"/>
      <c r="C97" s="1262"/>
      <c r="D97" s="571" t="s">
        <v>383</v>
      </c>
      <c r="E97" s="583"/>
      <c r="F97" s="577"/>
      <c r="G97" s="577"/>
      <c r="H97" s="577"/>
      <c r="I97" s="577"/>
      <c r="J97" s="577"/>
      <c r="K97" s="577"/>
      <c r="L97" s="577"/>
      <c r="M97" s="577"/>
      <c r="N97" s="577"/>
      <c r="O97" s="577"/>
      <c r="P97" s="577"/>
      <c r="Q97" s="577"/>
      <c r="R97" s="577"/>
      <c r="S97" s="577"/>
      <c r="T97" s="577"/>
      <c r="U97" s="577"/>
      <c r="V97" s="577"/>
      <c r="W97" s="577"/>
      <c r="X97" s="577"/>
      <c r="Y97" s="577"/>
      <c r="Z97" s="577"/>
      <c r="AA97" s="577"/>
      <c r="AB97" s="577"/>
      <c r="AC97" s="577"/>
      <c r="AD97" s="577"/>
      <c r="AE97" s="30"/>
    </row>
    <row r="98" spans="1:31" ht="12" customHeight="1">
      <c r="A98" s="1254">
        <v>25</v>
      </c>
      <c r="B98" s="1255" t="s">
        <v>419</v>
      </c>
      <c r="C98" s="1256" t="s">
        <v>420</v>
      </c>
      <c r="D98" s="565" t="s">
        <v>380</v>
      </c>
      <c r="E98" s="579">
        <v>0</v>
      </c>
      <c r="F98" s="567">
        <f>E98+F99+F100</f>
        <v>0</v>
      </c>
      <c r="G98" s="567">
        <f aca="true" t="shared" si="29" ref="G98:AC98">F98+G99+G100</f>
        <v>0</v>
      </c>
      <c r="H98" s="567">
        <f t="shared" si="29"/>
        <v>0</v>
      </c>
      <c r="I98" s="567">
        <f t="shared" si="29"/>
        <v>0</v>
      </c>
      <c r="J98" s="567">
        <f t="shared" si="29"/>
        <v>0</v>
      </c>
      <c r="K98" s="567">
        <f t="shared" si="29"/>
        <v>0</v>
      </c>
      <c r="L98" s="567">
        <f t="shared" si="29"/>
        <v>1018030</v>
      </c>
      <c r="M98" s="567">
        <f t="shared" si="29"/>
        <v>1018030</v>
      </c>
      <c r="N98" s="567">
        <f t="shared" si="29"/>
        <v>1018030</v>
      </c>
      <c r="O98" s="567">
        <f>N98+O99+O100</f>
        <v>1018030</v>
      </c>
      <c r="P98" s="567">
        <f t="shared" si="29"/>
        <v>1018030</v>
      </c>
      <c r="Q98" s="567">
        <f t="shared" si="29"/>
        <v>1018030</v>
      </c>
      <c r="R98" s="567">
        <f t="shared" si="29"/>
        <v>1018030</v>
      </c>
      <c r="S98" s="567">
        <f t="shared" si="29"/>
        <v>1018030</v>
      </c>
      <c r="T98" s="567">
        <f t="shared" si="29"/>
        <v>1018030</v>
      </c>
      <c r="U98" s="567">
        <f t="shared" si="29"/>
        <v>1018030</v>
      </c>
      <c r="V98" s="567">
        <f t="shared" si="29"/>
        <v>1018030</v>
      </c>
      <c r="W98" s="567">
        <f t="shared" si="29"/>
        <v>1018030</v>
      </c>
      <c r="X98" s="567">
        <f t="shared" si="29"/>
        <v>1018030</v>
      </c>
      <c r="Y98" s="567">
        <f t="shared" si="29"/>
        <v>1018030</v>
      </c>
      <c r="Z98" s="567">
        <f t="shared" si="29"/>
        <v>1066030</v>
      </c>
      <c r="AA98" s="567">
        <f t="shared" si="29"/>
        <v>1066030</v>
      </c>
      <c r="AB98" s="567">
        <f t="shared" si="29"/>
        <v>1066030</v>
      </c>
      <c r="AC98" s="567">
        <f t="shared" si="29"/>
        <v>1066030</v>
      </c>
      <c r="AD98" s="567">
        <f>AC98+AD99+AD100</f>
        <v>1066030</v>
      </c>
      <c r="AE98" s="30"/>
    </row>
    <row r="99" spans="1:31" ht="12" customHeight="1">
      <c r="A99" s="1254"/>
      <c r="B99" s="1255"/>
      <c r="C99" s="1256"/>
      <c r="D99" s="565" t="s">
        <v>381</v>
      </c>
      <c r="E99" s="581"/>
      <c r="F99" s="569"/>
      <c r="G99" s="569"/>
      <c r="H99" s="569"/>
      <c r="I99" s="569"/>
      <c r="J99" s="569"/>
      <c r="K99" s="569"/>
      <c r="L99" s="569"/>
      <c r="M99" s="569"/>
      <c r="N99" s="569"/>
      <c r="O99" s="569"/>
      <c r="P99" s="569"/>
      <c r="Q99" s="569"/>
      <c r="R99" s="569">
        <v>-6711.67</v>
      </c>
      <c r="S99" s="569"/>
      <c r="T99" s="569"/>
      <c r="U99" s="569"/>
      <c r="V99" s="569"/>
      <c r="W99" s="569"/>
      <c r="X99" s="569"/>
      <c r="Y99" s="569"/>
      <c r="Z99" s="569">
        <v>-21012</v>
      </c>
      <c r="AA99" s="569"/>
      <c r="AB99" s="569"/>
      <c r="AC99" s="569">
        <v>-1367.28</v>
      </c>
      <c r="AD99" s="569"/>
      <c r="AE99" s="30"/>
    </row>
    <row r="100" spans="1:31" ht="12" customHeight="1">
      <c r="A100" s="1254"/>
      <c r="B100" s="1255"/>
      <c r="C100" s="1256"/>
      <c r="D100" s="565" t="s">
        <v>382</v>
      </c>
      <c r="E100" s="581"/>
      <c r="F100" s="569"/>
      <c r="G100" s="569"/>
      <c r="H100" s="569"/>
      <c r="I100" s="569"/>
      <c r="J100" s="569"/>
      <c r="K100" s="569"/>
      <c r="L100" s="569">
        <v>1018030</v>
      </c>
      <c r="M100" s="569"/>
      <c r="N100" s="569"/>
      <c r="O100" s="569"/>
      <c r="P100" s="569"/>
      <c r="Q100" s="569"/>
      <c r="R100" s="569">
        <v>6711.67</v>
      </c>
      <c r="S100" s="569"/>
      <c r="T100" s="569"/>
      <c r="U100" s="569"/>
      <c r="V100" s="569"/>
      <c r="W100" s="569"/>
      <c r="X100" s="569"/>
      <c r="Y100" s="569"/>
      <c r="Z100" s="569">
        <v>69012</v>
      </c>
      <c r="AA100" s="569"/>
      <c r="AB100" s="569"/>
      <c r="AC100" s="569">
        <v>1367.28</v>
      </c>
      <c r="AD100" s="569"/>
      <c r="AE100" s="30"/>
    </row>
    <row r="101" spans="1:31" ht="12" customHeight="1">
      <c r="A101" s="1254"/>
      <c r="B101" s="1255"/>
      <c r="C101" s="1256"/>
      <c r="D101" s="565" t="s">
        <v>383</v>
      </c>
      <c r="E101" s="581"/>
      <c r="F101" s="569"/>
      <c r="G101" s="569"/>
      <c r="H101" s="569"/>
      <c r="I101" s="569"/>
      <c r="J101" s="569"/>
      <c r="K101" s="569"/>
      <c r="L101" s="569" t="s">
        <v>384</v>
      </c>
      <c r="M101" s="569"/>
      <c r="N101" s="569"/>
      <c r="O101" s="569"/>
      <c r="P101" s="569"/>
      <c r="Q101" s="569"/>
      <c r="R101" s="569"/>
      <c r="S101" s="569"/>
      <c r="T101" s="569"/>
      <c r="U101" s="569"/>
      <c r="V101" s="569"/>
      <c r="W101" s="569"/>
      <c r="X101" s="569"/>
      <c r="Y101" s="569"/>
      <c r="Z101" s="569"/>
      <c r="AA101" s="569"/>
      <c r="AB101" s="569"/>
      <c r="AC101" s="569"/>
      <c r="AD101" s="569"/>
      <c r="AE101" s="30"/>
    </row>
    <row r="102" spans="1:31" ht="12" customHeight="1">
      <c r="A102" s="1260">
        <v>26</v>
      </c>
      <c r="B102" s="1261" t="s">
        <v>421</v>
      </c>
      <c r="C102" s="1262" t="s">
        <v>420</v>
      </c>
      <c r="D102" s="571" t="s">
        <v>380</v>
      </c>
      <c r="E102" s="582">
        <v>0</v>
      </c>
      <c r="F102" s="578">
        <f>E102+F103+F104</f>
        <v>0</v>
      </c>
      <c r="G102" s="578">
        <f aca="true" t="shared" si="30" ref="G102:N102">F102+G103+G104</f>
        <v>0</v>
      </c>
      <c r="H102" s="578">
        <f t="shared" si="30"/>
        <v>0</v>
      </c>
      <c r="I102" s="578">
        <f t="shared" si="30"/>
        <v>0</v>
      </c>
      <c r="J102" s="578">
        <f t="shared" si="30"/>
        <v>0</v>
      </c>
      <c r="K102" s="578">
        <f t="shared" si="30"/>
        <v>0</v>
      </c>
      <c r="L102" s="578">
        <f t="shared" si="30"/>
        <v>0</v>
      </c>
      <c r="M102" s="578">
        <f t="shared" si="30"/>
        <v>0</v>
      </c>
      <c r="N102" s="578">
        <f t="shared" si="30"/>
        <v>0</v>
      </c>
      <c r="O102" s="578">
        <f>N102+O103+O104</f>
        <v>0</v>
      </c>
      <c r="P102" s="578">
        <f aca="true" t="shared" si="31" ref="P102:AC102">O102+P103+P104</f>
        <v>0</v>
      </c>
      <c r="Q102" s="578">
        <f t="shared" si="31"/>
        <v>0</v>
      </c>
      <c r="R102" s="578">
        <f t="shared" si="31"/>
        <v>0</v>
      </c>
      <c r="S102" s="578">
        <f t="shared" si="31"/>
        <v>0</v>
      </c>
      <c r="T102" s="578">
        <f t="shared" si="31"/>
        <v>0</v>
      </c>
      <c r="U102" s="578">
        <f t="shared" si="31"/>
        <v>0</v>
      </c>
      <c r="V102" s="578">
        <f t="shared" si="31"/>
        <v>0</v>
      </c>
      <c r="W102" s="578">
        <f t="shared" si="31"/>
        <v>343160</v>
      </c>
      <c r="X102" s="578">
        <f t="shared" si="31"/>
        <v>343160</v>
      </c>
      <c r="Y102" s="578">
        <f t="shared" si="31"/>
        <v>343160</v>
      </c>
      <c r="Z102" s="578">
        <f t="shared" si="31"/>
        <v>343160</v>
      </c>
      <c r="AA102" s="578">
        <f t="shared" si="31"/>
        <v>343160</v>
      </c>
      <c r="AB102" s="578">
        <f t="shared" si="31"/>
        <v>343160</v>
      </c>
      <c r="AC102" s="578">
        <f t="shared" si="31"/>
        <v>343160</v>
      </c>
      <c r="AD102" s="578">
        <f>AC102+AD103+AD104</f>
        <v>343160</v>
      </c>
      <c r="AE102" s="30"/>
    </row>
    <row r="103" spans="1:31" ht="12" customHeight="1">
      <c r="A103" s="1260"/>
      <c r="B103" s="1261"/>
      <c r="C103" s="1262"/>
      <c r="D103" s="571" t="s">
        <v>381</v>
      </c>
      <c r="E103" s="583"/>
      <c r="F103" s="577"/>
      <c r="G103" s="577"/>
      <c r="H103" s="577"/>
      <c r="I103" s="577"/>
      <c r="J103" s="577"/>
      <c r="K103" s="577"/>
      <c r="L103" s="577"/>
      <c r="M103" s="577"/>
      <c r="N103" s="577"/>
      <c r="O103" s="577"/>
      <c r="P103" s="577"/>
      <c r="Q103" s="577"/>
      <c r="R103" s="577"/>
      <c r="S103" s="577"/>
      <c r="T103" s="577"/>
      <c r="U103" s="577"/>
      <c r="V103" s="577"/>
      <c r="W103" s="577"/>
      <c r="X103" s="577"/>
      <c r="Y103" s="577"/>
      <c r="Z103" s="577"/>
      <c r="AA103" s="577"/>
      <c r="AB103" s="577">
        <v>-1321.66</v>
      </c>
      <c r="AC103" s="577"/>
      <c r="AD103" s="577"/>
      <c r="AE103" s="30"/>
    </row>
    <row r="104" spans="1:31" ht="12" customHeight="1">
      <c r="A104" s="1260"/>
      <c r="B104" s="1261"/>
      <c r="C104" s="1262"/>
      <c r="D104" s="571" t="s">
        <v>382</v>
      </c>
      <c r="E104" s="583"/>
      <c r="F104" s="577"/>
      <c r="G104" s="577"/>
      <c r="H104" s="577"/>
      <c r="I104" s="577"/>
      <c r="J104" s="577"/>
      <c r="K104" s="577"/>
      <c r="L104" s="577"/>
      <c r="M104" s="577"/>
      <c r="N104" s="577"/>
      <c r="O104" s="577"/>
      <c r="P104" s="577"/>
      <c r="Q104" s="577"/>
      <c r="R104" s="577"/>
      <c r="S104" s="577"/>
      <c r="T104" s="577"/>
      <c r="U104" s="577"/>
      <c r="V104" s="577"/>
      <c r="W104" s="577">
        <v>343160</v>
      </c>
      <c r="X104" s="577"/>
      <c r="Y104" s="577"/>
      <c r="Z104" s="577"/>
      <c r="AA104" s="577"/>
      <c r="AB104" s="577">
        <v>1321.66</v>
      </c>
      <c r="AC104" s="577"/>
      <c r="AD104" s="577"/>
      <c r="AE104" s="30"/>
    </row>
    <row r="105" spans="1:31" ht="12" customHeight="1">
      <c r="A105" s="1260"/>
      <c r="B105" s="1261"/>
      <c r="C105" s="1262"/>
      <c r="D105" s="571" t="s">
        <v>383</v>
      </c>
      <c r="E105" s="583"/>
      <c r="F105" s="577"/>
      <c r="G105" s="577"/>
      <c r="H105" s="577"/>
      <c r="I105" s="577"/>
      <c r="J105" s="577"/>
      <c r="K105" s="577"/>
      <c r="L105" s="577"/>
      <c r="M105" s="577"/>
      <c r="N105" s="577"/>
      <c r="O105" s="577"/>
      <c r="P105" s="577"/>
      <c r="Q105" s="577"/>
      <c r="R105" s="577"/>
      <c r="S105" s="577"/>
      <c r="T105" s="577"/>
      <c r="U105" s="577"/>
      <c r="V105" s="577"/>
      <c r="W105" s="577" t="s">
        <v>384</v>
      </c>
      <c r="X105" s="577"/>
      <c r="Y105" s="577"/>
      <c r="Z105" s="577"/>
      <c r="AA105" s="577"/>
      <c r="AB105" s="577"/>
      <c r="AC105" s="577"/>
      <c r="AD105" s="577"/>
      <c r="AE105" s="30"/>
    </row>
    <row r="106" spans="1:31" ht="12" customHeight="1">
      <c r="A106" s="1254">
        <v>27</v>
      </c>
      <c r="B106" s="1255" t="s">
        <v>422</v>
      </c>
      <c r="C106" s="1256" t="s">
        <v>413</v>
      </c>
      <c r="D106" s="565" t="s">
        <v>380</v>
      </c>
      <c r="E106" s="579">
        <v>0</v>
      </c>
      <c r="F106" s="567">
        <f>E106+F107+F108</f>
        <v>0</v>
      </c>
      <c r="G106" s="567">
        <f aca="true" t="shared" si="32" ref="G106:N106">F106+G107+G108</f>
        <v>0</v>
      </c>
      <c r="H106" s="567">
        <f t="shared" si="32"/>
        <v>0</v>
      </c>
      <c r="I106" s="567">
        <f t="shared" si="32"/>
        <v>0</v>
      </c>
      <c r="J106" s="567">
        <f t="shared" si="32"/>
        <v>0</v>
      </c>
      <c r="K106" s="567">
        <f t="shared" si="32"/>
        <v>0</v>
      </c>
      <c r="L106" s="567">
        <f t="shared" si="32"/>
        <v>0</v>
      </c>
      <c r="M106" s="567">
        <f t="shared" si="32"/>
        <v>0</v>
      </c>
      <c r="N106" s="567">
        <f t="shared" si="32"/>
        <v>0</v>
      </c>
      <c r="O106" s="567">
        <f>N106+O107+O108</f>
        <v>0</v>
      </c>
      <c r="P106" s="567">
        <f aca="true" t="shared" si="33" ref="P106:AC106">O106+P107+P108</f>
        <v>0</v>
      </c>
      <c r="Q106" s="567">
        <f t="shared" si="33"/>
        <v>0</v>
      </c>
      <c r="R106" s="567">
        <f t="shared" si="33"/>
        <v>0</v>
      </c>
      <c r="S106" s="567">
        <f t="shared" si="33"/>
        <v>0</v>
      </c>
      <c r="T106" s="567">
        <f t="shared" si="33"/>
        <v>0</v>
      </c>
      <c r="U106" s="567">
        <f t="shared" si="33"/>
        <v>0</v>
      </c>
      <c r="V106" s="567">
        <f t="shared" si="33"/>
        <v>0</v>
      </c>
      <c r="W106" s="567">
        <f t="shared" si="33"/>
        <v>4500</v>
      </c>
      <c r="X106" s="567">
        <f t="shared" si="33"/>
        <v>4500</v>
      </c>
      <c r="Y106" s="567">
        <f t="shared" si="33"/>
        <v>4500</v>
      </c>
      <c r="Z106" s="567">
        <f t="shared" si="33"/>
        <v>4500</v>
      </c>
      <c r="AA106" s="567">
        <f t="shared" si="33"/>
        <v>4500</v>
      </c>
      <c r="AB106" s="567">
        <f t="shared" si="33"/>
        <v>4500</v>
      </c>
      <c r="AC106" s="567">
        <f t="shared" si="33"/>
        <v>4500</v>
      </c>
      <c r="AD106" s="567">
        <f>AC106+AD107+AD108</f>
        <v>4500</v>
      </c>
      <c r="AE106" s="30"/>
    </row>
    <row r="107" spans="1:31" ht="12" customHeight="1">
      <c r="A107" s="1254"/>
      <c r="B107" s="1255"/>
      <c r="C107" s="1256"/>
      <c r="D107" s="565" t="s">
        <v>381</v>
      </c>
      <c r="E107" s="581"/>
      <c r="F107" s="569"/>
      <c r="G107" s="569"/>
      <c r="H107" s="569"/>
      <c r="I107" s="569"/>
      <c r="J107" s="569"/>
      <c r="K107" s="569"/>
      <c r="L107" s="569"/>
      <c r="M107" s="569"/>
      <c r="N107" s="569"/>
      <c r="O107" s="569"/>
      <c r="P107" s="569"/>
      <c r="Q107" s="569"/>
      <c r="R107" s="569"/>
      <c r="S107" s="569"/>
      <c r="T107" s="569"/>
      <c r="U107" s="569"/>
      <c r="V107" s="569"/>
      <c r="W107" s="569"/>
      <c r="X107" s="569"/>
      <c r="Y107" s="569"/>
      <c r="Z107" s="569"/>
      <c r="AA107" s="569"/>
      <c r="AB107" s="569"/>
      <c r="AC107" s="569"/>
      <c r="AD107" s="569"/>
      <c r="AE107" s="30"/>
    </row>
    <row r="108" spans="1:31" ht="12" customHeight="1">
      <c r="A108" s="1254"/>
      <c r="B108" s="1255"/>
      <c r="C108" s="1256"/>
      <c r="D108" s="565" t="s">
        <v>382</v>
      </c>
      <c r="E108" s="581"/>
      <c r="F108" s="569"/>
      <c r="G108" s="569"/>
      <c r="H108" s="569"/>
      <c r="I108" s="569"/>
      <c r="J108" s="569"/>
      <c r="K108" s="569"/>
      <c r="L108" s="569"/>
      <c r="M108" s="569"/>
      <c r="N108" s="569"/>
      <c r="O108" s="569"/>
      <c r="P108" s="569"/>
      <c r="Q108" s="569"/>
      <c r="R108" s="569"/>
      <c r="S108" s="569"/>
      <c r="T108" s="569"/>
      <c r="U108" s="569"/>
      <c r="V108" s="569"/>
      <c r="W108" s="569">
        <v>4500</v>
      </c>
      <c r="X108" s="569"/>
      <c r="Y108" s="569"/>
      <c r="Z108" s="569"/>
      <c r="AA108" s="569"/>
      <c r="AB108" s="569"/>
      <c r="AC108" s="569"/>
      <c r="AD108" s="569"/>
      <c r="AE108" s="30"/>
    </row>
    <row r="109" spans="1:31" ht="12" customHeight="1">
      <c r="A109" s="1254"/>
      <c r="B109" s="1255"/>
      <c r="C109" s="1256"/>
      <c r="D109" s="565" t="s">
        <v>383</v>
      </c>
      <c r="E109" s="581"/>
      <c r="F109" s="569"/>
      <c r="G109" s="569"/>
      <c r="H109" s="569"/>
      <c r="I109" s="569"/>
      <c r="J109" s="569"/>
      <c r="K109" s="569"/>
      <c r="L109" s="569"/>
      <c r="M109" s="569"/>
      <c r="N109" s="569"/>
      <c r="O109" s="569"/>
      <c r="P109" s="569"/>
      <c r="Q109" s="569"/>
      <c r="R109" s="569"/>
      <c r="S109" s="569"/>
      <c r="T109" s="569"/>
      <c r="U109" s="569"/>
      <c r="V109" s="569"/>
      <c r="W109" s="569" t="s">
        <v>384</v>
      </c>
      <c r="X109" s="569"/>
      <c r="Y109" s="569"/>
      <c r="Z109" s="569"/>
      <c r="AA109" s="569"/>
      <c r="AB109" s="569"/>
      <c r="AC109" s="569"/>
      <c r="AD109" s="569"/>
      <c r="AE109" s="30"/>
    </row>
    <row r="110" spans="1:31" s="324" customFormat="1" ht="25.5" customHeight="1">
      <c r="A110" s="1257" t="s">
        <v>423</v>
      </c>
      <c r="B110" s="1258"/>
      <c r="C110" s="1258"/>
      <c r="D110" s="1259"/>
      <c r="E110" s="591">
        <f aca="true" t="shared" si="34" ref="E110:K110">E9+E13+E17+E21+E25+E29+E33+E37+E41+E45+E49+E53+E82+E86+E90+E94+E98</f>
        <v>5578612.470000001</v>
      </c>
      <c r="F110" s="591">
        <f t="shared" si="34"/>
        <v>5578612.470000001</v>
      </c>
      <c r="G110" s="591">
        <f t="shared" si="34"/>
        <v>5610960.470000001</v>
      </c>
      <c r="H110" s="591">
        <f t="shared" si="34"/>
        <v>5610960.470000001</v>
      </c>
      <c r="I110" s="591">
        <f t="shared" si="34"/>
        <v>5610960.470000001</v>
      </c>
      <c r="J110" s="591">
        <f t="shared" si="34"/>
        <v>5824266.91</v>
      </c>
      <c r="K110" s="591">
        <f t="shared" si="34"/>
        <v>5870629.45</v>
      </c>
      <c r="L110" s="591">
        <f aca="true" t="shared" si="35" ref="L110:AC110">L9+L13+L17+L21+L25+L29+L33+L37+L41+L45+L49+L53+L57+L61+L65+L69+L73+L77+L82+L86+L90+L94+L98+L102+L106</f>
        <v>7003337.19</v>
      </c>
      <c r="M110" s="591">
        <f t="shared" si="35"/>
        <v>7003337.19</v>
      </c>
      <c r="N110" s="591">
        <f t="shared" si="35"/>
        <v>7011518.82</v>
      </c>
      <c r="O110" s="591">
        <f t="shared" si="35"/>
        <v>7011518.82</v>
      </c>
      <c r="P110" s="591">
        <f t="shared" si="35"/>
        <v>7011518.82</v>
      </c>
      <c r="Q110" s="591">
        <f t="shared" si="35"/>
        <v>8961518.82</v>
      </c>
      <c r="R110" s="591">
        <f t="shared" si="35"/>
        <v>8961518.82</v>
      </c>
      <c r="S110" s="591">
        <f t="shared" si="35"/>
        <v>8961518.82</v>
      </c>
      <c r="T110" s="591">
        <f t="shared" si="35"/>
        <v>9157408.82</v>
      </c>
      <c r="U110" s="591">
        <f t="shared" si="35"/>
        <v>9157408.82</v>
      </c>
      <c r="V110" s="591">
        <f t="shared" si="35"/>
        <v>9157408.82</v>
      </c>
      <c r="W110" s="591">
        <f t="shared" si="35"/>
        <v>9779725.31</v>
      </c>
      <c r="X110" s="591">
        <f t="shared" si="35"/>
        <v>9779725.31</v>
      </c>
      <c r="Y110" s="591">
        <f t="shared" si="35"/>
        <v>9779725.31</v>
      </c>
      <c r="Z110" s="591">
        <f t="shared" si="35"/>
        <v>9785135.11</v>
      </c>
      <c r="AA110" s="591">
        <f t="shared" si="35"/>
        <v>9785135.11</v>
      </c>
      <c r="AB110" s="591">
        <f t="shared" si="35"/>
        <v>9564997.31</v>
      </c>
      <c r="AC110" s="591">
        <f t="shared" si="35"/>
        <v>9564997.31</v>
      </c>
      <c r="AD110" s="591">
        <f>AD9+AD13+AD17+AD21+AD25+AD29+AD33+AD37+AD41+AD45+AD49+AD53+AD57+AD61+AD65+AD69+AD73+AD77+AD82+AD86+AD90+AD94+AD98+AD102+AD106</f>
        <v>9564997.31</v>
      </c>
      <c r="AE110" s="492"/>
    </row>
    <row r="111" spans="1:31" ht="14.25" customHeight="1">
      <c r="A111" s="585" t="s">
        <v>424</v>
      </c>
      <c r="B111" s="586"/>
      <c r="C111" s="587"/>
      <c r="D111" s="588"/>
      <c r="E111" s="588"/>
      <c r="F111" s="589"/>
      <c r="G111" s="356"/>
      <c r="H111" s="356"/>
      <c r="I111" s="356"/>
      <c r="J111" s="356"/>
      <c r="K111" s="356"/>
      <c r="L111" s="356"/>
      <c r="M111" s="356"/>
      <c r="N111" s="356"/>
      <c r="O111" s="356"/>
      <c r="P111" s="356"/>
      <c r="Q111" s="356"/>
      <c r="R111" s="356"/>
      <c r="S111" s="30"/>
      <c r="T111" s="30"/>
      <c r="AD111" s="30"/>
      <c r="AE111" s="30"/>
    </row>
    <row r="112" spans="1:31" ht="13.5" customHeight="1">
      <c r="A112" s="590" t="s">
        <v>425</v>
      </c>
      <c r="B112" s="589"/>
      <c r="C112" s="589"/>
      <c r="D112" s="30"/>
      <c r="E112" s="30"/>
      <c r="F112" s="589"/>
      <c r="G112" s="356"/>
      <c r="H112" s="356"/>
      <c r="I112" s="356"/>
      <c r="J112" s="356"/>
      <c r="K112" s="356"/>
      <c r="L112" s="356"/>
      <c r="M112" s="356"/>
      <c r="N112" s="356"/>
      <c r="O112" s="356"/>
      <c r="P112" s="356"/>
      <c r="Q112" s="356"/>
      <c r="R112" s="356"/>
      <c r="AD112" s="30"/>
      <c r="AE112" s="30"/>
    </row>
    <row r="113" spans="1:31" ht="12.75">
      <c r="A113" s="30"/>
      <c r="B113" s="30"/>
      <c r="C113" s="30"/>
      <c r="D113" s="30"/>
      <c r="E113" s="30"/>
      <c r="F113" s="589"/>
      <c r="G113" s="356"/>
      <c r="H113" s="356"/>
      <c r="I113" s="356"/>
      <c r="J113" s="356"/>
      <c r="K113" s="356"/>
      <c r="L113" s="356"/>
      <c r="M113" s="356"/>
      <c r="N113" s="356"/>
      <c r="O113" s="356"/>
      <c r="P113" s="356"/>
      <c r="Q113" s="356"/>
      <c r="R113" s="356"/>
      <c r="AD113" s="30"/>
      <c r="AE113" s="30"/>
    </row>
    <row r="114" spans="6:31" ht="12.75">
      <c r="F114" s="356"/>
      <c r="G114" s="356"/>
      <c r="H114" s="356"/>
      <c r="I114" s="356"/>
      <c r="J114" s="356"/>
      <c r="K114" s="356"/>
      <c r="L114" s="356"/>
      <c r="M114" s="356"/>
      <c r="N114" s="356"/>
      <c r="O114" s="356"/>
      <c r="P114" s="356"/>
      <c r="Q114" s="356"/>
      <c r="R114" s="356"/>
      <c r="AD114" s="30"/>
      <c r="AE114" s="30"/>
    </row>
    <row r="115" spans="6:31" ht="12.75">
      <c r="F115" s="356"/>
      <c r="G115" s="356"/>
      <c r="H115" s="356"/>
      <c r="I115" s="356"/>
      <c r="J115" s="356"/>
      <c r="K115" s="356"/>
      <c r="L115" s="356"/>
      <c r="M115" s="356"/>
      <c r="N115" s="356"/>
      <c r="O115" s="356"/>
      <c r="P115" s="356"/>
      <c r="Q115" s="356"/>
      <c r="R115" s="356"/>
      <c r="AD115" s="30"/>
      <c r="AE115" s="30"/>
    </row>
    <row r="116" spans="6:31" ht="12.75">
      <c r="F116" s="356"/>
      <c r="G116" s="356"/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56"/>
      <c r="AD116" s="30"/>
      <c r="AE116" s="30"/>
    </row>
    <row r="117" spans="6:31" ht="12.75"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56"/>
      <c r="AD117" s="30"/>
      <c r="AE117" s="30"/>
    </row>
    <row r="118" spans="5:31" ht="12.75">
      <c r="E118" s="355"/>
      <c r="F118" s="355"/>
      <c r="G118" s="356"/>
      <c r="H118" s="356"/>
      <c r="I118" s="356"/>
      <c r="J118" s="356"/>
      <c r="K118" s="356"/>
      <c r="L118" s="356"/>
      <c r="M118" s="356"/>
      <c r="N118" s="356"/>
      <c r="O118" s="356"/>
      <c r="P118" s="356"/>
      <c r="Q118" s="356"/>
      <c r="R118" s="356"/>
      <c r="AD118" s="30"/>
      <c r="AE118" s="30"/>
    </row>
    <row r="119" spans="5:31" ht="12.75">
      <c r="E119" s="355"/>
      <c r="F119" s="355"/>
      <c r="G119" s="356"/>
      <c r="H119" s="356"/>
      <c r="I119" s="356"/>
      <c r="J119" s="356"/>
      <c r="K119" s="356"/>
      <c r="L119" s="356"/>
      <c r="M119" s="356"/>
      <c r="N119" s="356"/>
      <c r="O119" s="356"/>
      <c r="P119" s="356"/>
      <c r="Q119" s="356"/>
      <c r="R119" s="356"/>
      <c r="AD119" s="30"/>
      <c r="AE119" s="30"/>
    </row>
    <row r="120" spans="5:31" ht="12.75">
      <c r="E120" s="355"/>
      <c r="F120" s="355"/>
      <c r="G120" s="356"/>
      <c r="H120" s="356"/>
      <c r="I120" s="356"/>
      <c r="J120" s="356"/>
      <c r="K120" s="356"/>
      <c r="L120" s="356"/>
      <c r="M120" s="356"/>
      <c r="N120" s="356"/>
      <c r="O120" s="356"/>
      <c r="P120" s="356"/>
      <c r="Q120" s="356"/>
      <c r="R120" s="356"/>
      <c r="AD120" s="30"/>
      <c r="AE120" s="30"/>
    </row>
    <row r="121" spans="5:31" ht="12.75">
      <c r="E121" s="355"/>
      <c r="F121" s="355"/>
      <c r="G121" s="356"/>
      <c r="H121" s="356"/>
      <c r="I121" s="356"/>
      <c r="J121" s="356"/>
      <c r="K121" s="356"/>
      <c r="L121" s="356"/>
      <c r="M121" s="356"/>
      <c r="N121" s="356"/>
      <c r="O121" s="356"/>
      <c r="P121" s="356"/>
      <c r="Q121" s="356"/>
      <c r="R121" s="356"/>
      <c r="AD121" s="30"/>
      <c r="AE121" s="30"/>
    </row>
    <row r="122" spans="5:31" ht="12.75">
      <c r="E122" s="355"/>
      <c r="F122" s="355"/>
      <c r="G122" s="356"/>
      <c r="H122" s="356"/>
      <c r="I122" s="356"/>
      <c r="J122" s="356"/>
      <c r="K122" s="356"/>
      <c r="L122" s="356"/>
      <c r="M122" s="356"/>
      <c r="N122" s="356"/>
      <c r="O122" s="356"/>
      <c r="P122" s="356"/>
      <c r="Q122" s="356"/>
      <c r="R122" s="356"/>
      <c r="AD122" s="30"/>
      <c r="AE122" s="30"/>
    </row>
    <row r="123" spans="5:31" ht="12.75">
      <c r="E123" s="355"/>
      <c r="F123" s="355"/>
      <c r="G123" s="356"/>
      <c r="H123" s="356"/>
      <c r="I123" s="356"/>
      <c r="J123" s="356"/>
      <c r="K123" s="356"/>
      <c r="L123" s="356"/>
      <c r="M123" s="356"/>
      <c r="N123" s="356"/>
      <c r="O123" s="356"/>
      <c r="P123" s="356"/>
      <c r="Q123" s="356"/>
      <c r="R123" s="356"/>
      <c r="AD123" s="30"/>
      <c r="AE123" s="30"/>
    </row>
    <row r="124" spans="5:31" ht="12.75">
      <c r="E124" s="355"/>
      <c r="F124" s="355"/>
      <c r="G124" s="356"/>
      <c r="H124" s="356"/>
      <c r="I124" s="356"/>
      <c r="J124" s="356"/>
      <c r="K124" s="356"/>
      <c r="L124" s="356"/>
      <c r="M124" s="356"/>
      <c r="N124" s="356"/>
      <c r="O124" s="356"/>
      <c r="P124" s="356"/>
      <c r="Q124" s="356"/>
      <c r="R124" s="356"/>
      <c r="AD124" s="30"/>
      <c r="AE124" s="30"/>
    </row>
    <row r="125" spans="5:31" ht="19.5" customHeight="1">
      <c r="E125" s="355"/>
      <c r="F125" s="355"/>
      <c r="G125" s="356"/>
      <c r="H125" s="356"/>
      <c r="I125" s="356"/>
      <c r="J125" s="356"/>
      <c r="K125" s="356"/>
      <c r="L125" s="356"/>
      <c r="M125" s="356"/>
      <c r="N125" s="356"/>
      <c r="O125" s="356"/>
      <c r="P125" s="356"/>
      <c r="Q125" s="356"/>
      <c r="R125" s="356"/>
      <c r="AD125" s="30"/>
      <c r="AE125" s="30"/>
    </row>
    <row r="126" spans="5:31" ht="12.75">
      <c r="E126" s="355"/>
      <c r="F126" s="355"/>
      <c r="G126" s="356"/>
      <c r="H126" s="356"/>
      <c r="I126" s="356"/>
      <c r="J126" s="356"/>
      <c r="K126" s="356"/>
      <c r="L126" s="356"/>
      <c r="M126" s="356"/>
      <c r="N126" s="356"/>
      <c r="O126" s="356"/>
      <c r="P126" s="356"/>
      <c r="Q126" s="356"/>
      <c r="R126" s="356"/>
      <c r="AD126" s="30"/>
      <c r="AE126" s="30"/>
    </row>
    <row r="127" spans="5:31" ht="12.75">
      <c r="E127" s="355"/>
      <c r="F127" s="355"/>
      <c r="G127" s="356"/>
      <c r="H127" s="356"/>
      <c r="I127" s="356"/>
      <c r="J127" s="356"/>
      <c r="K127" s="356"/>
      <c r="L127" s="356"/>
      <c r="M127" s="356"/>
      <c r="N127" s="356"/>
      <c r="O127" s="356"/>
      <c r="P127" s="356"/>
      <c r="Q127" s="356"/>
      <c r="R127" s="356"/>
      <c r="AD127" s="30"/>
      <c r="AE127" s="30"/>
    </row>
    <row r="128" spans="5:31" ht="12.75">
      <c r="E128" s="355"/>
      <c r="F128" s="355"/>
      <c r="G128" s="356"/>
      <c r="H128" s="356"/>
      <c r="I128" s="356"/>
      <c r="J128" s="356"/>
      <c r="K128" s="356"/>
      <c r="L128" s="356"/>
      <c r="M128" s="356"/>
      <c r="N128" s="356"/>
      <c r="O128" s="356"/>
      <c r="P128" s="356"/>
      <c r="Q128" s="356"/>
      <c r="R128" s="356"/>
      <c r="AD128" s="30"/>
      <c r="AE128" s="30"/>
    </row>
    <row r="129" spans="5:31" ht="12.75">
      <c r="E129" s="355"/>
      <c r="F129" s="355"/>
      <c r="G129" s="356"/>
      <c r="H129" s="356"/>
      <c r="I129" s="356"/>
      <c r="J129" s="356"/>
      <c r="K129" s="356"/>
      <c r="L129" s="356"/>
      <c r="M129" s="356"/>
      <c r="N129" s="356"/>
      <c r="O129" s="356"/>
      <c r="P129" s="356"/>
      <c r="Q129" s="356"/>
      <c r="R129" s="356"/>
      <c r="AD129" s="30"/>
      <c r="AE129" s="30"/>
    </row>
    <row r="130" spans="5:31" ht="12.75">
      <c r="E130" s="355"/>
      <c r="F130" s="355"/>
      <c r="G130" s="356"/>
      <c r="H130" s="356"/>
      <c r="I130" s="356"/>
      <c r="J130" s="356"/>
      <c r="K130" s="356"/>
      <c r="L130" s="356"/>
      <c r="M130" s="356"/>
      <c r="N130" s="356"/>
      <c r="O130" s="356"/>
      <c r="P130" s="356"/>
      <c r="Q130" s="356"/>
      <c r="R130" s="356"/>
      <c r="AD130" s="30"/>
      <c r="AE130" s="30"/>
    </row>
    <row r="131" spans="5:18" ht="12.75">
      <c r="E131" s="355"/>
      <c r="F131" s="355"/>
      <c r="G131" s="356"/>
      <c r="H131" s="356"/>
      <c r="I131" s="356"/>
      <c r="J131" s="356"/>
      <c r="K131" s="356"/>
      <c r="L131" s="356"/>
      <c r="M131" s="356"/>
      <c r="N131" s="356"/>
      <c r="O131" s="356"/>
      <c r="P131" s="356"/>
      <c r="Q131" s="356"/>
      <c r="R131" s="356"/>
    </row>
    <row r="132" spans="5:18" ht="12.75">
      <c r="E132" s="355"/>
      <c r="F132" s="355"/>
      <c r="G132" s="356"/>
      <c r="H132" s="356"/>
      <c r="I132" s="356"/>
      <c r="J132" s="356"/>
      <c r="K132" s="356"/>
      <c r="L132" s="356"/>
      <c r="M132" s="356"/>
      <c r="N132" s="356"/>
      <c r="O132" s="356"/>
      <c r="P132" s="356"/>
      <c r="Q132" s="356"/>
      <c r="R132" s="356"/>
    </row>
    <row r="133" spans="5:18" ht="12.75">
      <c r="E133" s="355"/>
      <c r="F133" s="355"/>
      <c r="G133" s="356"/>
      <c r="H133" s="356"/>
      <c r="I133" s="356"/>
      <c r="J133" s="356"/>
      <c r="K133" s="356"/>
      <c r="L133" s="356"/>
      <c r="M133" s="356"/>
      <c r="N133" s="356"/>
      <c r="O133" s="356"/>
      <c r="P133" s="356"/>
      <c r="Q133" s="356"/>
      <c r="R133" s="356"/>
    </row>
    <row r="134" spans="5:18" ht="12.75">
      <c r="E134" s="355"/>
      <c r="F134" s="355"/>
      <c r="G134" s="356"/>
      <c r="H134" s="356"/>
      <c r="I134" s="356"/>
      <c r="J134" s="356"/>
      <c r="K134" s="356"/>
      <c r="L134" s="356"/>
      <c r="M134" s="356"/>
      <c r="N134" s="356"/>
      <c r="O134" s="356"/>
      <c r="P134" s="356"/>
      <c r="Q134" s="356"/>
      <c r="R134" s="356"/>
    </row>
    <row r="135" spans="5:18" ht="12.75">
      <c r="E135" s="355"/>
      <c r="F135" s="355"/>
      <c r="G135" s="356"/>
      <c r="H135" s="356"/>
      <c r="I135" s="356"/>
      <c r="J135" s="356"/>
      <c r="K135" s="356"/>
      <c r="L135" s="356"/>
      <c r="M135" s="356"/>
      <c r="N135" s="356"/>
      <c r="O135" s="356"/>
      <c r="P135" s="356"/>
      <c r="Q135" s="356"/>
      <c r="R135" s="356"/>
    </row>
    <row r="136" spans="5:18" ht="12.75">
      <c r="E136" s="355"/>
      <c r="F136" s="355"/>
      <c r="G136" s="356"/>
      <c r="H136" s="356"/>
      <c r="I136" s="356"/>
      <c r="J136" s="356"/>
      <c r="K136" s="356"/>
      <c r="L136" s="356"/>
      <c r="M136" s="356"/>
      <c r="N136" s="356"/>
      <c r="O136" s="356"/>
      <c r="P136" s="356"/>
      <c r="Q136" s="356"/>
      <c r="R136" s="356"/>
    </row>
    <row r="137" spans="5:18" ht="12.75">
      <c r="E137" s="355"/>
      <c r="F137" s="355"/>
      <c r="G137" s="356"/>
      <c r="H137" s="356"/>
      <c r="I137" s="356"/>
      <c r="J137" s="356"/>
      <c r="K137" s="356"/>
      <c r="L137" s="356"/>
      <c r="M137" s="356"/>
      <c r="N137" s="356"/>
      <c r="O137" s="356"/>
      <c r="P137" s="356"/>
      <c r="Q137" s="356"/>
      <c r="R137" s="356"/>
    </row>
    <row r="138" spans="5:18" ht="12.75">
      <c r="E138" s="357"/>
      <c r="F138" s="355"/>
      <c r="G138" s="356"/>
      <c r="H138" s="356"/>
      <c r="I138" s="356"/>
      <c r="J138" s="356"/>
      <c r="K138" s="356"/>
      <c r="L138" s="356"/>
      <c r="M138" s="356"/>
      <c r="N138" s="356"/>
      <c r="O138" s="356"/>
      <c r="P138" s="356"/>
      <c r="Q138" s="356"/>
      <c r="R138" s="356"/>
    </row>
    <row r="139" spans="6:18" ht="12.75">
      <c r="F139" s="356"/>
      <c r="G139" s="356"/>
      <c r="H139" s="356"/>
      <c r="I139" s="356"/>
      <c r="J139" s="356"/>
      <c r="K139" s="356"/>
      <c r="L139" s="356"/>
      <c r="M139" s="356"/>
      <c r="N139" s="356"/>
      <c r="O139" s="356"/>
      <c r="P139" s="356"/>
      <c r="Q139" s="356"/>
      <c r="R139" s="356"/>
    </row>
    <row r="140" spans="6:18" ht="12.75">
      <c r="F140" s="356"/>
      <c r="G140" s="356"/>
      <c r="H140" s="356"/>
      <c r="I140" s="356"/>
      <c r="J140" s="356"/>
      <c r="K140" s="356"/>
      <c r="L140" s="356"/>
      <c r="M140" s="356"/>
      <c r="N140" s="356"/>
      <c r="O140" s="356"/>
      <c r="P140" s="356"/>
      <c r="Q140" s="356"/>
      <c r="R140" s="356"/>
    </row>
    <row r="141" spans="6:18" ht="12.75">
      <c r="F141" s="356"/>
      <c r="G141" s="356"/>
      <c r="H141" s="356"/>
      <c r="I141" s="356"/>
      <c r="J141" s="356"/>
      <c r="K141" s="356"/>
      <c r="L141" s="356"/>
      <c r="M141" s="356"/>
      <c r="N141" s="356"/>
      <c r="O141" s="356"/>
      <c r="P141" s="356"/>
      <c r="Q141" s="356"/>
      <c r="R141" s="356"/>
    </row>
    <row r="142" spans="6:18" ht="12.75">
      <c r="F142" s="356"/>
      <c r="G142" s="356"/>
      <c r="H142" s="356"/>
      <c r="I142" s="356"/>
      <c r="J142" s="356"/>
      <c r="K142" s="356"/>
      <c r="L142" s="356"/>
      <c r="M142" s="356"/>
      <c r="N142" s="356"/>
      <c r="O142" s="356"/>
      <c r="P142" s="356"/>
      <c r="Q142" s="356"/>
      <c r="R142" s="356"/>
    </row>
    <row r="143" spans="6:18" ht="12.75">
      <c r="F143" s="356"/>
      <c r="G143" s="356"/>
      <c r="H143" s="356"/>
      <c r="I143" s="356"/>
      <c r="J143" s="356"/>
      <c r="K143" s="356"/>
      <c r="L143" s="356"/>
      <c r="M143" s="356"/>
      <c r="N143" s="356"/>
      <c r="O143" s="356"/>
      <c r="P143" s="356"/>
      <c r="Q143" s="356"/>
      <c r="R143" s="356"/>
    </row>
    <row r="144" spans="6:18" ht="12.75">
      <c r="F144" s="356"/>
      <c r="G144" s="356"/>
      <c r="H144" s="356"/>
      <c r="I144" s="356"/>
      <c r="J144" s="356"/>
      <c r="K144" s="356"/>
      <c r="L144" s="356"/>
      <c r="M144" s="356"/>
      <c r="N144" s="356"/>
      <c r="O144" s="356"/>
      <c r="P144" s="356"/>
      <c r="Q144" s="356"/>
      <c r="R144" s="356"/>
    </row>
    <row r="145" spans="6:18" ht="12.75">
      <c r="F145" s="356"/>
      <c r="G145" s="356"/>
      <c r="H145" s="356"/>
      <c r="I145" s="356"/>
      <c r="J145" s="356"/>
      <c r="K145" s="356"/>
      <c r="L145" s="356"/>
      <c r="M145" s="356"/>
      <c r="N145" s="356"/>
      <c r="O145" s="356"/>
      <c r="P145" s="356"/>
      <c r="Q145" s="356"/>
      <c r="R145" s="356"/>
    </row>
    <row r="146" spans="6:18" ht="12.75">
      <c r="F146" s="356"/>
      <c r="G146" s="356"/>
      <c r="H146" s="356"/>
      <c r="I146" s="356"/>
      <c r="J146" s="356"/>
      <c r="K146" s="356"/>
      <c r="L146" s="356"/>
      <c r="M146" s="356"/>
      <c r="N146" s="356"/>
      <c r="O146" s="356"/>
      <c r="P146" s="356"/>
      <c r="Q146" s="356"/>
      <c r="R146" s="356"/>
    </row>
    <row r="147" spans="6:18" ht="12.75">
      <c r="F147" s="356"/>
      <c r="G147" s="356"/>
      <c r="H147" s="356"/>
      <c r="I147" s="356"/>
      <c r="J147" s="356"/>
      <c r="K147" s="356"/>
      <c r="L147" s="356"/>
      <c r="M147" s="356"/>
      <c r="N147" s="356"/>
      <c r="O147" s="356"/>
      <c r="P147" s="356"/>
      <c r="Q147" s="356"/>
      <c r="R147" s="356"/>
    </row>
    <row r="148" spans="6:18" ht="12.75">
      <c r="F148" s="356"/>
      <c r="G148" s="356"/>
      <c r="H148" s="356"/>
      <c r="I148" s="356"/>
      <c r="J148" s="356"/>
      <c r="K148" s="356"/>
      <c r="L148" s="356"/>
      <c r="M148" s="356"/>
      <c r="N148" s="356"/>
      <c r="O148" s="356"/>
      <c r="P148" s="356"/>
      <c r="Q148" s="356"/>
      <c r="R148" s="356"/>
    </row>
    <row r="149" spans="6:18" ht="12.75">
      <c r="F149" s="356"/>
      <c r="G149" s="356"/>
      <c r="H149" s="356"/>
      <c r="I149" s="356"/>
      <c r="J149" s="356"/>
      <c r="K149" s="356"/>
      <c r="L149" s="356"/>
      <c r="M149" s="356"/>
      <c r="N149" s="356"/>
      <c r="O149" s="356"/>
      <c r="P149" s="356"/>
      <c r="Q149" s="356"/>
      <c r="R149" s="356"/>
    </row>
    <row r="150" spans="6:18" ht="12.75">
      <c r="F150" s="356"/>
      <c r="G150" s="356"/>
      <c r="H150" s="356"/>
      <c r="I150" s="356"/>
      <c r="J150" s="356"/>
      <c r="K150" s="356"/>
      <c r="L150" s="356"/>
      <c r="M150" s="356"/>
      <c r="N150" s="356"/>
      <c r="O150" s="356"/>
      <c r="P150" s="356"/>
      <c r="Q150" s="356"/>
      <c r="R150" s="356"/>
    </row>
    <row r="151" spans="6:18" ht="12.75">
      <c r="F151" s="356"/>
      <c r="G151" s="356"/>
      <c r="H151" s="356"/>
      <c r="I151" s="356"/>
      <c r="J151" s="356"/>
      <c r="K151" s="356"/>
      <c r="L151" s="356"/>
      <c r="M151" s="356"/>
      <c r="N151" s="356"/>
      <c r="O151" s="356"/>
      <c r="P151" s="356"/>
      <c r="Q151" s="356"/>
      <c r="R151" s="356"/>
    </row>
    <row r="152" spans="6:18" ht="12.75">
      <c r="F152" s="356"/>
      <c r="G152" s="356"/>
      <c r="H152" s="356"/>
      <c r="I152" s="356"/>
      <c r="J152" s="356"/>
      <c r="K152" s="356"/>
      <c r="L152" s="356"/>
      <c r="M152" s="356"/>
      <c r="N152" s="356"/>
      <c r="O152" s="356"/>
      <c r="P152" s="356"/>
      <c r="Q152" s="356"/>
      <c r="R152" s="356"/>
    </row>
    <row r="153" spans="6:18" ht="12.75">
      <c r="F153" s="356"/>
      <c r="G153" s="356"/>
      <c r="H153" s="356"/>
      <c r="I153" s="356"/>
      <c r="J153" s="356"/>
      <c r="K153" s="356"/>
      <c r="L153" s="356"/>
      <c r="M153" s="356"/>
      <c r="N153" s="356"/>
      <c r="O153" s="356"/>
      <c r="P153" s="356"/>
      <c r="Q153" s="356"/>
      <c r="R153" s="356"/>
    </row>
    <row r="154" spans="6:18" ht="12.75">
      <c r="F154" s="356"/>
      <c r="G154" s="356"/>
      <c r="H154" s="356"/>
      <c r="I154" s="356"/>
      <c r="J154" s="356"/>
      <c r="K154" s="356"/>
      <c r="L154" s="356"/>
      <c r="M154" s="356"/>
      <c r="N154" s="356"/>
      <c r="O154" s="356"/>
      <c r="P154" s="356"/>
      <c r="Q154" s="356"/>
      <c r="R154" s="356"/>
    </row>
    <row r="155" spans="6:18" ht="12.75">
      <c r="F155" s="356"/>
      <c r="G155" s="356"/>
      <c r="H155" s="356"/>
      <c r="I155" s="356"/>
      <c r="J155" s="356"/>
      <c r="K155" s="356"/>
      <c r="L155" s="356"/>
      <c r="M155" s="356"/>
      <c r="N155" s="356"/>
      <c r="O155" s="356"/>
      <c r="P155" s="356"/>
      <c r="Q155" s="356"/>
      <c r="R155" s="356"/>
    </row>
    <row r="156" spans="6:18" ht="12.75">
      <c r="F156" s="356"/>
      <c r="G156" s="356"/>
      <c r="H156" s="356"/>
      <c r="I156" s="356"/>
      <c r="J156" s="356"/>
      <c r="K156" s="356"/>
      <c r="L156" s="356"/>
      <c r="M156" s="356"/>
      <c r="N156" s="356"/>
      <c r="O156" s="356"/>
      <c r="P156" s="356"/>
      <c r="Q156" s="356"/>
      <c r="R156" s="356"/>
    </row>
    <row r="157" spans="6:18" ht="12.75">
      <c r="F157" s="356"/>
      <c r="G157" s="356"/>
      <c r="H157" s="356"/>
      <c r="I157" s="356"/>
      <c r="J157" s="356"/>
      <c r="K157" s="356"/>
      <c r="L157" s="356"/>
      <c r="M157" s="356"/>
      <c r="N157" s="356"/>
      <c r="O157" s="356"/>
      <c r="P157" s="356"/>
      <c r="Q157" s="356"/>
      <c r="R157" s="356"/>
    </row>
    <row r="158" spans="6:18" ht="12.75">
      <c r="F158" s="356"/>
      <c r="G158" s="356"/>
      <c r="H158" s="356"/>
      <c r="I158" s="356"/>
      <c r="J158" s="356"/>
      <c r="K158" s="356"/>
      <c r="L158" s="356"/>
      <c r="M158" s="356"/>
      <c r="N158" s="356"/>
      <c r="O158" s="356"/>
      <c r="P158" s="356"/>
      <c r="Q158" s="356"/>
      <c r="R158" s="356"/>
    </row>
    <row r="159" spans="6:18" ht="12.75">
      <c r="F159" s="356"/>
      <c r="G159" s="356"/>
      <c r="H159" s="356"/>
      <c r="I159" s="356"/>
      <c r="J159" s="356"/>
      <c r="K159" s="356"/>
      <c r="L159" s="356"/>
      <c r="M159" s="356"/>
      <c r="N159" s="356"/>
      <c r="O159" s="356"/>
      <c r="P159" s="356"/>
      <c r="Q159" s="356"/>
      <c r="R159" s="356"/>
    </row>
  </sheetData>
  <mergeCells count="83">
    <mergeCell ref="E5:R6"/>
    <mergeCell ref="A8:E8"/>
    <mergeCell ref="A9:A12"/>
    <mergeCell ref="B9:B12"/>
    <mergeCell ref="C9:C12"/>
    <mergeCell ref="A5:A7"/>
    <mergeCell ref="B5:B7"/>
    <mergeCell ref="C5:C7"/>
    <mergeCell ref="D5:D7"/>
    <mergeCell ref="A13:A16"/>
    <mergeCell ref="B13:B16"/>
    <mergeCell ref="C13:C16"/>
    <mergeCell ref="A17:A20"/>
    <mergeCell ref="B17:B20"/>
    <mergeCell ref="C17:C20"/>
    <mergeCell ref="A21:A24"/>
    <mergeCell ref="B21:B24"/>
    <mergeCell ref="C21:C24"/>
    <mergeCell ref="A25:A28"/>
    <mergeCell ref="B25:B28"/>
    <mergeCell ref="C25:C28"/>
    <mergeCell ref="A29:A32"/>
    <mergeCell ref="B29:B32"/>
    <mergeCell ref="C29:C32"/>
    <mergeCell ref="A33:A36"/>
    <mergeCell ref="B33:B36"/>
    <mergeCell ref="C33:C36"/>
    <mergeCell ref="A37:A40"/>
    <mergeCell ref="B37:B40"/>
    <mergeCell ref="C37:C40"/>
    <mergeCell ref="A41:A44"/>
    <mergeCell ref="B41:B44"/>
    <mergeCell ref="C41:C44"/>
    <mergeCell ref="A45:A48"/>
    <mergeCell ref="B45:B48"/>
    <mergeCell ref="C45:C48"/>
    <mergeCell ref="A49:A52"/>
    <mergeCell ref="B49:B52"/>
    <mergeCell ref="C49:C52"/>
    <mergeCell ref="A53:A56"/>
    <mergeCell ref="B53:B56"/>
    <mergeCell ref="C53:C56"/>
    <mergeCell ref="A57:A60"/>
    <mergeCell ref="B57:B60"/>
    <mergeCell ref="C57:C60"/>
    <mergeCell ref="A61:A64"/>
    <mergeCell ref="B61:B64"/>
    <mergeCell ref="C61:C64"/>
    <mergeCell ref="A65:A68"/>
    <mergeCell ref="B65:B68"/>
    <mergeCell ref="C65:C68"/>
    <mergeCell ref="A69:A72"/>
    <mergeCell ref="B69:B72"/>
    <mergeCell ref="C69:C72"/>
    <mergeCell ref="A73:A76"/>
    <mergeCell ref="B73:B76"/>
    <mergeCell ref="C73:C76"/>
    <mergeCell ref="A77:A80"/>
    <mergeCell ref="B77:B80"/>
    <mergeCell ref="C77:C80"/>
    <mergeCell ref="A81:E81"/>
    <mergeCell ref="A82:A85"/>
    <mergeCell ref="B82:B85"/>
    <mergeCell ref="C82:C85"/>
    <mergeCell ref="A86:A89"/>
    <mergeCell ref="B86:B89"/>
    <mergeCell ref="C86:C89"/>
    <mergeCell ref="A90:A93"/>
    <mergeCell ref="B90:B93"/>
    <mergeCell ref="C90:C93"/>
    <mergeCell ref="A94:A97"/>
    <mergeCell ref="B94:B97"/>
    <mergeCell ref="C94:C97"/>
    <mergeCell ref="A98:A101"/>
    <mergeCell ref="B98:B101"/>
    <mergeCell ref="C98:C101"/>
    <mergeCell ref="A102:A105"/>
    <mergeCell ref="B102:B105"/>
    <mergeCell ref="C102:C105"/>
    <mergeCell ref="A106:A109"/>
    <mergeCell ref="B106:B109"/>
    <mergeCell ref="C106:C109"/>
    <mergeCell ref="A110:D110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72"/>
  <sheetViews>
    <sheetView workbookViewId="0" topLeftCell="A7">
      <selection activeCell="A37" sqref="A37"/>
    </sheetView>
  </sheetViews>
  <sheetFormatPr defaultColWidth="9.140625" defaultRowHeight="12.75"/>
  <cols>
    <col min="1" max="1" width="34.421875" style="0" customWidth="1"/>
    <col min="2" max="2" width="21.7109375" style="0" customWidth="1"/>
    <col min="3" max="3" width="22.57421875" style="0" customWidth="1"/>
    <col min="4" max="4" width="21.140625" style="0" customWidth="1"/>
    <col min="5" max="5" width="21.28125" style="0" customWidth="1"/>
  </cols>
  <sheetData>
    <row r="2" ht="20.25">
      <c r="A2" s="461" t="s">
        <v>627</v>
      </c>
    </row>
    <row r="3" ht="20.25">
      <c r="A3" s="461"/>
    </row>
    <row r="4" s="599" customFormat="1" ht="12.75">
      <c r="E4" s="615" t="s">
        <v>84</v>
      </c>
    </row>
    <row r="5" spans="1:5" s="600" customFormat="1" ht="23.25" customHeight="1">
      <c r="A5" s="603"/>
      <c r="B5" s="604" t="s">
        <v>613</v>
      </c>
      <c r="C5" s="605"/>
      <c r="D5" s="604" t="s">
        <v>626</v>
      </c>
      <c r="E5" s="605"/>
    </row>
    <row r="6" spans="1:5" s="601" customFormat="1" ht="23.25" customHeight="1">
      <c r="A6" s="606"/>
      <c r="B6" s="607" t="s">
        <v>611</v>
      </c>
      <c r="C6" s="601" t="s">
        <v>612</v>
      </c>
      <c r="D6" s="607" t="s">
        <v>611</v>
      </c>
      <c r="E6" s="607" t="s">
        <v>612</v>
      </c>
    </row>
    <row r="7" spans="1:5" s="600" customFormat="1" ht="31.5" customHeight="1">
      <c r="A7" s="609" t="s">
        <v>614</v>
      </c>
      <c r="B7" s="613">
        <f>B8+B9+B14</f>
        <v>49872564.14</v>
      </c>
      <c r="C7" s="613">
        <f>C9+C14</f>
        <v>94540473.85</v>
      </c>
      <c r="D7" s="613">
        <f>D8+D9+D14</f>
        <v>51144099</v>
      </c>
      <c r="E7" s="613">
        <f>E9+E14</f>
        <v>99334339</v>
      </c>
    </row>
    <row r="8" spans="1:5" s="600" customFormat="1" ht="30" customHeight="1">
      <c r="A8" s="608" t="s">
        <v>621</v>
      </c>
      <c r="B8" s="612">
        <v>42421147</v>
      </c>
      <c r="C8" s="612"/>
      <c r="D8" s="612">
        <v>42606464</v>
      </c>
      <c r="E8" s="612"/>
    </row>
    <row r="9" spans="1:5" s="600" customFormat="1" ht="30" customHeight="1">
      <c r="A9" s="608" t="s">
        <v>619</v>
      </c>
      <c r="B9" s="612">
        <f>SUM(B10:B13)</f>
        <v>6542701.63</v>
      </c>
      <c r="C9" s="612">
        <f>SUM(C10:C13)</f>
        <v>91890924.46</v>
      </c>
      <c r="D9" s="612">
        <f>SUM(D10:D13)</f>
        <v>8537635</v>
      </c>
      <c r="E9" s="612">
        <f>SUM(E10:E13)</f>
        <v>97542109</v>
      </c>
    </row>
    <row r="10" spans="1:5" s="599" customFormat="1" ht="21.75" customHeight="1">
      <c r="A10" s="611" t="s">
        <v>615</v>
      </c>
      <c r="B10" s="614">
        <f>339345.23+5693.5+63876.8+687589</f>
        <v>1096504.53</v>
      </c>
      <c r="C10" s="614"/>
      <c r="D10" s="614">
        <f>2854200+45885+420000</f>
        <v>3320085</v>
      </c>
      <c r="E10" s="614"/>
    </row>
    <row r="11" spans="1:5" s="599" customFormat="1" ht="19.5" customHeight="1">
      <c r="A11" s="611" t="s">
        <v>616</v>
      </c>
      <c r="B11" s="614">
        <f>5450280.14-4483.07+400.03</f>
        <v>5446197.1</v>
      </c>
      <c r="C11" s="614"/>
      <c r="D11" s="614">
        <f>8537635-D10</f>
        <v>5217550</v>
      </c>
      <c r="E11" s="614"/>
    </row>
    <row r="12" spans="1:5" s="599" customFormat="1" ht="29.25" customHeight="1">
      <c r="A12" s="608" t="s">
        <v>620</v>
      </c>
      <c r="B12" s="614"/>
      <c r="C12" s="614">
        <f>89356248.81+15238.16+777694+907494+13284+63525.49+2798+754642-874807.32</f>
        <v>91016117.14</v>
      </c>
      <c r="D12" s="614"/>
      <c r="E12" s="614">
        <f>97542109-E13</f>
        <v>90899243</v>
      </c>
    </row>
    <row r="13" spans="1:5" s="599" customFormat="1" ht="27" customHeight="1">
      <c r="A13" s="608" t="s">
        <v>617</v>
      </c>
      <c r="B13" s="614"/>
      <c r="C13" s="614">
        <v>874807.32</v>
      </c>
      <c r="D13" s="614"/>
      <c r="E13" s="614">
        <v>6642866</v>
      </c>
    </row>
    <row r="14" spans="1:5" s="600" customFormat="1" ht="31.5" customHeight="1">
      <c r="A14" s="608" t="s">
        <v>618</v>
      </c>
      <c r="B14" s="612">
        <f>SUM(B15:B18)</f>
        <v>908715.51</v>
      </c>
      <c r="C14" s="612">
        <f>SUM(C15:C18)</f>
        <v>2649549.39</v>
      </c>
      <c r="D14" s="612">
        <f>SUM(D15:D18)</f>
        <v>0</v>
      </c>
      <c r="E14" s="612">
        <f>SUM(E15:E18)</f>
        <v>1792230</v>
      </c>
    </row>
    <row r="15" spans="1:5" s="599" customFormat="1" ht="28.5" customHeight="1">
      <c r="A15" s="611" t="s">
        <v>615</v>
      </c>
      <c r="B15" s="614">
        <v>908699.76</v>
      </c>
      <c r="C15" s="614"/>
      <c r="D15" s="614"/>
      <c r="E15" s="614"/>
    </row>
    <row r="16" spans="1:5" s="599" customFormat="1" ht="29.25" customHeight="1">
      <c r="A16" s="611" t="s">
        <v>616</v>
      </c>
      <c r="B16" s="614">
        <v>15.75</v>
      </c>
      <c r="C16" s="614"/>
      <c r="D16" s="614"/>
      <c r="E16" s="614"/>
    </row>
    <row r="17" spans="1:5" s="599" customFormat="1" ht="29.25" customHeight="1">
      <c r="A17" s="608" t="s">
        <v>620</v>
      </c>
      <c r="B17" s="614"/>
      <c r="C17" s="614">
        <f>635.09+2004935.3+643979</f>
        <v>2649549.39</v>
      </c>
      <c r="D17" s="614"/>
      <c r="E17" s="614">
        <v>1792230</v>
      </c>
    </row>
    <row r="18" spans="1:5" s="599" customFormat="1" ht="25.5" customHeight="1">
      <c r="A18" s="608" t="s">
        <v>617</v>
      </c>
      <c r="B18" s="614"/>
      <c r="C18" s="614">
        <v>0</v>
      </c>
      <c r="D18" s="614"/>
      <c r="E18" s="614"/>
    </row>
    <row r="19" spans="1:5" s="599" customFormat="1" ht="33.75" customHeight="1">
      <c r="A19" s="609" t="s">
        <v>622</v>
      </c>
      <c r="B19" s="613">
        <f>B20+B21+B26</f>
        <v>70608922.67</v>
      </c>
      <c r="C19" s="613">
        <f>C20+C21+C26</f>
        <v>74680673.67</v>
      </c>
      <c r="D19" s="613">
        <f>D20+D21+D26</f>
        <v>69980456.4</v>
      </c>
      <c r="E19" s="613">
        <f>E20+E21+E26</f>
        <v>71140621.4</v>
      </c>
    </row>
    <row r="20" spans="1:5" s="599" customFormat="1" ht="28.5" customHeight="1">
      <c r="A20" s="608" t="s">
        <v>621</v>
      </c>
      <c r="B20" s="612">
        <v>68319077</v>
      </c>
      <c r="C20" s="612"/>
      <c r="D20" s="612">
        <v>67549149</v>
      </c>
      <c r="E20" s="612"/>
    </row>
    <row r="21" spans="1:5" s="599" customFormat="1" ht="26.25" customHeight="1">
      <c r="A21" s="608" t="s">
        <v>619</v>
      </c>
      <c r="B21" s="612">
        <f>SUM(B22:B25)</f>
        <v>1543057.37</v>
      </c>
      <c r="C21" s="612">
        <f>SUM(C22:C25)</f>
        <v>63814507.4</v>
      </c>
      <c r="D21" s="612">
        <f>SUM(D22:D25)</f>
        <v>1735777.4</v>
      </c>
      <c r="E21" s="612">
        <f>SUM(E22:E25)</f>
        <v>62551158.4</v>
      </c>
    </row>
    <row r="22" spans="1:5" s="599" customFormat="1" ht="24" customHeight="1">
      <c r="A22" s="611" t="s">
        <v>615</v>
      </c>
      <c r="B22" s="614">
        <f>63849.19+114156.2</f>
        <v>178005.39</v>
      </c>
      <c r="C22" s="614"/>
      <c r="D22" s="614">
        <v>62610.4</v>
      </c>
      <c r="E22" s="614"/>
    </row>
    <row r="23" spans="1:5" s="599" customFormat="1" ht="24.75" customHeight="1">
      <c r="A23" s="611" t="s">
        <v>616</v>
      </c>
      <c r="B23" s="614">
        <v>1365051.98</v>
      </c>
      <c r="C23" s="614"/>
      <c r="D23" s="614">
        <f>1735777.4-D22</f>
        <v>1673167</v>
      </c>
      <c r="E23" s="614"/>
    </row>
    <row r="24" spans="1:5" s="599" customFormat="1" ht="29.25" customHeight="1">
      <c r="A24" s="608" t="s">
        <v>620</v>
      </c>
      <c r="B24" s="614"/>
      <c r="C24" s="614">
        <f>55296182.12+3040234+302925+4545213+9389.28+620564-139250.37</f>
        <v>63675257.03</v>
      </c>
      <c r="D24" s="614"/>
      <c r="E24" s="614">
        <f>62551158.4-E25</f>
        <v>62544658.4</v>
      </c>
    </row>
    <row r="25" spans="1:5" s="599" customFormat="1" ht="29.25" customHeight="1">
      <c r="A25" s="608" t="s">
        <v>617</v>
      </c>
      <c r="B25" s="614"/>
      <c r="C25" s="614">
        <v>139250.37</v>
      </c>
      <c r="D25" s="614"/>
      <c r="E25" s="614">
        <v>6500</v>
      </c>
    </row>
    <row r="26" spans="1:5" s="599" customFormat="1" ht="28.5" customHeight="1">
      <c r="A26" s="608" t="s">
        <v>618</v>
      </c>
      <c r="B26" s="612">
        <f>SUM(B27:B30)</f>
        <v>746788.3</v>
      </c>
      <c r="C26" s="612">
        <f>SUM(C27:C30)</f>
        <v>10866166.27</v>
      </c>
      <c r="D26" s="612">
        <f>SUM(D27:D30)</f>
        <v>695530</v>
      </c>
      <c r="E26" s="612">
        <f>SUM(E27:E30)</f>
        <v>8589463</v>
      </c>
    </row>
    <row r="27" spans="1:5" s="599" customFormat="1" ht="23.25" customHeight="1">
      <c r="A27" s="611" t="s">
        <v>615</v>
      </c>
      <c r="B27" s="614"/>
      <c r="C27" s="614"/>
      <c r="D27" s="614"/>
      <c r="E27" s="614"/>
    </row>
    <row r="28" spans="1:5" s="599" customFormat="1" ht="24.75" customHeight="1">
      <c r="A28" s="611" t="s">
        <v>616</v>
      </c>
      <c r="B28" s="614">
        <v>746788.3</v>
      </c>
      <c r="C28" s="614"/>
      <c r="D28" s="614">
        <v>695530</v>
      </c>
      <c r="E28" s="614"/>
    </row>
    <row r="29" spans="1:5" s="599" customFormat="1" ht="33" customHeight="1">
      <c r="A29" s="608" t="s">
        <v>620</v>
      </c>
      <c r="B29" s="614"/>
      <c r="C29" s="614">
        <f>1328920+9537246.27</f>
        <v>10866166.27</v>
      </c>
      <c r="D29" s="614"/>
      <c r="E29" s="614">
        <f>8589463-E30</f>
        <v>8589463</v>
      </c>
    </row>
    <row r="30" spans="1:5" s="599" customFormat="1" ht="31.5" customHeight="1">
      <c r="A30" s="608" t="s">
        <v>617</v>
      </c>
      <c r="B30" s="614"/>
      <c r="C30" s="614">
        <v>0</v>
      </c>
      <c r="D30" s="614"/>
      <c r="E30" s="614"/>
    </row>
    <row r="31" spans="1:5" s="602" customFormat="1" ht="36.75" customHeight="1">
      <c r="A31" s="610" t="s">
        <v>623</v>
      </c>
      <c r="B31" s="613">
        <f>B7+B19</f>
        <v>120481486.81</v>
      </c>
      <c r="C31" s="613">
        <f>C7+C19</f>
        <v>169221147.51999998</v>
      </c>
      <c r="D31" s="613">
        <f>D7+D19</f>
        <v>121124555.4</v>
      </c>
      <c r="E31" s="613">
        <f>E7+E19</f>
        <v>170474960.4</v>
      </c>
    </row>
    <row r="32" spans="1:5" s="599" customFormat="1" ht="21.75" customHeight="1">
      <c r="A32" s="608" t="s">
        <v>542</v>
      </c>
      <c r="B32" s="558"/>
      <c r="C32" s="558">
        <f>C12+C17+C24+C29</f>
        <v>168207089.83</v>
      </c>
      <c r="D32" s="558"/>
      <c r="E32" s="558">
        <f>E12+E17+E24+E29</f>
        <v>163825594.4</v>
      </c>
    </row>
    <row r="33" spans="1:5" s="599" customFormat="1" ht="22.5" customHeight="1">
      <c r="A33" s="608" t="s">
        <v>393</v>
      </c>
      <c r="B33" s="558"/>
      <c r="C33" s="558">
        <f>C13+C18+C25+C30</f>
        <v>1014057.69</v>
      </c>
      <c r="D33" s="558">
        <f>D13+D18+D25+D30</f>
        <v>0</v>
      </c>
      <c r="E33" s="558">
        <f>E13+E18+E25+E30</f>
        <v>6649366</v>
      </c>
    </row>
    <row r="34" spans="1:5" s="599" customFormat="1" ht="12.75">
      <c r="A34" s="616"/>
      <c r="B34" s="617"/>
      <c r="C34" s="617"/>
      <c r="D34" s="617"/>
      <c r="E34" s="617"/>
    </row>
    <row r="35" spans="1:5" s="599" customFormat="1" ht="12.75">
      <c r="A35" s="616"/>
      <c r="B35" s="617"/>
      <c r="C35" s="617"/>
      <c r="D35" s="617"/>
      <c r="E35" s="617"/>
    </row>
    <row r="36" spans="1:5" s="599" customFormat="1" ht="12.75">
      <c r="A36" s="616"/>
      <c r="B36" s="617"/>
      <c r="C36" s="617"/>
      <c r="D36" s="617"/>
      <c r="E36" s="617"/>
    </row>
    <row r="37" spans="1:5" s="599" customFormat="1" ht="12.75">
      <c r="A37" s="616"/>
      <c r="B37" s="617"/>
      <c r="C37" s="617"/>
      <c r="D37" s="617"/>
      <c r="E37" s="617"/>
    </row>
    <row r="38" spans="1:5" s="599" customFormat="1" ht="31.5" customHeight="1">
      <c r="A38" s="616"/>
      <c r="B38" s="617"/>
      <c r="C38" s="617"/>
      <c r="D38" s="617"/>
      <c r="E38" s="617"/>
    </row>
    <row r="39" spans="2:5" s="599" customFormat="1" ht="91.5" customHeight="1">
      <c r="B39" s="559"/>
      <c r="C39" s="559">
        <f>SUM(C32:C33)</f>
        <v>169221147.52</v>
      </c>
      <c r="D39" s="559">
        <f>SUM(D32:D33)</f>
        <v>0</v>
      </c>
      <c r="E39" s="559">
        <f>SUM(E32:E33)</f>
        <v>170474960.4</v>
      </c>
    </row>
    <row r="40" spans="2:5" s="599" customFormat="1" ht="12.75">
      <c r="B40" s="559"/>
      <c r="C40" s="559"/>
      <c r="D40" s="559"/>
      <c r="E40" s="559"/>
    </row>
    <row r="41" spans="2:5" s="599" customFormat="1" ht="12.75">
      <c r="B41" s="559"/>
      <c r="C41" s="559">
        <f>C7-B8</f>
        <v>52119326.849999994</v>
      </c>
      <c r="D41" s="559"/>
      <c r="E41" s="559">
        <f>E7-D8-D10</f>
        <v>53407790</v>
      </c>
    </row>
    <row r="42" spans="2:5" s="599" customFormat="1" ht="12.75">
      <c r="B42" s="559"/>
      <c r="C42" s="559">
        <f>C19-B20</f>
        <v>6361596.670000002</v>
      </c>
      <c r="D42" s="559"/>
      <c r="E42" s="559">
        <f>E19-D20-D22</f>
        <v>3528862.000000006</v>
      </c>
    </row>
    <row r="43" spans="2:5" s="599" customFormat="1" ht="12.75">
      <c r="B43" s="559"/>
      <c r="C43" s="559">
        <f>SUM(C41:C42)</f>
        <v>58480923.519999996</v>
      </c>
      <c r="D43" s="559"/>
      <c r="E43" s="559">
        <f>SUM(E41:E42)</f>
        <v>56936652.00000001</v>
      </c>
    </row>
    <row r="44" spans="2:5" s="599" customFormat="1" ht="12.75">
      <c r="B44" s="559"/>
      <c r="C44" s="559">
        <v>-29220699.79</v>
      </c>
      <c r="D44" s="559"/>
      <c r="E44" s="559">
        <v>-29948540</v>
      </c>
    </row>
    <row r="45" spans="2:5" s="599" customFormat="1" ht="12.75">
      <c r="B45" s="559"/>
      <c r="C45" s="559">
        <f>SUM(C43:C44)</f>
        <v>29260223.729999997</v>
      </c>
      <c r="D45" s="559"/>
      <c r="E45" s="559">
        <f>SUM(E43:E44)</f>
        <v>26988112.000000007</v>
      </c>
    </row>
    <row r="46" spans="2:5" s="599" customFormat="1" ht="12.75">
      <c r="B46" s="559"/>
      <c r="C46" s="559"/>
      <c r="D46" s="559"/>
      <c r="E46" s="559"/>
    </row>
    <row r="47" spans="2:5" s="599" customFormat="1" ht="12.75">
      <c r="B47" s="559"/>
      <c r="C47" s="559"/>
      <c r="D47" s="559"/>
      <c r="E47" s="559"/>
    </row>
    <row r="48" spans="2:7" s="599" customFormat="1" ht="12.75">
      <c r="B48" s="559"/>
      <c r="C48" s="559"/>
      <c r="D48" s="559"/>
      <c r="E48" s="559"/>
      <c r="F48" s="559"/>
      <c r="G48" s="559"/>
    </row>
    <row r="49" spans="2:7" s="599" customFormat="1" ht="12.75">
      <c r="B49" s="559"/>
      <c r="C49" s="559"/>
      <c r="D49" s="559"/>
      <c r="E49" s="559"/>
      <c r="F49" s="559"/>
      <c r="G49" s="559"/>
    </row>
    <row r="50" spans="1:7" s="599" customFormat="1" ht="12.75">
      <c r="A50" s="599">
        <v>801</v>
      </c>
      <c r="B50" s="559">
        <f>B9+B21</f>
        <v>8085759</v>
      </c>
      <c r="C50" s="559">
        <f>C9+C21</f>
        <v>155705431.85999998</v>
      </c>
      <c r="D50" s="559">
        <f>D9+D21</f>
        <v>10273412.4</v>
      </c>
      <c r="E50" s="559">
        <f>E9+E21</f>
        <v>160093267.4</v>
      </c>
      <c r="F50" s="559"/>
      <c r="G50" s="559"/>
    </row>
    <row r="51" spans="1:7" s="599" customFormat="1" ht="12.75">
      <c r="A51" s="599">
        <v>804</v>
      </c>
      <c r="B51" s="559">
        <f>B14+B26</f>
        <v>1655503.81</v>
      </c>
      <c r="C51" s="559">
        <f>C14+C26</f>
        <v>13515715.66</v>
      </c>
      <c r="D51" s="559">
        <f>D14+D26</f>
        <v>695530</v>
      </c>
      <c r="E51" s="559">
        <f>E14+E26</f>
        <v>10381693</v>
      </c>
      <c r="F51" s="559"/>
      <c r="G51" s="559"/>
    </row>
    <row r="52" spans="2:7" s="599" customFormat="1" ht="12.75">
      <c r="B52" s="559"/>
      <c r="C52" s="559"/>
      <c r="D52" s="559"/>
      <c r="E52" s="559">
        <f>C51-E51</f>
        <v>3134022.66</v>
      </c>
      <c r="F52" s="559"/>
      <c r="G52" s="559"/>
    </row>
    <row r="53" spans="1:7" s="599" customFormat="1" ht="12.75">
      <c r="A53" s="599" t="s">
        <v>624</v>
      </c>
      <c r="B53" s="559">
        <v>8085759</v>
      </c>
      <c r="C53" s="559">
        <v>155705431.86</v>
      </c>
      <c r="D53" s="559"/>
      <c r="E53" s="559"/>
      <c r="F53" s="559"/>
      <c r="G53" s="559"/>
    </row>
    <row r="54" spans="1:7" s="599" customFormat="1" ht="12.75">
      <c r="A54" s="599" t="s">
        <v>625</v>
      </c>
      <c r="B54" s="559">
        <v>1655503.81</v>
      </c>
      <c r="C54" s="559">
        <v>13515715.66</v>
      </c>
      <c r="D54" s="559"/>
      <c r="E54" s="559"/>
      <c r="F54" s="559"/>
      <c r="G54" s="559"/>
    </row>
    <row r="55" spans="2:7" s="599" customFormat="1" ht="12.75">
      <c r="B55" s="559">
        <f aca="true" t="shared" si="0" ref="B55:E56">B50-B53</f>
        <v>0</v>
      </c>
      <c r="C55" s="559">
        <f t="shared" si="0"/>
        <v>0</v>
      </c>
      <c r="D55" s="559">
        <f t="shared" si="0"/>
        <v>10273412.4</v>
      </c>
      <c r="E55" s="559">
        <f t="shared" si="0"/>
        <v>160093267.4</v>
      </c>
      <c r="F55" s="559"/>
      <c r="G55" s="559"/>
    </row>
    <row r="56" spans="2:7" s="599" customFormat="1" ht="12.75">
      <c r="B56" s="559">
        <f t="shared" si="0"/>
        <v>0</v>
      </c>
      <c r="C56" s="559">
        <f t="shared" si="0"/>
        <v>0</v>
      </c>
      <c r="D56" s="559">
        <f t="shared" si="0"/>
        <v>695530</v>
      </c>
      <c r="E56" s="559">
        <f t="shared" si="0"/>
        <v>10381693</v>
      </c>
      <c r="F56" s="559"/>
      <c r="G56" s="559"/>
    </row>
    <row r="57" spans="2:7" s="599" customFormat="1" ht="12.75">
      <c r="B57" s="559"/>
      <c r="C57" s="559"/>
      <c r="D57" s="559"/>
      <c r="E57" s="559"/>
      <c r="F57" s="559"/>
      <c r="G57" s="559"/>
    </row>
    <row r="58" spans="2:9" ht="12.75">
      <c r="B58" s="325"/>
      <c r="C58" s="325"/>
      <c r="D58" s="325"/>
      <c r="E58" s="325"/>
      <c r="F58" s="325"/>
      <c r="G58" s="325"/>
      <c r="H58" s="325"/>
      <c r="I58" s="325"/>
    </row>
    <row r="59" spans="2:9" ht="12.75">
      <c r="B59" s="325"/>
      <c r="C59" s="325"/>
      <c r="D59" s="325"/>
      <c r="E59" s="325"/>
      <c r="F59" s="325"/>
      <c r="G59" s="325"/>
      <c r="H59" s="325"/>
      <c r="I59" s="325"/>
    </row>
    <row r="60" spans="2:9" ht="12.75">
      <c r="B60" s="325"/>
      <c r="C60" s="325"/>
      <c r="D60" s="325"/>
      <c r="E60" s="325"/>
      <c r="F60" s="325"/>
      <c r="G60" s="325"/>
      <c r="H60" s="325"/>
      <c r="I60" s="325"/>
    </row>
    <row r="61" spans="2:9" ht="12.75">
      <c r="B61" s="325"/>
      <c r="C61" s="325">
        <v>678690.46</v>
      </c>
      <c r="D61" s="325">
        <v>127698.38</v>
      </c>
      <c r="E61" s="325"/>
      <c r="F61" s="325"/>
      <c r="G61" s="325"/>
      <c r="H61" s="325"/>
      <c r="I61" s="325"/>
    </row>
    <row r="62" spans="2:9" ht="12.75">
      <c r="B62" s="325"/>
      <c r="C62" s="325">
        <v>147105.84</v>
      </c>
      <c r="D62" s="325">
        <v>1441.99</v>
      </c>
      <c r="E62" s="325"/>
      <c r="F62" s="325"/>
      <c r="G62" s="325"/>
      <c r="H62" s="325"/>
      <c r="I62" s="325"/>
    </row>
    <row r="63" spans="2:9" ht="12.75">
      <c r="B63" s="325"/>
      <c r="C63" s="325">
        <v>11949.02</v>
      </c>
      <c r="D63" s="325">
        <v>590</v>
      </c>
      <c r="E63" s="325"/>
      <c r="F63" s="325"/>
      <c r="G63" s="325"/>
      <c r="H63" s="325"/>
      <c r="I63" s="325"/>
    </row>
    <row r="64" spans="2:7" ht="12.75">
      <c r="B64" s="325"/>
      <c r="C64" s="325">
        <v>23808</v>
      </c>
      <c r="D64" s="325">
        <v>9520</v>
      </c>
      <c r="E64" s="325"/>
      <c r="F64" s="325"/>
      <c r="G64" s="325"/>
    </row>
    <row r="65" spans="2:7" ht="12.75">
      <c r="B65" s="325"/>
      <c r="C65" s="325">
        <v>13284</v>
      </c>
      <c r="D65" s="325"/>
      <c r="E65" s="325"/>
      <c r="F65" s="325"/>
      <c r="G65" s="325"/>
    </row>
    <row r="66" spans="2:7" ht="12.75">
      <c r="B66" s="325"/>
      <c r="C66" s="462">
        <f>SUM(C61:C65)</f>
        <v>874837.32</v>
      </c>
      <c r="D66" s="462">
        <f>SUM(D61:D65)</f>
        <v>139250.37</v>
      </c>
      <c r="E66" s="325"/>
      <c r="F66" s="325"/>
      <c r="G66" s="325"/>
    </row>
    <row r="67" spans="2:7" ht="12.75">
      <c r="B67" s="325"/>
      <c r="C67" s="325"/>
      <c r="D67" s="325"/>
      <c r="E67" s="325"/>
      <c r="F67" s="325"/>
      <c r="G67" s="325"/>
    </row>
    <row r="68" spans="2:7" ht="12.75">
      <c r="B68" s="325"/>
      <c r="C68" s="325"/>
      <c r="D68" s="325"/>
      <c r="E68" s="325"/>
      <c r="F68" s="325"/>
      <c r="G68" s="325"/>
    </row>
    <row r="72" spans="3:5" ht="12.75">
      <c r="C72" s="325">
        <f>+C14+C26</f>
        <v>13515715.66</v>
      </c>
      <c r="E72" s="325">
        <f>E14+E26</f>
        <v>10381693</v>
      </c>
    </row>
  </sheetData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X198"/>
  <sheetViews>
    <sheetView workbookViewId="0" topLeftCell="A1">
      <selection activeCell="G31" sqref="G31"/>
    </sheetView>
  </sheetViews>
  <sheetFormatPr defaultColWidth="9.140625" defaultRowHeight="12.75"/>
  <cols>
    <col min="1" max="1" width="4.28125" style="30" customWidth="1"/>
    <col min="2" max="2" width="31.28125" style="30" customWidth="1"/>
    <col min="3" max="3" width="9.140625" style="30" customWidth="1"/>
    <col min="4" max="4" width="16.140625" style="30" customWidth="1"/>
    <col min="5" max="5" width="19.28125" style="30" customWidth="1"/>
    <col min="6" max="6" width="17.7109375" style="30" customWidth="1"/>
    <col min="7" max="7" width="18.421875" style="30" customWidth="1"/>
    <col min="8" max="8" width="13.140625" style="30" customWidth="1"/>
    <col min="9" max="9" width="16.00390625" style="30" customWidth="1"/>
    <col min="10" max="10" width="14.00390625" style="30" customWidth="1"/>
    <col min="11" max="11" width="9.140625" style="30" customWidth="1"/>
    <col min="12" max="12" width="14.57421875" style="30" customWidth="1"/>
    <col min="13" max="16384" width="9.140625" style="30" customWidth="1"/>
  </cols>
  <sheetData>
    <row r="1" ht="20.25">
      <c r="J1" s="160"/>
    </row>
    <row r="2" ht="12.75"/>
    <row r="3" spans="1:5" ht="18">
      <c r="A3" s="473"/>
      <c r="B3" s="354"/>
      <c r="C3" s="354"/>
      <c r="D3" s="354"/>
      <c r="E3" s="354"/>
    </row>
    <row r="4" spans="1:5" ht="18">
      <c r="A4" s="473"/>
      <c r="B4" s="354"/>
      <c r="C4" s="354"/>
      <c r="D4" s="354"/>
      <c r="E4" s="354"/>
    </row>
    <row r="5" spans="1:5" ht="15">
      <c r="A5" s="472"/>
      <c r="B5" s="354"/>
      <c r="C5" s="354"/>
      <c r="D5" s="354"/>
      <c r="E5" s="354"/>
    </row>
    <row r="6" spans="6:18" ht="12.75"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</row>
    <row r="7" spans="6:18" ht="12.75"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</row>
    <row r="8" spans="6:18" ht="12.75"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</row>
    <row r="9" spans="1:24" ht="12.75">
      <c r="A9" s="54"/>
      <c r="B9" s="54"/>
      <c r="C9" s="54"/>
      <c r="D9" s="54"/>
      <c r="E9" s="54"/>
      <c r="F9" s="54"/>
      <c r="G9" s="54"/>
      <c r="H9" s="54"/>
      <c r="I9" s="54"/>
      <c r="J9" s="192"/>
      <c r="K9" s="193"/>
      <c r="L9" s="193"/>
      <c r="M9" s="193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</row>
    <row r="10" spans="1:24" ht="12.75">
      <c r="A10" s="54"/>
      <c r="B10" s="54"/>
      <c r="C10" s="54"/>
      <c r="D10" s="54"/>
      <c r="E10" s="54"/>
      <c r="F10" s="54"/>
      <c r="G10" s="54"/>
      <c r="H10" s="54"/>
      <c r="I10" s="54"/>
      <c r="J10" s="192"/>
      <c r="K10" s="193"/>
      <c r="L10" s="193"/>
      <c r="M10" s="193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1:24" ht="12.75">
      <c r="A11" s="54"/>
      <c r="B11" s="54"/>
      <c r="C11" s="54"/>
      <c r="D11" s="54"/>
      <c r="E11" s="54"/>
      <c r="F11" s="54"/>
      <c r="G11" s="54"/>
      <c r="H11" s="54"/>
      <c r="I11" s="54"/>
      <c r="J11" s="192"/>
      <c r="K11" s="193"/>
      <c r="L11" s="193"/>
      <c r="M11" s="193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</row>
    <row r="12" spans="1:24" ht="12.75">
      <c r="A12" s="54"/>
      <c r="B12" s="54"/>
      <c r="C12" s="54"/>
      <c r="D12" s="54"/>
      <c r="E12" s="54"/>
      <c r="F12" s="54"/>
      <c r="G12" s="54"/>
      <c r="H12" s="54"/>
      <c r="I12" s="54"/>
      <c r="J12" s="192"/>
      <c r="K12" s="193"/>
      <c r="L12" s="193"/>
      <c r="M12" s="193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</row>
    <row r="13" spans="1:24" ht="12.75">
      <c r="A13" s="54"/>
      <c r="B13" s="54"/>
      <c r="C13" s="54"/>
      <c r="D13" s="54"/>
      <c r="E13" s="54"/>
      <c r="F13" s="54"/>
      <c r="G13" s="54"/>
      <c r="H13" s="54"/>
      <c r="I13" s="54"/>
      <c r="J13" s="192"/>
      <c r="K13" s="193"/>
      <c r="L13" s="193"/>
      <c r="M13" s="193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2.75">
      <c r="A14" s="54"/>
      <c r="B14" s="54"/>
      <c r="C14" s="54"/>
      <c r="D14" s="54"/>
      <c r="E14" s="54"/>
      <c r="F14" s="54"/>
      <c r="G14" s="54"/>
      <c r="H14" s="54"/>
      <c r="I14" s="54"/>
      <c r="J14" s="192"/>
      <c r="K14" s="193"/>
      <c r="L14" s="193"/>
      <c r="M14" s="193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</row>
    <row r="15" spans="1:24" ht="12.75">
      <c r="A15" s="54"/>
      <c r="B15" s="54"/>
      <c r="C15" s="54"/>
      <c r="D15" s="54"/>
      <c r="E15" s="54"/>
      <c r="F15" s="54"/>
      <c r="G15" s="54"/>
      <c r="H15" s="54"/>
      <c r="I15" s="54"/>
      <c r="J15" s="192"/>
      <c r="K15" s="193"/>
      <c r="L15" s="193"/>
      <c r="M15" s="193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</row>
    <row r="16" spans="1:24" ht="12.75">
      <c r="A16" s="54"/>
      <c r="B16" s="54"/>
      <c r="C16" s="54"/>
      <c r="D16" s="54"/>
      <c r="E16" s="54"/>
      <c r="F16" s="54"/>
      <c r="G16" s="54"/>
      <c r="H16" s="54"/>
      <c r="I16" s="54"/>
      <c r="J16" s="192"/>
      <c r="K16" s="193"/>
      <c r="L16" s="193"/>
      <c r="M16" s="19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</row>
    <row r="17" spans="1:24" ht="12.75">
      <c r="A17" s="54"/>
      <c r="B17" s="54"/>
      <c r="C17" s="54"/>
      <c r="D17" s="54"/>
      <c r="E17" s="54"/>
      <c r="F17" s="54"/>
      <c r="G17" s="54"/>
      <c r="H17" s="54"/>
      <c r="I17" s="54"/>
      <c r="J17" s="192"/>
      <c r="K17" s="193"/>
      <c r="L17" s="193"/>
      <c r="M17" s="19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</row>
    <row r="18" spans="1:24" ht="12.75">
      <c r="A18" s="54"/>
      <c r="B18" s="54"/>
      <c r="C18" s="54"/>
      <c r="D18" s="54"/>
      <c r="E18" s="54"/>
      <c r="F18" s="54"/>
      <c r="G18" s="54"/>
      <c r="H18" s="54"/>
      <c r="I18" s="54"/>
      <c r="J18" s="192"/>
      <c r="K18" s="193"/>
      <c r="L18" s="193"/>
      <c r="M18" s="19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1:24" ht="12.75">
      <c r="A19" s="54"/>
      <c r="B19" s="54"/>
      <c r="C19" s="54"/>
      <c r="D19" s="54"/>
      <c r="E19" s="54"/>
      <c r="F19" s="54"/>
      <c r="G19" s="54"/>
      <c r="H19" s="54"/>
      <c r="I19" s="54"/>
      <c r="J19" s="192"/>
      <c r="K19" s="193"/>
      <c r="L19" s="193"/>
      <c r="M19" s="193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</row>
    <row r="20" spans="1:24" ht="12.75">
      <c r="A20" s="54"/>
      <c r="B20" s="54"/>
      <c r="C20" s="54"/>
      <c r="D20" s="54"/>
      <c r="E20" s="54"/>
      <c r="F20" s="54"/>
      <c r="G20" s="54"/>
      <c r="H20" s="54"/>
      <c r="I20" s="54"/>
      <c r="J20" s="192"/>
      <c r="K20" s="193"/>
      <c r="L20" s="193"/>
      <c r="M20" s="193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</row>
    <row r="21" spans="1:24" ht="12.75">
      <c r="A21" s="54"/>
      <c r="B21" s="54"/>
      <c r="C21" s="54"/>
      <c r="D21" s="54"/>
      <c r="E21" s="54"/>
      <c r="F21" s="54"/>
      <c r="G21" s="54"/>
      <c r="H21" s="54"/>
      <c r="I21" s="54"/>
      <c r="J21" s="192"/>
      <c r="K21" s="193"/>
      <c r="L21" s="193"/>
      <c r="M21" s="19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2" spans="1:24" ht="12.75">
      <c r="A22" s="54"/>
      <c r="B22" s="54"/>
      <c r="C22" s="54"/>
      <c r="D22" s="54"/>
      <c r="E22" s="54"/>
      <c r="F22" s="54"/>
      <c r="G22" s="54"/>
      <c r="H22" s="54"/>
      <c r="I22" s="54"/>
      <c r="J22" s="192"/>
      <c r="K22" s="193"/>
      <c r="L22" s="193"/>
      <c r="M22" s="193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1:24" ht="12.75">
      <c r="A23" s="54"/>
      <c r="B23" s="54"/>
      <c r="C23" s="54"/>
      <c r="D23" s="54"/>
      <c r="E23" s="54"/>
      <c r="F23" s="54"/>
      <c r="G23" s="54"/>
      <c r="H23" s="54"/>
      <c r="I23" s="54"/>
      <c r="J23" s="192"/>
      <c r="K23" s="193"/>
      <c r="L23" s="193"/>
      <c r="M23" s="193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</row>
    <row r="24" spans="1:24" ht="12.75">
      <c r="A24" s="54"/>
      <c r="B24" s="54"/>
      <c r="C24" s="54"/>
      <c r="D24" s="54"/>
      <c r="E24" s="54"/>
      <c r="F24" s="54"/>
      <c r="G24" s="54"/>
      <c r="H24" s="54"/>
      <c r="I24" s="54"/>
      <c r="J24" s="192"/>
      <c r="K24" s="193"/>
      <c r="L24" s="193"/>
      <c r="M24" s="193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</row>
    <row r="25" spans="1:24" ht="12.75">
      <c r="A25" s="54"/>
      <c r="B25" s="54"/>
      <c r="C25" s="54"/>
      <c r="D25" s="54"/>
      <c r="E25" s="54"/>
      <c r="F25" s="54"/>
      <c r="G25" s="54"/>
      <c r="H25" s="54"/>
      <c r="I25" s="54"/>
      <c r="J25" s="192"/>
      <c r="K25" s="193"/>
      <c r="L25" s="193"/>
      <c r="M25" s="19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</row>
    <row r="26" spans="1:24" ht="12.75">
      <c r="A26" s="54"/>
      <c r="B26" s="54"/>
      <c r="C26" s="54"/>
      <c r="D26" s="54"/>
      <c r="E26" s="54"/>
      <c r="F26" s="54"/>
      <c r="G26" s="54"/>
      <c r="H26" s="54"/>
      <c r="I26" s="54"/>
      <c r="J26" s="192"/>
      <c r="K26" s="193"/>
      <c r="L26" s="193"/>
      <c r="M26" s="19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</row>
    <row r="27" spans="1:24" ht="12.75">
      <c r="A27" s="54"/>
      <c r="B27" s="54"/>
      <c r="C27" s="54"/>
      <c r="D27" s="54"/>
      <c r="E27" s="54"/>
      <c r="F27" s="54"/>
      <c r="G27" s="54"/>
      <c r="H27" s="54"/>
      <c r="I27" s="54"/>
      <c r="J27" s="192"/>
      <c r="K27" s="193"/>
      <c r="L27" s="193"/>
      <c r="M27" s="19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</row>
    <row r="28" spans="1:24" ht="12.75">
      <c r="A28" s="54"/>
      <c r="B28" s="54"/>
      <c r="C28" s="54"/>
      <c r="D28" s="54"/>
      <c r="E28" s="54"/>
      <c r="F28" s="54"/>
      <c r="G28" s="54"/>
      <c r="H28" s="54"/>
      <c r="I28" s="54"/>
      <c r="J28" s="192"/>
      <c r="K28" s="193"/>
      <c r="L28" s="193"/>
      <c r="M28" s="19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1:24" ht="12.75">
      <c r="A29" s="54"/>
      <c r="B29" s="54"/>
      <c r="C29" s="54"/>
      <c r="D29" s="54"/>
      <c r="E29" s="54"/>
      <c r="F29" s="54"/>
      <c r="G29" s="54"/>
      <c r="H29" s="54"/>
      <c r="I29" s="54"/>
      <c r="J29" s="192"/>
      <c r="K29" s="193"/>
      <c r="L29" s="193"/>
      <c r="M29" s="193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ht="12.75">
      <c r="A30" s="54"/>
      <c r="B30" s="54"/>
      <c r="C30" s="54"/>
      <c r="D30" s="54"/>
      <c r="E30" s="54"/>
      <c r="F30" s="54"/>
      <c r="G30" s="54"/>
      <c r="H30" s="54"/>
      <c r="I30" s="54"/>
      <c r="J30" s="192"/>
      <c r="K30" s="193"/>
      <c r="L30" s="193"/>
      <c r="M30" s="193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  <row r="31" spans="1:24" ht="12.75">
      <c r="A31" s="54"/>
      <c r="B31" s="54"/>
      <c r="C31" s="54"/>
      <c r="D31" s="54"/>
      <c r="E31" s="54"/>
      <c r="F31" s="54"/>
      <c r="G31" s="54"/>
      <c r="H31" s="54"/>
      <c r="I31" s="54"/>
      <c r="J31" s="192"/>
      <c r="K31" s="193"/>
      <c r="L31" s="193"/>
      <c r="M31" s="193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</row>
    <row r="32" spans="1:24" ht="12.75">
      <c r="A32" s="54"/>
      <c r="B32" s="54"/>
      <c r="C32" s="54"/>
      <c r="D32" s="54"/>
      <c r="E32" s="54"/>
      <c r="F32" s="54"/>
      <c r="G32" s="54"/>
      <c r="H32" s="54"/>
      <c r="I32" s="54"/>
      <c r="J32" s="192"/>
      <c r="K32" s="193"/>
      <c r="L32" s="193"/>
      <c r="M32" s="193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 ht="12.75">
      <c r="A33" s="54"/>
      <c r="B33" s="54"/>
      <c r="C33" s="54"/>
      <c r="D33" s="54"/>
      <c r="E33" s="54"/>
      <c r="F33" s="54"/>
      <c r="G33" s="54"/>
      <c r="H33" s="54"/>
      <c r="I33" s="54"/>
      <c r="J33" s="192"/>
      <c r="K33" s="193"/>
      <c r="L33" s="193"/>
      <c r="M33" s="193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</row>
    <row r="34" spans="1:24" ht="12.75">
      <c r="A34" s="54"/>
      <c r="B34" s="54"/>
      <c r="C34" s="54"/>
      <c r="D34" s="54"/>
      <c r="E34" s="54"/>
      <c r="F34" s="54"/>
      <c r="G34" s="54"/>
      <c r="H34" s="54"/>
      <c r="I34" s="54"/>
      <c r="J34" s="192"/>
      <c r="K34" s="193"/>
      <c r="L34" s="193"/>
      <c r="M34" s="193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</row>
    <row r="35" spans="1:24" ht="12.75">
      <c r="A35" s="54"/>
      <c r="B35" s="54"/>
      <c r="C35" s="54"/>
      <c r="D35" s="54"/>
      <c r="E35" s="54"/>
      <c r="F35" s="54"/>
      <c r="G35" s="54"/>
      <c r="H35" s="54"/>
      <c r="I35" s="54"/>
      <c r="J35" s="192"/>
      <c r="K35" s="193"/>
      <c r="L35" s="193"/>
      <c r="M35" s="193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1:24" ht="12.75">
      <c r="A36" s="54"/>
      <c r="B36" s="54"/>
      <c r="C36" s="54"/>
      <c r="D36" s="54"/>
      <c r="E36" s="54"/>
      <c r="F36" s="54"/>
      <c r="G36" s="54"/>
      <c r="H36" s="54"/>
      <c r="I36" s="54"/>
      <c r="J36" s="192"/>
      <c r="K36" s="193"/>
      <c r="L36" s="193"/>
      <c r="M36" s="193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1:24" ht="12.75">
      <c r="A37" s="54"/>
      <c r="B37" s="54"/>
      <c r="C37" s="54"/>
      <c r="D37" s="54"/>
      <c r="E37" s="54"/>
      <c r="F37" s="54"/>
      <c r="G37" s="54"/>
      <c r="H37" s="54"/>
      <c r="I37" s="54"/>
      <c r="J37" s="192"/>
      <c r="K37" s="193"/>
      <c r="L37" s="193"/>
      <c r="M37" s="193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1:24" ht="12.75">
      <c r="A38" s="54"/>
      <c r="B38" s="54"/>
      <c r="C38" s="54"/>
      <c r="D38" s="54"/>
      <c r="E38" s="54"/>
      <c r="F38" s="54"/>
      <c r="G38" s="54"/>
      <c r="H38" s="54"/>
      <c r="I38" s="54"/>
      <c r="J38" s="192"/>
      <c r="K38" s="193"/>
      <c r="L38" s="193"/>
      <c r="M38" s="193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1:24" ht="12.75">
      <c r="A39" s="54"/>
      <c r="B39" s="54"/>
      <c r="C39" s="54"/>
      <c r="D39" s="54"/>
      <c r="E39" s="54"/>
      <c r="F39" s="54"/>
      <c r="G39" s="54"/>
      <c r="H39" s="54"/>
      <c r="I39" s="54"/>
      <c r="J39" s="192"/>
      <c r="K39" s="193"/>
      <c r="L39" s="193"/>
      <c r="M39" s="193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:24" ht="12.75">
      <c r="A40" s="54"/>
      <c r="B40" s="54"/>
      <c r="C40" s="54"/>
      <c r="D40" s="54"/>
      <c r="E40" s="54"/>
      <c r="F40" s="54"/>
      <c r="G40" s="54"/>
      <c r="H40" s="54"/>
      <c r="I40" s="54"/>
      <c r="J40" s="192"/>
      <c r="K40" s="193"/>
      <c r="L40" s="193"/>
      <c r="M40" s="193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4" ht="12.75">
      <c r="A41" s="54"/>
      <c r="B41" s="54"/>
      <c r="C41" s="54"/>
      <c r="D41" s="54"/>
      <c r="E41" s="54"/>
      <c r="F41" s="54"/>
      <c r="G41" s="54"/>
      <c r="H41" s="54"/>
      <c r="I41" s="54"/>
      <c r="J41" s="192"/>
      <c r="K41" s="193"/>
      <c r="L41" s="193"/>
      <c r="M41" s="193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1:24" ht="12.75">
      <c r="A42" s="54"/>
      <c r="B42" s="54"/>
      <c r="C42" s="54"/>
      <c r="D42" s="54"/>
      <c r="E42" s="54"/>
      <c r="F42" s="54"/>
      <c r="G42" s="54"/>
      <c r="H42" s="54"/>
      <c r="I42" s="54"/>
      <c r="J42" s="192"/>
      <c r="K42" s="193"/>
      <c r="L42" s="193"/>
      <c r="M42" s="193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24" ht="12.75">
      <c r="A43" s="54"/>
      <c r="B43" s="54"/>
      <c r="C43" s="54"/>
      <c r="D43" s="54"/>
      <c r="E43" s="54"/>
      <c r="F43" s="54"/>
      <c r="G43" s="54"/>
      <c r="H43" s="54"/>
      <c r="I43" s="54"/>
      <c r="J43" s="192"/>
      <c r="K43" s="193"/>
      <c r="L43" s="193"/>
      <c r="M43" s="193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24" ht="12.75">
      <c r="A44" s="54"/>
      <c r="B44" s="54"/>
      <c r="C44" s="54"/>
      <c r="D44" s="54"/>
      <c r="E44" s="54"/>
      <c r="F44" s="54"/>
      <c r="G44" s="54"/>
      <c r="H44" s="54"/>
      <c r="I44" s="54"/>
      <c r="J44" s="192"/>
      <c r="K44" s="193"/>
      <c r="L44" s="193"/>
      <c r="M44" s="193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24" ht="12.75">
      <c r="A45" s="54"/>
      <c r="B45" s="54"/>
      <c r="C45" s="54"/>
      <c r="D45" s="54"/>
      <c r="E45" s="54"/>
      <c r="F45" s="54"/>
      <c r="G45" s="54"/>
      <c r="H45" s="54"/>
      <c r="I45" s="54"/>
      <c r="J45" s="192"/>
      <c r="K45" s="193"/>
      <c r="L45" s="193"/>
      <c r="M45" s="193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</row>
    <row r="46" spans="1:24" ht="12.75">
      <c r="A46" s="54"/>
      <c r="B46" s="54"/>
      <c r="C46" s="54"/>
      <c r="D46" s="54"/>
      <c r="E46" s="54"/>
      <c r="F46" s="54"/>
      <c r="G46" s="54"/>
      <c r="H46" s="54"/>
      <c r="I46" s="54"/>
      <c r="J46" s="192"/>
      <c r="K46" s="193"/>
      <c r="L46" s="193"/>
      <c r="M46" s="193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</row>
    <row r="47" spans="1:24" ht="12.75">
      <c r="A47" s="54"/>
      <c r="B47" s="54"/>
      <c r="C47" s="54"/>
      <c r="D47" s="54"/>
      <c r="E47" s="54"/>
      <c r="F47" s="54"/>
      <c r="G47" s="54"/>
      <c r="H47" s="54"/>
      <c r="I47" s="54"/>
      <c r="J47" s="192"/>
      <c r="K47" s="193"/>
      <c r="L47" s="193"/>
      <c r="M47" s="193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</row>
    <row r="48" spans="1:24" ht="12.75">
      <c r="A48" s="54"/>
      <c r="B48" s="54"/>
      <c r="C48" s="54"/>
      <c r="D48" s="54"/>
      <c r="E48" s="54"/>
      <c r="F48" s="54"/>
      <c r="G48" s="54"/>
      <c r="H48" s="54"/>
      <c r="I48" s="54"/>
      <c r="J48" s="192"/>
      <c r="K48" s="193"/>
      <c r="L48" s="193"/>
      <c r="M48" s="193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ht="12.75">
      <c r="A49" s="54"/>
      <c r="B49" s="54"/>
      <c r="C49" s="54"/>
      <c r="D49" s="54"/>
      <c r="E49" s="54"/>
      <c r="F49" s="54"/>
      <c r="G49" s="54"/>
      <c r="H49" s="54"/>
      <c r="I49" s="54"/>
      <c r="J49" s="192"/>
      <c r="K49" s="193"/>
      <c r="L49" s="193"/>
      <c r="M49" s="193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1:24" ht="12.75">
      <c r="A50" s="54"/>
      <c r="B50" s="54"/>
      <c r="C50" s="54"/>
      <c r="D50" s="54"/>
      <c r="E50" s="54"/>
      <c r="F50" s="54"/>
      <c r="G50" s="54"/>
      <c r="H50" s="54"/>
      <c r="I50" s="54"/>
      <c r="J50" s="192"/>
      <c r="K50" s="193"/>
      <c r="L50" s="193"/>
      <c r="M50" s="193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1:24" ht="12.75">
      <c r="A51" s="54"/>
      <c r="B51" s="54"/>
      <c r="C51" s="54"/>
      <c r="D51" s="54"/>
      <c r="E51" s="54"/>
      <c r="F51" s="54"/>
      <c r="G51" s="54"/>
      <c r="H51" s="54"/>
      <c r="I51" s="54"/>
      <c r="J51" s="192"/>
      <c r="K51" s="193"/>
      <c r="L51" s="193"/>
      <c r="M51" s="193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</row>
    <row r="52" spans="1:24" ht="12.75">
      <c r="A52" s="54"/>
      <c r="B52" s="54"/>
      <c r="C52" s="54"/>
      <c r="D52" s="54"/>
      <c r="E52" s="54"/>
      <c r="F52" s="54"/>
      <c r="G52" s="54"/>
      <c r="H52" s="54"/>
      <c r="I52" s="54"/>
      <c r="J52" s="192"/>
      <c r="K52" s="193"/>
      <c r="L52" s="193"/>
      <c r="M52" s="193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ht="12.75">
      <c r="A53" s="54"/>
      <c r="B53" s="54"/>
      <c r="C53" s="54"/>
      <c r="D53" s="54"/>
      <c r="E53" s="54"/>
      <c r="F53" s="54"/>
      <c r="G53" s="54"/>
      <c r="H53" s="54"/>
      <c r="I53" s="54"/>
      <c r="J53" s="192"/>
      <c r="K53" s="193"/>
      <c r="L53" s="193"/>
      <c r="M53" s="193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ht="12.75">
      <c r="A54" s="54"/>
      <c r="B54" s="54"/>
      <c r="C54" s="54"/>
      <c r="D54" s="54"/>
      <c r="E54" s="54"/>
      <c r="F54" s="54"/>
      <c r="G54" s="54"/>
      <c r="H54" s="54"/>
      <c r="I54" s="54"/>
      <c r="J54" s="192"/>
      <c r="K54" s="193"/>
      <c r="L54" s="193"/>
      <c r="M54" s="193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  <row r="55" spans="1:24" ht="12.75">
      <c r="A55" s="54"/>
      <c r="B55" s="54"/>
      <c r="C55" s="54"/>
      <c r="D55" s="54"/>
      <c r="E55" s="54"/>
      <c r="F55" s="54"/>
      <c r="G55" s="54"/>
      <c r="H55" s="54"/>
      <c r="I55" s="54"/>
      <c r="J55" s="192"/>
      <c r="K55" s="193"/>
      <c r="L55" s="193"/>
      <c r="M55" s="193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1:24" ht="12.75">
      <c r="A56" s="54"/>
      <c r="B56" s="54"/>
      <c r="C56" s="54"/>
      <c r="D56" s="54"/>
      <c r="E56" s="54"/>
      <c r="F56" s="54"/>
      <c r="G56" s="54"/>
      <c r="H56" s="54"/>
      <c r="I56" s="54"/>
      <c r="J56" s="192"/>
      <c r="K56" s="193"/>
      <c r="L56" s="193"/>
      <c r="M56" s="193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1:24" ht="12.75">
      <c r="A57" s="54"/>
      <c r="B57" s="54"/>
      <c r="C57" s="54"/>
      <c r="D57" s="54"/>
      <c r="E57" s="54"/>
      <c r="F57" s="54"/>
      <c r="G57" s="54"/>
      <c r="H57" s="54"/>
      <c r="I57" s="54"/>
      <c r="J57" s="192"/>
      <c r="K57" s="193"/>
      <c r="L57" s="193"/>
      <c r="M57" s="193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1:24" ht="12.75">
      <c r="A58" s="54"/>
      <c r="B58" s="54"/>
      <c r="C58" s="54"/>
      <c r="D58" s="54"/>
      <c r="E58" s="54"/>
      <c r="F58" s="54"/>
      <c r="G58" s="54"/>
      <c r="H58" s="54"/>
      <c r="I58" s="54"/>
      <c r="J58" s="192"/>
      <c r="K58" s="193"/>
      <c r="L58" s="193"/>
      <c r="M58" s="193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1:24" ht="12.75">
      <c r="A59" s="54"/>
      <c r="B59" s="54"/>
      <c r="C59" s="54"/>
      <c r="D59" s="54"/>
      <c r="E59" s="54"/>
      <c r="F59" s="54"/>
      <c r="G59" s="54"/>
      <c r="H59" s="54"/>
      <c r="I59" s="54"/>
      <c r="J59" s="192"/>
      <c r="K59" s="193"/>
      <c r="L59" s="193"/>
      <c r="M59" s="193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1:24" ht="12.75">
      <c r="A60" s="54"/>
      <c r="B60" s="54"/>
      <c r="C60" s="54"/>
      <c r="D60" s="54"/>
      <c r="E60" s="54"/>
      <c r="F60" s="54"/>
      <c r="G60" s="54"/>
      <c r="H60" s="54"/>
      <c r="I60" s="54"/>
      <c r="J60" s="192"/>
      <c r="K60" s="193"/>
      <c r="L60" s="193"/>
      <c r="M60" s="193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 ht="12.75">
      <c r="A61" s="54"/>
      <c r="B61" s="54"/>
      <c r="C61" s="54"/>
      <c r="D61" s="54"/>
      <c r="E61" s="54"/>
      <c r="F61" s="54"/>
      <c r="G61" s="54"/>
      <c r="H61" s="54"/>
      <c r="I61" s="54"/>
      <c r="J61" s="192"/>
      <c r="K61" s="193"/>
      <c r="L61" s="193"/>
      <c r="M61" s="193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1:24" ht="12.75">
      <c r="A62" s="54"/>
      <c r="B62" s="54"/>
      <c r="C62" s="54"/>
      <c r="D62" s="54"/>
      <c r="E62" s="54"/>
      <c r="F62" s="54"/>
      <c r="G62" s="54"/>
      <c r="H62" s="54"/>
      <c r="I62" s="54"/>
      <c r="J62" s="192"/>
      <c r="K62" s="193"/>
      <c r="L62" s="193"/>
      <c r="M62" s="193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1:24" ht="12.75">
      <c r="A63" s="54"/>
      <c r="B63" s="54"/>
      <c r="C63" s="54"/>
      <c r="D63" s="54"/>
      <c r="E63" s="54"/>
      <c r="F63" s="54"/>
      <c r="G63" s="54"/>
      <c r="H63" s="54"/>
      <c r="I63" s="54"/>
      <c r="J63" s="192"/>
      <c r="K63" s="193"/>
      <c r="L63" s="193"/>
      <c r="M63" s="193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24" ht="12.75">
      <c r="A64" s="54"/>
      <c r="B64" s="54"/>
      <c r="C64" s="54"/>
      <c r="D64" s="54"/>
      <c r="E64" s="54"/>
      <c r="F64" s="54"/>
      <c r="G64" s="54"/>
      <c r="H64" s="54"/>
      <c r="I64" s="54"/>
      <c r="J64" s="192"/>
      <c r="K64" s="193"/>
      <c r="L64" s="193"/>
      <c r="M64" s="193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</row>
    <row r="65" spans="1:24" ht="12.75">
      <c r="A65" s="54"/>
      <c r="B65" s="54"/>
      <c r="C65" s="54"/>
      <c r="D65" s="54"/>
      <c r="E65" s="54"/>
      <c r="F65" s="54"/>
      <c r="G65" s="54"/>
      <c r="H65" s="54"/>
      <c r="I65" s="54"/>
      <c r="J65" s="192"/>
      <c r="K65" s="193"/>
      <c r="L65" s="193"/>
      <c r="M65" s="193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1:24" ht="12.75">
      <c r="A66" s="54"/>
      <c r="B66" s="54"/>
      <c r="C66" s="54"/>
      <c r="D66" s="54"/>
      <c r="E66" s="54"/>
      <c r="F66" s="54"/>
      <c r="G66" s="54"/>
      <c r="H66" s="54"/>
      <c r="I66" s="54"/>
      <c r="J66" s="192"/>
      <c r="K66" s="193"/>
      <c r="L66" s="193"/>
      <c r="M66" s="193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1:24" ht="12.75">
      <c r="A67" s="54"/>
      <c r="B67" s="54"/>
      <c r="C67" s="54"/>
      <c r="D67" s="54"/>
      <c r="E67" s="54"/>
      <c r="F67" s="54"/>
      <c r="G67" s="54"/>
      <c r="H67" s="54"/>
      <c r="I67" s="54"/>
      <c r="J67" s="192"/>
      <c r="K67" s="193"/>
      <c r="L67" s="193"/>
      <c r="M67" s="193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1:24" ht="12.75">
      <c r="A68" s="54"/>
      <c r="B68" s="54"/>
      <c r="C68" s="54"/>
      <c r="D68" s="54"/>
      <c r="E68" s="54"/>
      <c r="F68" s="54"/>
      <c r="G68" s="54"/>
      <c r="H68" s="54"/>
      <c r="I68" s="54"/>
      <c r="J68" s="192"/>
      <c r="K68" s="193"/>
      <c r="L68" s="193"/>
      <c r="M68" s="193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1:24" ht="12.75">
      <c r="A69" s="54"/>
      <c r="B69" s="54"/>
      <c r="C69" s="54"/>
      <c r="D69" s="54"/>
      <c r="E69" s="54"/>
      <c r="F69" s="54"/>
      <c r="G69" s="54"/>
      <c r="H69" s="54"/>
      <c r="I69" s="54"/>
      <c r="J69" s="192"/>
      <c r="K69" s="193"/>
      <c r="L69" s="193"/>
      <c r="M69" s="193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  <row r="70" spans="1:24" ht="12.75">
      <c r="A70" s="54"/>
      <c r="B70" s="54"/>
      <c r="C70" s="54"/>
      <c r="D70" s="54"/>
      <c r="E70" s="54"/>
      <c r="F70" s="54"/>
      <c r="G70" s="54"/>
      <c r="H70" s="54"/>
      <c r="I70" s="54"/>
      <c r="J70" s="192"/>
      <c r="K70" s="193"/>
      <c r="L70" s="193"/>
      <c r="M70" s="193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</row>
    <row r="71" spans="1:24" ht="12.75">
      <c r="A71" s="54"/>
      <c r="B71" s="54"/>
      <c r="C71" s="54"/>
      <c r="D71" s="54"/>
      <c r="E71" s="54"/>
      <c r="F71" s="54"/>
      <c r="G71" s="54"/>
      <c r="H71" s="54"/>
      <c r="I71" s="54"/>
      <c r="J71" s="192"/>
      <c r="K71" s="193"/>
      <c r="L71" s="193"/>
      <c r="M71" s="193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</row>
    <row r="72" spans="1:24" ht="12.75">
      <c r="A72" s="54"/>
      <c r="B72" s="54"/>
      <c r="C72" s="54"/>
      <c r="D72" s="54"/>
      <c r="E72" s="54"/>
      <c r="F72" s="54"/>
      <c r="G72" s="54"/>
      <c r="H72" s="54"/>
      <c r="I72" s="54"/>
      <c r="J72" s="192"/>
      <c r="K72" s="193"/>
      <c r="L72" s="193"/>
      <c r="M72" s="193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1:24" ht="12.75">
      <c r="A73" s="54"/>
      <c r="B73" s="54"/>
      <c r="C73" s="54"/>
      <c r="D73" s="54"/>
      <c r="E73" s="54"/>
      <c r="F73" s="54"/>
      <c r="G73" s="54"/>
      <c r="H73" s="54"/>
      <c r="I73" s="54"/>
      <c r="J73" s="192"/>
      <c r="K73" s="193"/>
      <c r="L73" s="193"/>
      <c r="M73" s="193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</row>
    <row r="74" spans="1:24" ht="12.75">
      <c r="A74" s="54"/>
      <c r="B74" s="54"/>
      <c r="C74" s="54"/>
      <c r="D74" s="54"/>
      <c r="E74" s="54"/>
      <c r="F74" s="54"/>
      <c r="G74" s="54"/>
      <c r="H74" s="54"/>
      <c r="I74" s="54"/>
      <c r="J74" s="192"/>
      <c r="K74" s="193"/>
      <c r="L74" s="193"/>
      <c r="M74" s="193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</row>
    <row r="75" spans="1:24" ht="12.75">
      <c r="A75" s="54"/>
      <c r="B75" s="54"/>
      <c r="C75" s="54"/>
      <c r="D75" s="54"/>
      <c r="E75" s="54"/>
      <c r="F75" s="54"/>
      <c r="G75" s="54"/>
      <c r="H75" s="54"/>
      <c r="I75" s="54"/>
      <c r="J75" s="192"/>
      <c r="K75" s="193"/>
      <c r="L75" s="193"/>
      <c r="M75" s="193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</row>
    <row r="76" spans="1:24" ht="12.75">
      <c r="A76" s="54"/>
      <c r="B76" s="54"/>
      <c r="C76" s="54"/>
      <c r="D76" s="54"/>
      <c r="E76" s="54"/>
      <c r="F76" s="54"/>
      <c r="G76" s="54"/>
      <c r="H76" s="54"/>
      <c r="I76" s="54"/>
      <c r="J76" s="192"/>
      <c r="K76" s="193"/>
      <c r="L76" s="193"/>
      <c r="M76" s="193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</row>
    <row r="77" spans="1:24" ht="12.75">
      <c r="A77" s="54"/>
      <c r="B77" s="54"/>
      <c r="C77" s="54"/>
      <c r="D77" s="54"/>
      <c r="E77" s="54"/>
      <c r="F77" s="54"/>
      <c r="G77" s="54"/>
      <c r="H77" s="54"/>
      <c r="I77" s="54"/>
      <c r="J77" s="192"/>
      <c r="K77" s="193"/>
      <c r="L77" s="193"/>
      <c r="M77" s="193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</row>
    <row r="78" spans="1:24" ht="12.75">
      <c r="A78" s="54"/>
      <c r="B78" s="54"/>
      <c r="C78" s="54"/>
      <c r="D78" s="54"/>
      <c r="E78" s="54"/>
      <c r="F78" s="54"/>
      <c r="G78" s="54"/>
      <c r="H78" s="54"/>
      <c r="I78" s="54"/>
      <c r="J78" s="192"/>
      <c r="K78" s="193"/>
      <c r="L78" s="193"/>
      <c r="M78" s="193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</row>
    <row r="79" spans="1:24" ht="12.75">
      <c r="A79" s="54"/>
      <c r="B79" s="54"/>
      <c r="C79" s="54"/>
      <c r="D79" s="54"/>
      <c r="E79" s="54"/>
      <c r="F79" s="54"/>
      <c r="G79" s="54"/>
      <c r="H79" s="54"/>
      <c r="I79" s="54"/>
      <c r="J79" s="192"/>
      <c r="K79" s="193"/>
      <c r="L79" s="193"/>
      <c r="M79" s="193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</row>
    <row r="80" spans="1:24" ht="12.75">
      <c r="A80" s="54"/>
      <c r="B80" s="54"/>
      <c r="C80" s="54"/>
      <c r="D80" s="54"/>
      <c r="E80" s="54"/>
      <c r="F80" s="54"/>
      <c r="G80" s="54"/>
      <c r="H80" s="54"/>
      <c r="I80" s="54"/>
      <c r="J80" s="192"/>
      <c r="K80" s="193"/>
      <c r="L80" s="193"/>
      <c r="M80" s="193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</row>
    <row r="81" spans="1:24" ht="12.75">
      <c r="A81" s="54"/>
      <c r="B81" s="54"/>
      <c r="C81" s="54"/>
      <c r="D81" s="54"/>
      <c r="E81" s="54"/>
      <c r="F81" s="54"/>
      <c r="G81" s="54"/>
      <c r="H81" s="54"/>
      <c r="I81" s="54"/>
      <c r="J81" s="192"/>
      <c r="K81" s="193"/>
      <c r="L81" s="193"/>
      <c r="M81" s="193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</row>
    <row r="82" spans="1:24" ht="12.75">
      <c r="A82" s="54"/>
      <c r="B82" s="54"/>
      <c r="C82" s="54"/>
      <c r="D82" s="54"/>
      <c r="E82" s="54"/>
      <c r="F82" s="54"/>
      <c r="G82" s="54"/>
      <c r="H82" s="54"/>
      <c r="I82" s="54"/>
      <c r="J82" s="192"/>
      <c r="K82" s="193"/>
      <c r="L82" s="193"/>
      <c r="M82" s="193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</row>
    <row r="83" spans="1:24" ht="12.75">
      <c r="A83" s="54"/>
      <c r="B83" s="54"/>
      <c r="C83" s="54"/>
      <c r="D83" s="54"/>
      <c r="E83" s="54"/>
      <c r="F83" s="54"/>
      <c r="G83" s="54"/>
      <c r="H83" s="54"/>
      <c r="I83" s="54"/>
      <c r="J83" s="192"/>
      <c r="K83" s="193"/>
      <c r="L83" s="193"/>
      <c r="M83" s="193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</row>
    <row r="84" spans="1:24" ht="12.75">
      <c r="A84" s="54"/>
      <c r="B84" s="54"/>
      <c r="C84" s="54"/>
      <c r="D84" s="54"/>
      <c r="E84" s="54"/>
      <c r="F84" s="54"/>
      <c r="G84" s="54"/>
      <c r="H84" s="54"/>
      <c r="I84" s="54"/>
      <c r="J84" s="192"/>
      <c r="K84" s="193"/>
      <c r="L84" s="193"/>
      <c r="M84" s="193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</row>
    <row r="85" spans="1:24" ht="12.75">
      <c r="A85" s="54"/>
      <c r="B85" s="54"/>
      <c r="C85" s="54"/>
      <c r="D85" s="54"/>
      <c r="E85" s="54"/>
      <c r="F85" s="54"/>
      <c r="G85" s="54"/>
      <c r="H85" s="54"/>
      <c r="I85" s="54"/>
      <c r="J85" s="192"/>
      <c r="K85" s="193"/>
      <c r="L85" s="193"/>
      <c r="M85" s="193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</row>
    <row r="86" spans="1:24" ht="12.75">
      <c r="A86" s="54"/>
      <c r="B86" s="54"/>
      <c r="C86" s="54"/>
      <c r="D86" s="54"/>
      <c r="E86" s="54"/>
      <c r="F86" s="54"/>
      <c r="G86" s="54"/>
      <c r="H86" s="54"/>
      <c r="I86" s="54"/>
      <c r="J86" s="192"/>
      <c r="K86" s="193"/>
      <c r="L86" s="193"/>
      <c r="M86" s="193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</row>
    <row r="87" spans="1:24" ht="12.75">
      <c r="A87" s="54"/>
      <c r="B87" s="54"/>
      <c r="C87" s="54"/>
      <c r="D87" s="54"/>
      <c r="E87" s="54"/>
      <c r="F87" s="54"/>
      <c r="G87" s="54"/>
      <c r="H87" s="54"/>
      <c r="I87" s="54"/>
      <c r="J87" s="192"/>
      <c r="K87" s="193"/>
      <c r="L87" s="193"/>
      <c r="M87" s="193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</row>
    <row r="88" spans="1:24" ht="12.75">
      <c r="A88" s="54"/>
      <c r="B88" s="54"/>
      <c r="C88" s="54"/>
      <c r="D88" s="54"/>
      <c r="E88" s="54"/>
      <c r="F88" s="54"/>
      <c r="G88" s="54"/>
      <c r="H88" s="54"/>
      <c r="I88" s="54"/>
      <c r="J88" s="192"/>
      <c r="K88" s="193"/>
      <c r="L88" s="193"/>
      <c r="M88" s="193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</row>
    <row r="89" spans="1:24" ht="12.75">
      <c r="A89" s="54"/>
      <c r="B89" s="54"/>
      <c r="C89" s="54"/>
      <c r="D89" s="54"/>
      <c r="E89" s="54"/>
      <c r="F89" s="54"/>
      <c r="G89" s="54"/>
      <c r="H89" s="54"/>
      <c r="I89" s="54"/>
      <c r="J89" s="192"/>
      <c r="K89" s="193"/>
      <c r="L89" s="193"/>
      <c r="M89" s="193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</row>
    <row r="90" spans="1:24" ht="12.75">
      <c r="A90" s="54"/>
      <c r="B90" s="54"/>
      <c r="C90" s="54"/>
      <c r="D90" s="54"/>
      <c r="E90" s="54"/>
      <c r="F90" s="54"/>
      <c r="G90" s="54"/>
      <c r="H90" s="54"/>
      <c r="I90" s="54"/>
      <c r="J90" s="192"/>
      <c r="K90" s="193"/>
      <c r="L90" s="193"/>
      <c r="M90" s="193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</row>
    <row r="91" spans="1:24" ht="12.75">
      <c r="A91" s="54"/>
      <c r="B91" s="54"/>
      <c r="C91" s="54"/>
      <c r="D91" s="54"/>
      <c r="E91" s="54"/>
      <c r="F91" s="54"/>
      <c r="G91" s="54"/>
      <c r="H91" s="54"/>
      <c r="I91" s="54"/>
      <c r="J91" s="192"/>
      <c r="K91" s="193"/>
      <c r="L91" s="193"/>
      <c r="M91" s="193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</row>
    <row r="92" spans="1:24" ht="12.75">
      <c r="A92" s="54"/>
      <c r="B92" s="54"/>
      <c r="C92" s="54"/>
      <c r="D92" s="54"/>
      <c r="E92" s="54"/>
      <c r="F92" s="54"/>
      <c r="G92" s="54"/>
      <c r="H92" s="54"/>
      <c r="I92" s="54"/>
      <c r="J92" s="192"/>
      <c r="K92" s="193"/>
      <c r="L92" s="193"/>
      <c r="M92" s="193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</row>
    <row r="93" spans="1:24" ht="12.75">
      <c r="A93" s="54"/>
      <c r="B93" s="54"/>
      <c r="C93" s="54"/>
      <c r="D93" s="54"/>
      <c r="E93" s="54"/>
      <c r="F93" s="54"/>
      <c r="G93" s="54"/>
      <c r="H93" s="54"/>
      <c r="I93" s="54"/>
      <c r="J93" s="192"/>
      <c r="K93" s="193"/>
      <c r="L93" s="193"/>
      <c r="M93" s="193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</row>
    <row r="94" spans="1:24" ht="12.75">
      <c r="A94" s="54"/>
      <c r="B94" s="54"/>
      <c r="C94" s="54"/>
      <c r="D94" s="54"/>
      <c r="E94" s="54"/>
      <c r="F94" s="54"/>
      <c r="G94" s="54"/>
      <c r="H94" s="54"/>
      <c r="I94" s="54"/>
      <c r="J94" s="192"/>
      <c r="K94" s="193"/>
      <c r="L94" s="193"/>
      <c r="M94" s="193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</row>
    <row r="95" spans="1:24" ht="12.75">
      <c r="A95" s="54"/>
      <c r="B95" s="54"/>
      <c r="C95" s="54"/>
      <c r="D95" s="54"/>
      <c r="E95" s="54"/>
      <c r="F95" s="54"/>
      <c r="G95" s="54"/>
      <c r="H95" s="54"/>
      <c r="I95" s="54"/>
      <c r="J95" s="192"/>
      <c r="K95" s="193"/>
      <c r="L95" s="193"/>
      <c r="M95" s="193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</row>
    <row r="96" spans="1:24" ht="12.75">
      <c r="A96" s="54"/>
      <c r="B96" s="54"/>
      <c r="C96" s="54"/>
      <c r="D96" s="54"/>
      <c r="E96" s="54"/>
      <c r="F96" s="54"/>
      <c r="G96" s="54"/>
      <c r="H96" s="54"/>
      <c r="I96" s="54"/>
      <c r="J96" s="192"/>
      <c r="K96" s="193"/>
      <c r="L96" s="193"/>
      <c r="M96" s="193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</row>
    <row r="97" spans="1:24" ht="12.75">
      <c r="A97" s="54"/>
      <c r="B97" s="54"/>
      <c r="C97" s="54"/>
      <c r="D97" s="54"/>
      <c r="E97" s="54"/>
      <c r="F97" s="54"/>
      <c r="G97" s="54"/>
      <c r="H97" s="54"/>
      <c r="I97" s="54"/>
      <c r="J97" s="192"/>
      <c r="K97" s="193"/>
      <c r="L97" s="193"/>
      <c r="M97" s="193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</row>
    <row r="98" spans="1:24" ht="12.75">
      <c r="A98" s="54"/>
      <c r="B98" s="54"/>
      <c r="C98" s="54"/>
      <c r="D98" s="54"/>
      <c r="E98" s="54"/>
      <c r="F98" s="54"/>
      <c r="G98" s="54"/>
      <c r="H98" s="54"/>
      <c r="I98" s="54"/>
      <c r="J98" s="192"/>
      <c r="K98" s="193"/>
      <c r="L98" s="193"/>
      <c r="M98" s="193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</row>
    <row r="99" spans="1:24" ht="12.75">
      <c r="A99" s="54"/>
      <c r="B99" s="54"/>
      <c r="C99" s="54"/>
      <c r="D99" s="54"/>
      <c r="E99" s="54"/>
      <c r="F99" s="54"/>
      <c r="G99" s="54"/>
      <c r="H99" s="54"/>
      <c r="I99" s="54"/>
      <c r="J99" s="192"/>
      <c r="K99" s="193"/>
      <c r="L99" s="193"/>
      <c r="M99" s="193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</row>
    <row r="100" spans="1:24" ht="12.75">
      <c r="A100" s="54"/>
      <c r="B100" s="54"/>
      <c r="C100" s="54"/>
      <c r="D100" s="54"/>
      <c r="E100" s="54"/>
      <c r="F100" s="54"/>
      <c r="G100" s="54"/>
      <c r="H100" s="54"/>
      <c r="I100" s="54"/>
      <c r="J100" s="192"/>
      <c r="K100" s="193"/>
      <c r="L100" s="193"/>
      <c r="M100" s="193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</row>
    <row r="101" spans="1:24" ht="12.75">
      <c r="A101" s="54"/>
      <c r="B101" s="54"/>
      <c r="C101" s="54"/>
      <c r="D101" s="54"/>
      <c r="E101" s="54"/>
      <c r="F101" s="54"/>
      <c r="G101" s="54"/>
      <c r="H101" s="54"/>
      <c r="I101" s="54"/>
      <c r="J101" s="192"/>
      <c r="K101" s="193"/>
      <c r="L101" s="193"/>
      <c r="M101" s="193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</row>
    <row r="102" spans="1:24" ht="12.75">
      <c r="A102" s="54"/>
      <c r="B102" s="54"/>
      <c r="C102" s="54"/>
      <c r="D102" s="54"/>
      <c r="E102" s="54"/>
      <c r="F102" s="54"/>
      <c r="G102" s="54"/>
      <c r="H102" s="54"/>
      <c r="I102" s="54"/>
      <c r="J102" s="192"/>
      <c r="K102" s="193"/>
      <c r="L102" s="193"/>
      <c r="M102" s="193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</row>
    <row r="103" spans="1:24" ht="12.75">
      <c r="A103" s="54"/>
      <c r="B103" s="54"/>
      <c r="C103" s="54"/>
      <c r="D103" s="54"/>
      <c r="E103" s="54"/>
      <c r="F103" s="54"/>
      <c r="G103" s="54"/>
      <c r="H103" s="54"/>
      <c r="I103" s="54"/>
      <c r="J103" s="192"/>
      <c r="K103" s="193"/>
      <c r="L103" s="193"/>
      <c r="M103" s="193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</row>
    <row r="104" spans="1:24" ht="12.75">
      <c r="A104" s="54"/>
      <c r="B104" s="54"/>
      <c r="C104" s="54"/>
      <c r="D104" s="54"/>
      <c r="E104" s="54"/>
      <c r="F104" s="54"/>
      <c r="G104" s="54"/>
      <c r="H104" s="54"/>
      <c r="I104" s="54"/>
      <c r="J104" s="192"/>
      <c r="K104" s="193"/>
      <c r="L104" s="193"/>
      <c r="M104" s="193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</row>
    <row r="105" spans="1:24" ht="12.75">
      <c r="A105" s="54"/>
      <c r="B105" s="54"/>
      <c r="C105" s="54"/>
      <c r="D105" s="54"/>
      <c r="E105" s="54"/>
      <c r="F105" s="54"/>
      <c r="G105" s="54"/>
      <c r="H105" s="54"/>
      <c r="I105" s="54"/>
      <c r="J105" s="192"/>
      <c r="K105" s="193"/>
      <c r="L105" s="193"/>
      <c r="M105" s="193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</row>
    <row r="106" spans="1:24" ht="12.75">
      <c r="A106" s="54"/>
      <c r="B106" s="54"/>
      <c r="C106" s="54"/>
      <c r="D106" s="54"/>
      <c r="E106" s="54"/>
      <c r="F106" s="54"/>
      <c r="G106" s="54"/>
      <c r="H106" s="54"/>
      <c r="I106" s="54"/>
      <c r="J106" s="192"/>
      <c r="K106" s="193"/>
      <c r="L106" s="193"/>
      <c r="M106" s="193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</row>
    <row r="107" spans="1:24" ht="12.75">
      <c r="A107" s="54"/>
      <c r="B107" s="54"/>
      <c r="C107" s="54"/>
      <c r="D107" s="54"/>
      <c r="E107" s="54"/>
      <c r="F107" s="54"/>
      <c r="G107" s="54"/>
      <c r="H107" s="54"/>
      <c r="I107" s="54"/>
      <c r="J107" s="192"/>
      <c r="K107" s="193"/>
      <c r="L107" s="193"/>
      <c r="M107" s="193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</row>
    <row r="108" spans="1:24" ht="12.75">
      <c r="A108" s="54"/>
      <c r="B108" s="54"/>
      <c r="C108" s="54"/>
      <c r="D108" s="54"/>
      <c r="E108" s="54"/>
      <c r="F108" s="54"/>
      <c r="G108" s="54"/>
      <c r="H108" s="54"/>
      <c r="I108" s="54"/>
      <c r="J108" s="192"/>
      <c r="K108" s="193"/>
      <c r="L108" s="193"/>
      <c r="M108" s="193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</row>
    <row r="109" spans="1:24" ht="12.75">
      <c r="A109" s="54"/>
      <c r="B109" s="54"/>
      <c r="C109" s="54"/>
      <c r="D109" s="54"/>
      <c r="E109" s="54"/>
      <c r="F109" s="54"/>
      <c r="G109" s="54"/>
      <c r="H109" s="54"/>
      <c r="I109" s="54"/>
      <c r="J109" s="192"/>
      <c r="K109" s="193"/>
      <c r="L109" s="193"/>
      <c r="M109" s="193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</row>
    <row r="110" spans="1:24" ht="12.75">
      <c r="A110" s="54"/>
      <c r="B110" s="54"/>
      <c r="C110" s="54"/>
      <c r="D110" s="54"/>
      <c r="E110" s="54"/>
      <c r="F110" s="54"/>
      <c r="G110" s="54"/>
      <c r="H110" s="54"/>
      <c r="I110" s="54"/>
      <c r="J110" s="192"/>
      <c r="K110" s="193"/>
      <c r="L110" s="193"/>
      <c r="M110" s="193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</row>
    <row r="111" spans="1:24" ht="12.75">
      <c r="A111" s="54"/>
      <c r="B111" s="54"/>
      <c r="C111" s="54"/>
      <c r="D111" s="54"/>
      <c r="E111" s="54"/>
      <c r="F111" s="54"/>
      <c r="G111" s="54"/>
      <c r="H111" s="54"/>
      <c r="I111" s="54"/>
      <c r="J111" s="192"/>
      <c r="K111" s="193"/>
      <c r="L111" s="193"/>
      <c r="M111" s="193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</row>
    <row r="112" spans="1:24" ht="12.75">
      <c r="A112" s="54"/>
      <c r="B112" s="54"/>
      <c r="C112" s="54"/>
      <c r="D112" s="54"/>
      <c r="E112" s="54"/>
      <c r="F112" s="54"/>
      <c r="G112" s="54"/>
      <c r="H112" s="54"/>
      <c r="I112" s="54"/>
      <c r="J112" s="192"/>
      <c r="K112" s="193"/>
      <c r="L112" s="193"/>
      <c r="M112" s="193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</row>
    <row r="113" spans="1:24" ht="12.75">
      <c r="A113" s="54"/>
      <c r="B113" s="54"/>
      <c r="C113" s="54"/>
      <c r="D113" s="54"/>
      <c r="E113" s="54"/>
      <c r="F113" s="54"/>
      <c r="G113" s="54"/>
      <c r="H113" s="54"/>
      <c r="I113" s="54"/>
      <c r="J113" s="192"/>
      <c r="K113" s="193"/>
      <c r="L113" s="193"/>
      <c r="M113" s="193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</row>
    <row r="114" spans="1:24" ht="12.75">
      <c r="A114" s="54"/>
      <c r="B114" s="54"/>
      <c r="C114" s="54"/>
      <c r="D114" s="54"/>
      <c r="E114" s="54"/>
      <c r="F114" s="54"/>
      <c r="G114" s="54"/>
      <c r="H114" s="54"/>
      <c r="I114" s="54"/>
      <c r="J114" s="192"/>
      <c r="K114" s="193"/>
      <c r="L114" s="193"/>
      <c r="M114" s="193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</row>
    <row r="115" spans="1:24" ht="12.75">
      <c r="A115" s="54"/>
      <c r="B115" s="54"/>
      <c r="C115" s="54"/>
      <c r="D115" s="54"/>
      <c r="E115" s="54"/>
      <c r="F115" s="54"/>
      <c r="G115" s="54"/>
      <c r="H115" s="54"/>
      <c r="I115" s="54"/>
      <c r="J115" s="192"/>
      <c r="K115" s="193"/>
      <c r="L115" s="193"/>
      <c r="M115" s="193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</row>
    <row r="116" spans="1:24" ht="12.75">
      <c r="A116" s="54"/>
      <c r="B116" s="54"/>
      <c r="C116" s="54"/>
      <c r="D116" s="54"/>
      <c r="E116" s="54"/>
      <c r="F116" s="54"/>
      <c r="G116" s="54"/>
      <c r="H116" s="54"/>
      <c r="I116" s="54"/>
      <c r="J116" s="192"/>
      <c r="K116" s="193"/>
      <c r="L116" s="193"/>
      <c r="M116" s="193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</row>
    <row r="117" spans="1:24" ht="12.75">
      <c r="A117" s="54"/>
      <c r="B117" s="54"/>
      <c r="C117" s="54"/>
      <c r="D117" s="54"/>
      <c r="E117" s="54"/>
      <c r="F117" s="54"/>
      <c r="G117" s="54"/>
      <c r="H117" s="54"/>
      <c r="I117" s="54"/>
      <c r="J117" s="192"/>
      <c r="K117" s="193"/>
      <c r="L117" s="193"/>
      <c r="M117" s="193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</row>
    <row r="118" spans="1:24" ht="12.75">
      <c r="A118" s="54"/>
      <c r="B118" s="54"/>
      <c r="C118" s="54"/>
      <c r="D118" s="54"/>
      <c r="E118" s="54"/>
      <c r="F118" s="54"/>
      <c r="G118" s="54"/>
      <c r="H118" s="54"/>
      <c r="I118" s="54"/>
      <c r="J118" s="192"/>
      <c r="K118" s="193"/>
      <c r="L118" s="193"/>
      <c r="M118" s="193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</row>
    <row r="119" spans="1:24" ht="12.75">
      <c r="A119" s="54"/>
      <c r="B119" s="54"/>
      <c r="C119" s="54"/>
      <c r="D119" s="54"/>
      <c r="E119" s="54"/>
      <c r="F119" s="54"/>
      <c r="G119" s="54"/>
      <c r="H119" s="54"/>
      <c r="I119" s="54"/>
      <c r="J119" s="192"/>
      <c r="K119" s="193"/>
      <c r="L119" s="193"/>
      <c r="M119" s="193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</row>
    <row r="120" spans="1:24" ht="12.75">
      <c r="A120" s="54"/>
      <c r="B120" s="54"/>
      <c r="C120" s="54"/>
      <c r="D120" s="54"/>
      <c r="E120" s="54"/>
      <c r="F120" s="54"/>
      <c r="G120" s="54"/>
      <c r="H120" s="54"/>
      <c r="I120" s="54"/>
      <c r="J120" s="192"/>
      <c r="K120" s="193"/>
      <c r="L120" s="193"/>
      <c r="M120" s="193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</row>
    <row r="121" spans="1:24" ht="12.75">
      <c r="A121" s="54"/>
      <c r="B121" s="54"/>
      <c r="C121" s="54"/>
      <c r="D121" s="54"/>
      <c r="E121" s="54"/>
      <c r="F121" s="54"/>
      <c r="G121" s="54"/>
      <c r="H121" s="54"/>
      <c r="I121" s="54"/>
      <c r="J121" s="192"/>
      <c r="K121" s="193"/>
      <c r="L121" s="193"/>
      <c r="M121" s="193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</row>
    <row r="122" spans="1:24" ht="12.75">
      <c r="A122" s="54"/>
      <c r="B122" s="54"/>
      <c r="C122" s="54"/>
      <c r="D122" s="54"/>
      <c r="E122" s="54"/>
      <c r="F122" s="54"/>
      <c r="G122" s="54"/>
      <c r="H122" s="54"/>
      <c r="I122" s="54"/>
      <c r="J122" s="192"/>
      <c r="K122" s="193"/>
      <c r="L122" s="193"/>
      <c r="M122" s="193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</row>
    <row r="123" spans="1:24" ht="12.75">
      <c r="A123" s="54"/>
      <c r="B123" s="54"/>
      <c r="C123" s="54"/>
      <c r="D123" s="54"/>
      <c r="E123" s="54"/>
      <c r="F123" s="54"/>
      <c r="G123" s="54"/>
      <c r="H123" s="54"/>
      <c r="I123" s="54"/>
      <c r="J123" s="192"/>
      <c r="K123" s="193"/>
      <c r="L123" s="193"/>
      <c r="M123" s="193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</row>
    <row r="124" spans="1:24" ht="12.75">
      <c r="A124" s="54"/>
      <c r="B124" s="54"/>
      <c r="C124" s="54"/>
      <c r="D124" s="54"/>
      <c r="E124" s="54"/>
      <c r="F124" s="54"/>
      <c r="G124" s="54"/>
      <c r="H124" s="54"/>
      <c r="I124" s="54"/>
      <c r="J124" s="192"/>
      <c r="K124" s="193"/>
      <c r="L124" s="193"/>
      <c r="M124" s="193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</row>
    <row r="125" spans="1:24" ht="12.75">
      <c r="A125" s="54"/>
      <c r="B125" s="54"/>
      <c r="C125" s="54"/>
      <c r="D125" s="54"/>
      <c r="E125" s="54"/>
      <c r="F125" s="54"/>
      <c r="G125" s="54"/>
      <c r="H125" s="54"/>
      <c r="I125" s="54"/>
      <c r="J125" s="192"/>
      <c r="K125" s="193"/>
      <c r="L125" s="193"/>
      <c r="M125" s="193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</row>
    <row r="126" spans="1:24" ht="12.75">
      <c r="A126" s="54"/>
      <c r="B126" s="54"/>
      <c r="C126" s="54"/>
      <c r="D126" s="54"/>
      <c r="E126" s="54"/>
      <c r="F126" s="54"/>
      <c r="G126" s="54"/>
      <c r="H126" s="54"/>
      <c r="I126" s="54"/>
      <c r="J126" s="192"/>
      <c r="K126" s="193"/>
      <c r="L126" s="193"/>
      <c r="M126" s="193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</row>
    <row r="127" spans="1:24" ht="12.75">
      <c r="A127" s="54"/>
      <c r="B127" s="54"/>
      <c r="C127" s="54"/>
      <c r="D127" s="54"/>
      <c r="E127" s="54"/>
      <c r="F127" s="54"/>
      <c r="G127" s="54"/>
      <c r="H127" s="54"/>
      <c r="I127" s="54"/>
      <c r="J127" s="192"/>
      <c r="K127" s="193"/>
      <c r="L127" s="193"/>
      <c r="M127" s="193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</row>
    <row r="128" spans="1:24" ht="12.75">
      <c r="A128" s="54"/>
      <c r="B128" s="54"/>
      <c r="C128" s="54"/>
      <c r="D128" s="54"/>
      <c r="E128" s="54"/>
      <c r="F128" s="54"/>
      <c r="G128" s="54"/>
      <c r="H128" s="54"/>
      <c r="I128" s="54"/>
      <c r="J128" s="192"/>
      <c r="K128" s="193"/>
      <c r="L128" s="193"/>
      <c r="M128" s="193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</row>
    <row r="129" spans="1:24" ht="12.75">
      <c r="A129" s="54"/>
      <c r="B129" s="54"/>
      <c r="C129" s="54"/>
      <c r="D129" s="54"/>
      <c r="E129" s="54"/>
      <c r="F129" s="54"/>
      <c r="G129" s="54"/>
      <c r="H129" s="54"/>
      <c r="I129" s="54"/>
      <c r="J129" s="192"/>
      <c r="K129" s="193"/>
      <c r="L129" s="193"/>
      <c r="M129" s="193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</row>
    <row r="130" spans="1:24" ht="12.75">
      <c r="A130" s="54"/>
      <c r="B130" s="54"/>
      <c r="C130" s="54"/>
      <c r="D130" s="54"/>
      <c r="E130" s="54"/>
      <c r="F130" s="54"/>
      <c r="G130" s="54"/>
      <c r="H130" s="54"/>
      <c r="I130" s="54"/>
      <c r="J130" s="192"/>
      <c r="K130" s="193"/>
      <c r="L130" s="193"/>
      <c r="M130" s="193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</row>
    <row r="131" spans="1:24" ht="12.75">
      <c r="A131" s="54"/>
      <c r="B131" s="54"/>
      <c r="C131" s="54"/>
      <c r="D131" s="54"/>
      <c r="E131" s="54"/>
      <c r="F131" s="54"/>
      <c r="G131" s="54"/>
      <c r="H131" s="54"/>
      <c r="I131" s="54"/>
      <c r="J131" s="192"/>
      <c r="K131" s="193"/>
      <c r="L131" s="193"/>
      <c r="M131" s="193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</row>
    <row r="132" spans="1:24" ht="12.75">
      <c r="A132" s="54"/>
      <c r="B132" s="54"/>
      <c r="C132" s="54"/>
      <c r="D132" s="54"/>
      <c r="E132" s="54"/>
      <c r="F132" s="54"/>
      <c r="G132" s="54"/>
      <c r="H132" s="54"/>
      <c r="I132" s="54"/>
      <c r="J132" s="192"/>
      <c r="K132" s="193"/>
      <c r="L132" s="193"/>
      <c r="M132" s="193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</row>
    <row r="133" spans="1:24" ht="12.75">
      <c r="A133" s="54"/>
      <c r="B133" s="54"/>
      <c r="C133" s="54"/>
      <c r="D133" s="54"/>
      <c r="E133" s="54"/>
      <c r="F133" s="54"/>
      <c r="G133" s="54"/>
      <c r="H133" s="54"/>
      <c r="I133" s="54"/>
      <c r="J133" s="192"/>
      <c r="K133" s="193"/>
      <c r="L133" s="193"/>
      <c r="M133" s="193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</row>
    <row r="134" spans="1:24" ht="12.75">
      <c r="A134" s="54"/>
      <c r="B134" s="54"/>
      <c r="C134" s="54"/>
      <c r="D134" s="54"/>
      <c r="E134" s="54"/>
      <c r="F134" s="54"/>
      <c r="G134" s="54"/>
      <c r="H134" s="54"/>
      <c r="I134" s="54"/>
      <c r="J134" s="192"/>
      <c r="K134" s="193"/>
      <c r="L134" s="193"/>
      <c r="M134" s="193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</row>
    <row r="135" spans="1:24" ht="12.75">
      <c r="A135" s="54"/>
      <c r="B135" s="54"/>
      <c r="C135" s="54"/>
      <c r="D135" s="54"/>
      <c r="E135" s="54"/>
      <c r="F135" s="54"/>
      <c r="G135" s="54"/>
      <c r="H135" s="54"/>
      <c r="I135" s="54"/>
      <c r="J135" s="192"/>
      <c r="K135" s="193"/>
      <c r="L135" s="193"/>
      <c r="M135" s="193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</row>
    <row r="136" spans="1:24" ht="12.75">
      <c r="A136" s="54"/>
      <c r="B136" s="54"/>
      <c r="C136" s="54"/>
      <c r="D136" s="54"/>
      <c r="E136" s="54"/>
      <c r="F136" s="54"/>
      <c r="G136" s="54"/>
      <c r="H136" s="54"/>
      <c r="I136" s="54"/>
      <c r="J136" s="192"/>
      <c r="K136" s="193"/>
      <c r="L136" s="193"/>
      <c r="M136" s="193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</row>
    <row r="137" spans="1:24" ht="12.75">
      <c r="A137" s="54"/>
      <c r="B137" s="54"/>
      <c r="C137" s="54"/>
      <c r="D137" s="54"/>
      <c r="E137" s="54"/>
      <c r="F137" s="54"/>
      <c r="G137" s="54"/>
      <c r="H137" s="54"/>
      <c r="I137" s="54"/>
      <c r="J137" s="192"/>
      <c r="K137" s="193"/>
      <c r="L137" s="193"/>
      <c r="M137" s="193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</row>
    <row r="138" spans="1:24" ht="12.75">
      <c r="A138" s="54"/>
      <c r="B138" s="54"/>
      <c r="C138" s="54"/>
      <c r="D138" s="54"/>
      <c r="E138" s="54"/>
      <c r="F138" s="54"/>
      <c r="G138" s="54"/>
      <c r="H138" s="54"/>
      <c r="I138" s="54"/>
      <c r="J138" s="192"/>
      <c r="K138" s="193"/>
      <c r="L138" s="193"/>
      <c r="M138" s="193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</row>
    <row r="139" spans="1:24" ht="12.75">
      <c r="A139" s="54"/>
      <c r="B139" s="54"/>
      <c r="C139" s="54"/>
      <c r="D139" s="54"/>
      <c r="E139" s="54"/>
      <c r="F139" s="54"/>
      <c r="G139" s="54"/>
      <c r="H139" s="54"/>
      <c r="I139" s="54"/>
      <c r="J139" s="192"/>
      <c r="K139" s="193"/>
      <c r="L139" s="193"/>
      <c r="M139" s="193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</row>
    <row r="140" spans="1:24" ht="12.75">
      <c r="A140" s="54"/>
      <c r="B140" s="54"/>
      <c r="C140" s="54"/>
      <c r="D140" s="54"/>
      <c r="E140" s="54"/>
      <c r="F140" s="54"/>
      <c r="G140" s="54"/>
      <c r="H140" s="54"/>
      <c r="I140" s="54"/>
      <c r="J140" s="192"/>
      <c r="K140" s="193"/>
      <c r="L140" s="193"/>
      <c r="M140" s="193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</row>
    <row r="141" spans="1:24" ht="12.75">
      <c r="A141" s="54"/>
      <c r="B141" s="54"/>
      <c r="C141" s="54"/>
      <c r="D141" s="54"/>
      <c r="E141" s="54"/>
      <c r="F141" s="54"/>
      <c r="G141" s="54"/>
      <c r="H141" s="54"/>
      <c r="I141" s="54"/>
      <c r="J141" s="192"/>
      <c r="K141" s="193"/>
      <c r="L141" s="193"/>
      <c r="M141" s="193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</row>
    <row r="142" spans="1:24" ht="12.75">
      <c r="A142" s="54"/>
      <c r="B142" s="54"/>
      <c r="C142" s="54"/>
      <c r="D142" s="54"/>
      <c r="E142" s="54"/>
      <c r="F142" s="54"/>
      <c r="G142" s="54"/>
      <c r="H142" s="54"/>
      <c r="I142" s="54"/>
      <c r="J142" s="192"/>
      <c r="K142" s="193"/>
      <c r="L142" s="193"/>
      <c r="M142" s="193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</row>
    <row r="143" spans="1:24" ht="12.75">
      <c r="A143" s="54"/>
      <c r="B143" s="54"/>
      <c r="C143" s="54"/>
      <c r="D143" s="54"/>
      <c r="E143" s="54"/>
      <c r="F143" s="54"/>
      <c r="G143" s="54"/>
      <c r="H143" s="54"/>
      <c r="I143" s="54"/>
      <c r="J143" s="192"/>
      <c r="K143" s="193"/>
      <c r="L143" s="193"/>
      <c r="M143" s="193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</row>
    <row r="144" spans="1:24" ht="12.75">
      <c r="A144" s="54"/>
      <c r="B144" s="54"/>
      <c r="C144" s="54"/>
      <c r="D144" s="54"/>
      <c r="E144" s="54"/>
      <c r="F144" s="54"/>
      <c r="G144" s="54"/>
      <c r="H144" s="54"/>
      <c r="I144" s="54"/>
      <c r="J144" s="192"/>
      <c r="K144" s="193"/>
      <c r="L144" s="193"/>
      <c r="M144" s="193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</row>
    <row r="145" spans="1:24" ht="12.75">
      <c r="A145" s="54"/>
      <c r="B145" s="54"/>
      <c r="C145" s="54"/>
      <c r="D145" s="54"/>
      <c r="E145" s="54"/>
      <c r="F145" s="54"/>
      <c r="G145" s="54"/>
      <c r="H145" s="54"/>
      <c r="I145" s="54"/>
      <c r="J145" s="192"/>
      <c r="K145" s="193"/>
      <c r="L145" s="193"/>
      <c r="M145" s="193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</row>
    <row r="146" spans="1:24" ht="12.75">
      <c r="A146" s="54"/>
      <c r="B146" s="54"/>
      <c r="C146" s="54"/>
      <c r="D146" s="54"/>
      <c r="E146" s="54"/>
      <c r="F146" s="54"/>
      <c r="G146" s="54"/>
      <c r="H146" s="54"/>
      <c r="I146" s="54"/>
      <c r="J146" s="192"/>
      <c r="K146" s="193"/>
      <c r="L146" s="193"/>
      <c r="M146" s="193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</row>
    <row r="147" spans="1:24" ht="12.75">
      <c r="A147" s="54"/>
      <c r="B147" s="54"/>
      <c r="C147" s="54"/>
      <c r="D147" s="54"/>
      <c r="E147" s="54"/>
      <c r="F147" s="54"/>
      <c r="G147" s="54"/>
      <c r="H147" s="54"/>
      <c r="I147" s="54"/>
      <c r="J147" s="192"/>
      <c r="K147" s="193"/>
      <c r="L147" s="193"/>
      <c r="M147" s="193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</row>
    <row r="148" spans="1:24" ht="12.75">
      <c r="A148" s="54"/>
      <c r="B148" s="54"/>
      <c r="C148" s="54"/>
      <c r="D148" s="54"/>
      <c r="E148" s="54"/>
      <c r="F148" s="54"/>
      <c r="G148" s="54"/>
      <c r="H148" s="54"/>
      <c r="I148" s="54"/>
      <c r="J148" s="192"/>
      <c r="K148" s="193"/>
      <c r="L148" s="193"/>
      <c r="M148" s="193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</row>
    <row r="149" spans="1:24" ht="12.75">
      <c r="A149" s="54"/>
      <c r="B149" s="54"/>
      <c r="C149" s="54"/>
      <c r="D149" s="54"/>
      <c r="E149" s="54"/>
      <c r="F149" s="54"/>
      <c r="G149" s="54"/>
      <c r="H149" s="54"/>
      <c r="I149" s="54"/>
      <c r="J149" s="192"/>
      <c r="K149" s="193"/>
      <c r="L149" s="193"/>
      <c r="M149" s="193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</row>
    <row r="150" spans="1:24" ht="12.75">
      <c r="A150" s="54"/>
      <c r="B150" s="54"/>
      <c r="C150" s="54"/>
      <c r="D150" s="54"/>
      <c r="E150" s="54"/>
      <c r="F150" s="54"/>
      <c r="G150" s="54"/>
      <c r="H150" s="54"/>
      <c r="I150" s="54"/>
      <c r="J150" s="192"/>
      <c r="K150" s="193"/>
      <c r="L150" s="193"/>
      <c r="M150" s="193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</row>
    <row r="151" spans="1:24" ht="12.75">
      <c r="A151" s="54"/>
      <c r="B151" s="54"/>
      <c r="C151" s="54"/>
      <c r="D151" s="54"/>
      <c r="E151" s="54"/>
      <c r="F151" s="54"/>
      <c r="G151" s="54"/>
      <c r="H151" s="54"/>
      <c r="I151" s="54"/>
      <c r="J151" s="192"/>
      <c r="K151" s="193"/>
      <c r="L151" s="193"/>
      <c r="M151" s="193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</row>
    <row r="152" spans="1:24" ht="12.75">
      <c r="A152" s="54"/>
      <c r="B152" s="54"/>
      <c r="C152" s="54"/>
      <c r="D152" s="54"/>
      <c r="E152" s="54"/>
      <c r="F152" s="54"/>
      <c r="G152" s="54"/>
      <c r="H152" s="54"/>
      <c r="I152" s="54"/>
      <c r="J152" s="192"/>
      <c r="K152" s="193"/>
      <c r="L152" s="193"/>
      <c r="M152" s="193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</row>
    <row r="153" spans="1:24" ht="12.75">
      <c r="A153" s="54"/>
      <c r="B153" s="54"/>
      <c r="C153" s="54"/>
      <c r="D153" s="54"/>
      <c r="E153" s="54"/>
      <c r="F153" s="54"/>
      <c r="G153" s="54"/>
      <c r="H153" s="54"/>
      <c r="I153" s="54"/>
      <c r="J153" s="192"/>
      <c r="K153" s="193"/>
      <c r="L153" s="193"/>
      <c r="M153" s="193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</row>
    <row r="154" spans="1:24" ht="12.75">
      <c r="A154" s="54"/>
      <c r="B154" s="54"/>
      <c r="C154" s="54"/>
      <c r="D154" s="54"/>
      <c r="E154" s="54"/>
      <c r="F154" s="54"/>
      <c r="G154" s="54"/>
      <c r="H154" s="54"/>
      <c r="I154" s="54"/>
      <c r="J154" s="192"/>
      <c r="K154" s="193"/>
      <c r="L154" s="193"/>
      <c r="M154" s="193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</row>
    <row r="155" spans="1:24" ht="12.75">
      <c r="A155" s="54"/>
      <c r="B155" s="54"/>
      <c r="C155" s="54"/>
      <c r="D155" s="54"/>
      <c r="E155" s="54"/>
      <c r="F155" s="54"/>
      <c r="G155" s="54"/>
      <c r="H155" s="54"/>
      <c r="I155" s="54"/>
      <c r="J155" s="192"/>
      <c r="K155" s="193"/>
      <c r="L155" s="193"/>
      <c r="M155" s="193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</row>
    <row r="156" spans="1:24" ht="12.75">
      <c r="A156" s="54"/>
      <c r="B156" s="54"/>
      <c r="C156" s="54"/>
      <c r="D156" s="54"/>
      <c r="E156" s="54"/>
      <c r="F156" s="54"/>
      <c r="G156" s="54"/>
      <c r="H156" s="54"/>
      <c r="I156" s="54"/>
      <c r="J156" s="192"/>
      <c r="K156" s="193"/>
      <c r="L156" s="193"/>
      <c r="M156" s="193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</row>
    <row r="157" spans="1:24" ht="12.75">
      <c r="A157" s="54"/>
      <c r="B157" s="54"/>
      <c r="C157" s="54"/>
      <c r="D157" s="54"/>
      <c r="E157" s="54"/>
      <c r="F157" s="54"/>
      <c r="G157" s="54"/>
      <c r="H157" s="54"/>
      <c r="I157" s="54"/>
      <c r="J157" s="192"/>
      <c r="K157" s="193"/>
      <c r="L157" s="193"/>
      <c r="M157" s="193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</row>
    <row r="158" spans="1:24" ht="12.75">
      <c r="A158" s="54"/>
      <c r="B158" s="54"/>
      <c r="C158" s="54"/>
      <c r="D158" s="54"/>
      <c r="E158" s="54"/>
      <c r="F158" s="54"/>
      <c r="G158" s="54"/>
      <c r="H158" s="54"/>
      <c r="I158" s="54"/>
      <c r="J158" s="192"/>
      <c r="K158" s="193"/>
      <c r="L158" s="193"/>
      <c r="M158" s="193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</row>
    <row r="159" spans="1:24" ht="12.75">
      <c r="A159" s="54"/>
      <c r="B159" s="54"/>
      <c r="C159" s="54"/>
      <c r="D159" s="54"/>
      <c r="E159" s="54"/>
      <c r="F159" s="54"/>
      <c r="G159" s="54"/>
      <c r="H159" s="54"/>
      <c r="I159" s="54"/>
      <c r="J159" s="192"/>
      <c r="K159" s="193"/>
      <c r="L159" s="193"/>
      <c r="M159" s="193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</row>
    <row r="160" spans="1:24" ht="12.75">
      <c r="A160" s="54"/>
      <c r="B160" s="54"/>
      <c r="C160" s="54"/>
      <c r="D160" s="54"/>
      <c r="E160" s="54"/>
      <c r="F160" s="54"/>
      <c r="G160" s="54"/>
      <c r="H160" s="54"/>
      <c r="I160" s="54"/>
      <c r="J160" s="192"/>
      <c r="K160" s="193"/>
      <c r="L160" s="193"/>
      <c r="M160" s="193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</row>
    <row r="161" spans="1:24" ht="12.75">
      <c r="A161" s="54"/>
      <c r="B161" s="54"/>
      <c r="C161" s="54"/>
      <c r="D161" s="54"/>
      <c r="E161" s="54"/>
      <c r="F161" s="54"/>
      <c r="G161" s="54"/>
      <c r="H161" s="54"/>
      <c r="I161" s="54"/>
      <c r="J161" s="192"/>
      <c r="K161" s="193"/>
      <c r="L161" s="193"/>
      <c r="M161" s="193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</row>
    <row r="162" spans="1:24" ht="12.75">
      <c r="A162" s="54"/>
      <c r="B162" s="54"/>
      <c r="C162" s="54"/>
      <c r="D162" s="54"/>
      <c r="E162" s="54"/>
      <c r="F162" s="54"/>
      <c r="G162" s="54"/>
      <c r="H162" s="54"/>
      <c r="I162" s="54"/>
      <c r="J162" s="192"/>
      <c r="K162" s="193"/>
      <c r="L162" s="193"/>
      <c r="M162" s="193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</row>
    <row r="163" spans="1:24" ht="12.75">
      <c r="A163" s="54"/>
      <c r="B163" s="54"/>
      <c r="C163" s="54"/>
      <c r="D163" s="54"/>
      <c r="E163" s="54"/>
      <c r="F163" s="54"/>
      <c r="G163" s="54"/>
      <c r="H163" s="54"/>
      <c r="I163" s="54"/>
      <c r="J163" s="192"/>
      <c r="K163" s="193"/>
      <c r="L163" s="193"/>
      <c r="M163" s="193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</row>
    <row r="164" spans="1:24" ht="12.75">
      <c r="A164" s="54"/>
      <c r="B164" s="54"/>
      <c r="C164" s="54"/>
      <c r="D164" s="54"/>
      <c r="E164" s="54"/>
      <c r="F164" s="54"/>
      <c r="G164" s="54"/>
      <c r="H164" s="54"/>
      <c r="I164" s="54"/>
      <c r="J164" s="192"/>
      <c r="K164" s="193"/>
      <c r="L164" s="193"/>
      <c r="M164" s="193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</row>
    <row r="165" spans="1:24" ht="12.75">
      <c r="A165" s="54"/>
      <c r="B165" s="54"/>
      <c r="C165" s="54"/>
      <c r="D165" s="54"/>
      <c r="E165" s="54"/>
      <c r="F165" s="54"/>
      <c r="G165" s="54"/>
      <c r="H165" s="54"/>
      <c r="I165" s="54"/>
      <c r="J165" s="192"/>
      <c r="K165" s="193"/>
      <c r="L165" s="193"/>
      <c r="M165" s="193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</row>
    <row r="166" spans="1:24" ht="12.75">
      <c r="A166" s="54"/>
      <c r="B166" s="54"/>
      <c r="C166" s="54"/>
      <c r="D166" s="54"/>
      <c r="E166" s="54"/>
      <c r="F166" s="54"/>
      <c r="G166" s="54"/>
      <c r="H166" s="54"/>
      <c r="I166" s="54"/>
      <c r="J166" s="192"/>
      <c r="K166" s="193"/>
      <c r="L166" s="193"/>
      <c r="M166" s="193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</row>
    <row r="167" spans="1:24" ht="12.75">
      <c r="A167" s="54"/>
      <c r="B167" s="54"/>
      <c r="C167" s="54"/>
      <c r="D167" s="54"/>
      <c r="E167" s="54"/>
      <c r="F167" s="54"/>
      <c r="G167" s="54"/>
      <c r="H167" s="54"/>
      <c r="I167" s="54"/>
      <c r="J167" s="192"/>
      <c r="K167" s="193"/>
      <c r="L167" s="193"/>
      <c r="M167" s="193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</row>
    <row r="168" spans="1:24" ht="12.75">
      <c r="A168" s="54"/>
      <c r="B168" s="54"/>
      <c r="C168" s="54"/>
      <c r="D168" s="54"/>
      <c r="E168" s="54"/>
      <c r="F168" s="54"/>
      <c r="G168" s="54"/>
      <c r="H168" s="54"/>
      <c r="I168" s="54"/>
      <c r="J168" s="192"/>
      <c r="K168" s="193"/>
      <c r="L168" s="193"/>
      <c r="M168" s="193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</row>
    <row r="169" spans="1:24" ht="12.75">
      <c r="A169" s="54"/>
      <c r="B169" s="54"/>
      <c r="C169" s="54"/>
      <c r="D169" s="54"/>
      <c r="E169" s="54"/>
      <c r="F169" s="54"/>
      <c r="G169" s="54"/>
      <c r="H169" s="54"/>
      <c r="I169" s="54"/>
      <c r="J169" s="192"/>
      <c r="K169" s="193"/>
      <c r="L169" s="193"/>
      <c r="M169" s="193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</row>
    <row r="170" spans="1:24" ht="12.75">
      <c r="A170" s="54"/>
      <c r="B170" s="54"/>
      <c r="C170" s="54"/>
      <c r="D170" s="54"/>
      <c r="E170" s="54"/>
      <c r="F170" s="54"/>
      <c r="G170" s="54"/>
      <c r="H170" s="54"/>
      <c r="I170" s="54"/>
      <c r="J170" s="192"/>
      <c r="K170" s="193"/>
      <c r="L170" s="193"/>
      <c r="M170" s="193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</row>
    <row r="171" spans="1:24" ht="12.75">
      <c r="A171" s="54"/>
      <c r="B171" s="54"/>
      <c r="C171" s="54"/>
      <c r="D171" s="54"/>
      <c r="E171" s="54"/>
      <c r="F171" s="54"/>
      <c r="G171" s="54"/>
      <c r="H171" s="54"/>
      <c r="I171" s="54"/>
      <c r="J171" s="192"/>
      <c r="K171" s="193"/>
      <c r="L171" s="193"/>
      <c r="M171" s="193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</row>
    <row r="172" spans="1:24" ht="12.75">
      <c r="A172" s="54"/>
      <c r="B172" s="54"/>
      <c r="C172" s="54"/>
      <c r="D172" s="54"/>
      <c r="E172" s="54"/>
      <c r="F172" s="54"/>
      <c r="G172" s="54"/>
      <c r="H172" s="54"/>
      <c r="I172" s="54"/>
      <c r="J172" s="192"/>
      <c r="K172" s="193"/>
      <c r="L172" s="193"/>
      <c r="M172" s="193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</row>
    <row r="173" spans="1:24" ht="12.75">
      <c r="A173" s="54"/>
      <c r="B173" s="54"/>
      <c r="C173" s="54"/>
      <c r="D173" s="54"/>
      <c r="E173" s="54"/>
      <c r="F173" s="54"/>
      <c r="G173" s="54"/>
      <c r="H173" s="54"/>
      <c r="I173" s="54"/>
      <c r="J173" s="192"/>
      <c r="K173" s="193"/>
      <c r="L173" s="193"/>
      <c r="M173" s="193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</row>
    <row r="174" spans="1:24" ht="12.75">
      <c r="A174" s="54"/>
      <c r="B174" s="54"/>
      <c r="C174" s="54"/>
      <c r="D174" s="54"/>
      <c r="E174" s="54"/>
      <c r="F174" s="54"/>
      <c r="G174" s="54"/>
      <c r="H174" s="54"/>
      <c r="I174" s="54"/>
      <c r="J174" s="192"/>
      <c r="K174" s="193"/>
      <c r="L174" s="193"/>
      <c r="M174" s="193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</row>
    <row r="175" spans="1:24" ht="12.75">
      <c r="A175" s="54"/>
      <c r="B175" s="54"/>
      <c r="C175" s="54"/>
      <c r="D175" s="54"/>
      <c r="E175" s="54"/>
      <c r="F175" s="54"/>
      <c r="G175" s="54"/>
      <c r="H175" s="54"/>
      <c r="I175" s="54"/>
      <c r="J175" s="192"/>
      <c r="K175" s="193"/>
      <c r="L175" s="193"/>
      <c r="M175" s="193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</row>
    <row r="176" spans="1:24" ht="12.75">
      <c r="A176" s="54"/>
      <c r="B176" s="54"/>
      <c r="C176" s="54"/>
      <c r="D176" s="54"/>
      <c r="E176" s="54"/>
      <c r="F176" s="54"/>
      <c r="G176" s="54"/>
      <c r="H176" s="54"/>
      <c r="I176" s="54"/>
      <c r="J176" s="192"/>
      <c r="K176" s="193"/>
      <c r="L176" s="193"/>
      <c r="M176" s="193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</row>
    <row r="177" spans="1:24" ht="12.75">
      <c r="A177" s="54"/>
      <c r="B177" s="54"/>
      <c r="C177" s="54"/>
      <c r="D177" s="54"/>
      <c r="E177" s="54"/>
      <c r="F177" s="54"/>
      <c r="G177" s="54"/>
      <c r="H177" s="54"/>
      <c r="I177" s="54"/>
      <c r="J177" s="192"/>
      <c r="K177" s="193"/>
      <c r="L177" s="193"/>
      <c r="M177" s="193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</row>
    <row r="178" spans="1:24" ht="12.75">
      <c r="A178" s="54"/>
      <c r="B178" s="54"/>
      <c r="C178" s="54"/>
      <c r="D178" s="54"/>
      <c r="E178" s="54"/>
      <c r="F178" s="54"/>
      <c r="G178" s="54"/>
      <c r="H178" s="54"/>
      <c r="I178" s="54"/>
      <c r="J178" s="192"/>
      <c r="K178" s="193"/>
      <c r="L178" s="193"/>
      <c r="M178" s="193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</row>
    <row r="179" spans="1:24" ht="12.75">
      <c r="A179" s="54"/>
      <c r="B179" s="54"/>
      <c r="C179" s="54"/>
      <c r="D179" s="54"/>
      <c r="E179" s="54"/>
      <c r="F179" s="54"/>
      <c r="G179" s="54"/>
      <c r="H179" s="54"/>
      <c r="I179" s="54"/>
      <c r="J179" s="192"/>
      <c r="K179" s="193"/>
      <c r="L179" s="193"/>
      <c r="M179" s="193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</row>
    <row r="180" spans="1:24" ht="12.75">
      <c r="A180" s="54"/>
      <c r="B180" s="54"/>
      <c r="C180" s="54"/>
      <c r="D180" s="54"/>
      <c r="E180" s="54"/>
      <c r="F180" s="54"/>
      <c r="G180" s="54"/>
      <c r="H180" s="54"/>
      <c r="I180" s="54"/>
      <c r="J180" s="192"/>
      <c r="K180" s="193"/>
      <c r="L180" s="193"/>
      <c r="M180" s="193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</row>
    <row r="181" spans="1:24" ht="12.75">
      <c r="A181" s="54"/>
      <c r="B181" s="54"/>
      <c r="C181" s="54"/>
      <c r="D181" s="54"/>
      <c r="E181" s="54"/>
      <c r="F181" s="54"/>
      <c r="G181" s="54"/>
      <c r="H181" s="54"/>
      <c r="I181" s="54"/>
      <c r="J181" s="192"/>
      <c r="K181" s="193"/>
      <c r="L181" s="193"/>
      <c r="M181" s="193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</row>
    <row r="182" spans="1:24" ht="12.75">
      <c r="A182" s="54"/>
      <c r="B182" s="54"/>
      <c r="C182" s="54"/>
      <c r="D182" s="54"/>
      <c r="E182" s="54"/>
      <c r="F182" s="54"/>
      <c r="G182" s="54"/>
      <c r="H182" s="54"/>
      <c r="I182" s="54"/>
      <c r="J182" s="192"/>
      <c r="K182" s="193"/>
      <c r="L182" s="193"/>
      <c r="M182" s="193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</row>
    <row r="183" spans="1:24" ht="12.75">
      <c r="A183" s="54"/>
      <c r="B183" s="54"/>
      <c r="C183" s="54"/>
      <c r="D183" s="54"/>
      <c r="E183" s="54"/>
      <c r="F183" s="54"/>
      <c r="G183" s="54"/>
      <c r="H183" s="54"/>
      <c r="I183" s="54"/>
      <c r="J183" s="192"/>
      <c r="K183" s="193"/>
      <c r="L183" s="193"/>
      <c r="M183" s="193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</row>
    <row r="184" spans="1:24" ht="12.75">
      <c r="A184" s="54"/>
      <c r="B184" s="54"/>
      <c r="C184" s="54"/>
      <c r="D184" s="54"/>
      <c r="E184" s="54"/>
      <c r="F184" s="54"/>
      <c r="G184" s="54"/>
      <c r="H184" s="54"/>
      <c r="I184" s="54"/>
      <c r="J184" s="192"/>
      <c r="K184" s="193"/>
      <c r="L184" s="193"/>
      <c r="M184" s="193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</row>
    <row r="185" spans="1:24" ht="12.75">
      <c r="A185" s="54"/>
      <c r="B185" s="54"/>
      <c r="C185" s="54"/>
      <c r="D185" s="54"/>
      <c r="E185" s="54"/>
      <c r="F185" s="54"/>
      <c r="G185" s="54"/>
      <c r="H185" s="54"/>
      <c r="I185" s="54"/>
      <c r="J185" s="192"/>
      <c r="K185" s="193"/>
      <c r="L185" s="193"/>
      <c r="M185" s="193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</row>
    <row r="186" spans="1:24" ht="12.75">
      <c r="A186" s="54"/>
      <c r="B186" s="54"/>
      <c r="C186" s="54"/>
      <c r="D186" s="54"/>
      <c r="E186" s="54"/>
      <c r="F186" s="54"/>
      <c r="G186" s="54"/>
      <c r="H186" s="54"/>
      <c r="I186" s="54"/>
      <c r="J186" s="192"/>
      <c r="K186" s="193"/>
      <c r="L186" s="193"/>
      <c r="M186" s="193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</row>
    <row r="187" spans="1:24" ht="12.75">
      <c r="A187" s="54"/>
      <c r="B187" s="54"/>
      <c r="C187" s="54"/>
      <c r="D187" s="54"/>
      <c r="E187" s="54"/>
      <c r="F187" s="54"/>
      <c r="G187" s="54"/>
      <c r="H187" s="54"/>
      <c r="I187" s="54"/>
      <c r="J187" s="192"/>
      <c r="K187" s="193"/>
      <c r="L187" s="193"/>
      <c r="M187" s="193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</row>
    <row r="188" spans="1:24" ht="12.75">
      <c r="A188" s="54"/>
      <c r="B188" s="54"/>
      <c r="C188" s="54"/>
      <c r="D188" s="54"/>
      <c r="E188" s="54"/>
      <c r="F188" s="54"/>
      <c r="G188" s="54"/>
      <c r="H188" s="54"/>
      <c r="I188" s="54"/>
      <c r="J188" s="192"/>
      <c r="K188" s="193"/>
      <c r="L188" s="193"/>
      <c r="M188" s="193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</row>
    <row r="189" spans="1:24" ht="12.75">
      <c r="A189" s="54"/>
      <c r="B189" s="54"/>
      <c r="C189" s="54"/>
      <c r="D189" s="54"/>
      <c r="E189" s="54"/>
      <c r="F189" s="54"/>
      <c r="G189" s="54"/>
      <c r="H189" s="54"/>
      <c r="I189" s="54"/>
      <c r="J189" s="192"/>
      <c r="K189" s="193"/>
      <c r="L189" s="193"/>
      <c r="M189" s="193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</row>
    <row r="190" spans="1:24" ht="12.75">
      <c r="A190" s="54"/>
      <c r="B190" s="54"/>
      <c r="C190" s="54"/>
      <c r="D190" s="54"/>
      <c r="E190" s="54"/>
      <c r="F190" s="54"/>
      <c r="G190" s="54"/>
      <c r="H190" s="54"/>
      <c r="I190" s="54"/>
      <c r="J190" s="192"/>
      <c r="K190" s="193"/>
      <c r="L190" s="193"/>
      <c r="M190" s="193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</row>
    <row r="191" spans="1:24" ht="12.75">
      <c r="A191" s="54"/>
      <c r="B191" s="54"/>
      <c r="C191" s="54"/>
      <c r="D191" s="54"/>
      <c r="E191" s="54"/>
      <c r="F191" s="54"/>
      <c r="G191" s="54"/>
      <c r="H191" s="54"/>
      <c r="I191" s="54"/>
      <c r="J191" s="192"/>
      <c r="K191" s="193"/>
      <c r="L191" s="193"/>
      <c r="M191" s="193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</row>
    <row r="192" spans="1:24" ht="12.75">
      <c r="A192" s="54"/>
      <c r="B192" s="54"/>
      <c r="C192" s="54"/>
      <c r="D192" s="54"/>
      <c r="E192" s="54"/>
      <c r="F192" s="54"/>
      <c r="G192" s="54"/>
      <c r="H192" s="54"/>
      <c r="I192" s="54"/>
      <c r="J192" s="192"/>
      <c r="K192" s="193"/>
      <c r="L192" s="193"/>
      <c r="M192" s="193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</row>
    <row r="193" spans="1:24" ht="12.75">
      <c r="A193" s="54"/>
      <c r="B193" s="54"/>
      <c r="C193" s="54"/>
      <c r="D193" s="54"/>
      <c r="E193" s="54"/>
      <c r="F193" s="54"/>
      <c r="G193" s="54"/>
      <c r="H193" s="54"/>
      <c r="I193" s="54"/>
      <c r="J193" s="192"/>
      <c r="K193" s="193"/>
      <c r="L193" s="193"/>
      <c r="M193" s="193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</row>
    <row r="194" spans="1:24" ht="12.75">
      <c r="A194" s="54"/>
      <c r="B194" s="54"/>
      <c r="C194" s="54"/>
      <c r="D194" s="54"/>
      <c r="E194" s="54"/>
      <c r="F194" s="54"/>
      <c r="G194" s="54"/>
      <c r="H194" s="54"/>
      <c r="I194" s="54"/>
      <c r="J194" s="192"/>
      <c r="K194" s="193"/>
      <c r="L194" s="193"/>
      <c r="M194" s="193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</row>
    <row r="195" spans="1:24" ht="12.75">
      <c r="A195" s="54"/>
      <c r="B195" s="54"/>
      <c r="C195" s="54"/>
      <c r="D195" s="54"/>
      <c r="E195" s="54"/>
      <c r="F195" s="54"/>
      <c r="G195" s="54"/>
      <c r="H195" s="54"/>
      <c r="I195" s="54"/>
      <c r="J195" s="192"/>
      <c r="K195" s="193"/>
      <c r="L195" s="193"/>
      <c r="M195" s="193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</row>
    <row r="196" spans="1:24" ht="12.75">
      <c r="A196" s="54"/>
      <c r="B196" s="54"/>
      <c r="C196" s="54"/>
      <c r="D196" s="54"/>
      <c r="E196" s="54"/>
      <c r="F196" s="54"/>
      <c r="G196" s="54"/>
      <c r="H196" s="54"/>
      <c r="I196" s="54"/>
      <c r="J196" s="192"/>
      <c r="K196" s="193"/>
      <c r="L196" s="193"/>
      <c r="M196" s="193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</row>
    <row r="197" spans="1:24" ht="12.75">
      <c r="A197" s="54"/>
      <c r="B197" s="54"/>
      <c r="C197" s="54"/>
      <c r="D197" s="54"/>
      <c r="E197" s="54"/>
      <c r="F197" s="54"/>
      <c r="G197" s="54"/>
      <c r="H197" s="54"/>
      <c r="I197" s="54"/>
      <c r="J197" s="192"/>
      <c r="K197" s="193"/>
      <c r="L197" s="193"/>
      <c r="M197" s="193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</row>
    <row r="198" spans="1:24" ht="12.75">
      <c r="A198" s="54"/>
      <c r="B198" s="54"/>
      <c r="C198" s="54"/>
      <c r="D198" s="54"/>
      <c r="E198" s="54"/>
      <c r="F198" s="54"/>
      <c r="G198" s="54"/>
      <c r="H198" s="54"/>
      <c r="I198" s="54"/>
      <c r="J198" s="192"/>
      <c r="K198" s="193"/>
      <c r="L198" s="193"/>
      <c r="M198" s="193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</row>
  </sheetData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7"/>
  <sheetViews>
    <sheetView zoomScale="130" zoomScaleNormal="130" workbookViewId="0" topLeftCell="A1">
      <selection activeCell="K1071" sqref="K1071"/>
    </sheetView>
  </sheetViews>
  <sheetFormatPr defaultColWidth="9.140625" defaultRowHeight="12.75"/>
  <cols>
    <col min="1" max="1" width="5.57421875" style="51" customWidth="1"/>
    <col min="2" max="2" width="6.7109375" style="51" customWidth="1"/>
    <col min="3" max="3" width="5.421875" style="109" customWidth="1"/>
    <col min="4" max="4" width="31.28125" style="109" customWidth="1"/>
    <col min="5" max="5" width="13.421875" style="65" customWidth="1"/>
    <col min="6" max="6" width="11.8515625" style="126" customWidth="1"/>
    <col min="7" max="7" width="13.421875" style="65" customWidth="1"/>
    <col min="8" max="8" width="11.421875" style="126" customWidth="1"/>
    <col min="9" max="9" width="5.28125" style="92" customWidth="1"/>
    <col min="10" max="10" width="6.57421875" style="365" customWidth="1"/>
    <col min="11" max="11" width="13.57421875" style="72" customWidth="1"/>
    <col min="12" max="12" width="14.28125" style="72" customWidth="1"/>
    <col min="13" max="13" width="12.57421875" style="72" customWidth="1"/>
    <col min="14" max="14" width="12.7109375" style="72" customWidth="1"/>
    <col min="15" max="15" width="12.57421875" style="464" customWidth="1"/>
    <col min="16" max="16" width="12.57421875" style="72" customWidth="1"/>
    <col min="17" max="17" width="13.140625" style="72" customWidth="1"/>
    <col min="18" max="18" width="13.421875" style="72" customWidth="1"/>
    <col min="19" max="19" width="12.28125" style="72" customWidth="1"/>
    <col min="20" max="22" width="9.140625" style="65" customWidth="1"/>
    <col min="23" max="16384" width="9.140625" style="51" customWidth="1"/>
  </cols>
  <sheetData>
    <row r="1" spans="5:7" ht="20.25">
      <c r="E1" s="160" t="s">
        <v>538</v>
      </c>
      <c r="G1" s="160"/>
    </row>
    <row r="3" spans="1:2" ht="12.75">
      <c r="A3" s="76"/>
      <c r="B3" s="76"/>
    </row>
    <row r="4" spans="1:4" ht="18.75">
      <c r="A4" s="109"/>
      <c r="B4" s="162" t="s">
        <v>688</v>
      </c>
      <c r="C4" s="163"/>
      <c r="D4" s="163"/>
    </row>
    <row r="5" spans="1:4" ht="18.75">
      <c r="A5" s="109"/>
      <c r="B5" s="162"/>
      <c r="C5" s="162" t="s">
        <v>789</v>
      </c>
      <c r="D5" s="163"/>
    </row>
    <row r="6" spans="1:4" ht="18.75">
      <c r="A6" s="109"/>
      <c r="B6" s="162"/>
      <c r="C6" s="162"/>
      <c r="D6" s="163"/>
    </row>
    <row r="7" spans="1:9" ht="12.75">
      <c r="A7" s="75"/>
      <c r="B7" s="164"/>
      <c r="C7" s="165"/>
      <c r="D7" s="110"/>
      <c r="F7" s="176"/>
      <c r="H7" s="176" t="s">
        <v>84</v>
      </c>
      <c r="I7" s="199"/>
    </row>
    <row r="8" spans="1:9" ht="28.5" customHeight="1">
      <c r="A8" s="100"/>
      <c r="B8" s="100"/>
      <c r="C8" s="20"/>
      <c r="D8" s="135"/>
      <c r="E8" s="1219" t="s">
        <v>765</v>
      </c>
      <c r="F8" s="1231"/>
      <c r="G8" s="1219" t="s">
        <v>790</v>
      </c>
      <c r="H8" s="1230"/>
      <c r="I8" s="276"/>
    </row>
    <row r="9" spans="1:9" ht="15.75" customHeight="1">
      <c r="A9" s="81" t="s">
        <v>85</v>
      </c>
      <c r="B9" s="81" t="s">
        <v>86</v>
      </c>
      <c r="C9" s="81" t="s">
        <v>294</v>
      </c>
      <c r="D9" s="136" t="s">
        <v>295</v>
      </c>
      <c r="E9" s="167" t="s">
        <v>83</v>
      </c>
      <c r="F9" s="171" t="s">
        <v>717</v>
      </c>
      <c r="G9" s="167" t="s">
        <v>83</v>
      </c>
      <c r="H9" s="171" t="s">
        <v>717</v>
      </c>
      <c r="I9" s="312" t="s">
        <v>460</v>
      </c>
    </row>
    <row r="10" spans="1:9" ht="51.75" customHeight="1">
      <c r="A10" s="116"/>
      <c r="B10" s="116"/>
      <c r="C10" s="5"/>
      <c r="D10" s="345"/>
      <c r="E10" s="349" t="s">
        <v>296</v>
      </c>
      <c r="F10" s="350" t="s">
        <v>297</v>
      </c>
      <c r="G10" s="349" t="s">
        <v>296</v>
      </c>
      <c r="H10" s="350" t="s">
        <v>297</v>
      </c>
      <c r="I10" s="313" t="s">
        <v>461</v>
      </c>
    </row>
    <row r="11" spans="1:9" ht="23.25" customHeight="1">
      <c r="A11" s="7" t="s">
        <v>525</v>
      </c>
      <c r="B11" s="103"/>
      <c r="C11" s="8"/>
      <c r="D11" s="60"/>
      <c r="E11" s="55"/>
      <c r="F11" s="238"/>
      <c r="G11" s="55"/>
      <c r="H11" s="238"/>
      <c r="I11" s="337"/>
    </row>
    <row r="12" spans="1:9" ht="24" customHeight="1">
      <c r="A12" s="88" t="s">
        <v>291</v>
      </c>
      <c r="B12" s="88"/>
      <c r="C12" s="9"/>
      <c r="D12" s="137" t="s">
        <v>292</v>
      </c>
      <c r="E12" s="220">
        <f>E13+E15</f>
        <v>68544</v>
      </c>
      <c r="F12" s="242">
        <f>F13+F15</f>
        <v>61844</v>
      </c>
      <c r="G12" s="45">
        <f>G13+G15</f>
        <v>66235.90000000001</v>
      </c>
      <c r="H12" s="242">
        <f>H13+H15</f>
        <v>60631.33</v>
      </c>
      <c r="I12" s="339">
        <f>G12/E12*100</f>
        <v>96.63267390289451</v>
      </c>
    </row>
    <row r="13" spans="1:9" ht="20.25" customHeight="1">
      <c r="A13" s="138"/>
      <c r="B13" s="99" t="s">
        <v>526</v>
      </c>
      <c r="C13" s="48"/>
      <c r="D13" s="139" t="s">
        <v>527</v>
      </c>
      <c r="E13" s="37">
        <f>E14</f>
        <v>4200</v>
      </c>
      <c r="F13" s="130"/>
      <c r="G13" s="124">
        <f>G14</f>
        <v>3766.95</v>
      </c>
      <c r="H13" s="130"/>
      <c r="I13" s="338">
        <f aca="true" t="shared" si="0" ref="I13:I77">G13/E13*100</f>
        <v>89.6892857142857</v>
      </c>
    </row>
    <row r="14" spans="1:9" ht="43.5" customHeight="1">
      <c r="A14" s="105"/>
      <c r="B14" s="97"/>
      <c r="C14" s="13">
        <v>2850</v>
      </c>
      <c r="D14" s="2" t="s">
        <v>528</v>
      </c>
      <c r="E14" s="231">
        <v>4200</v>
      </c>
      <c r="F14" s="112"/>
      <c r="G14" s="119">
        <v>3766.95</v>
      </c>
      <c r="H14" s="112"/>
      <c r="I14" s="338">
        <f t="shared" si="0"/>
        <v>89.6892857142857</v>
      </c>
    </row>
    <row r="15" spans="1:9" ht="20.25" customHeight="1">
      <c r="A15" s="142"/>
      <c r="B15" s="138" t="s">
        <v>293</v>
      </c>
      <c r="C15" s="32"/>
      <c r="D15" s="33" t="s">
        <v>494</v>
      </c>
      <c r="E15" s="37">
        <f>SUM(E16:E19)</f>
        <v>64344</v>
      </c>
      <c r="F15" s="37">
        <f>SUM(F16:F19)</f>
        <v>61844</v>
      </c>
      <c r="G15" s="37">
        <f>SUM(G16:G19)</f>
        <v>62468.950000000004</v>
      </c>
      <c r="H15" s="37">
        <f>SUM(H16:H19)</f>
        <v>60631.33</v>
      </c>
      <c r="I15" s="338">
        <f t="shared" si="0"/>
        <v>97.0858976749969</v>
      </c>
    </row>
    <row r="16" spans="1:9" ht="20.25" customHeight="1">
      <c r="A16" s="104"/>
      <c r="B16" s="105"/>
      <c r="C16" s="13">
        <v>4210</v>
      </c>
      <c r="D16" s="2" t="s">
        <v>533</v>
      </c>
      <c r="E16" s="35">
        <v>100</v>
      </c>
      <c r="F16" s="134"/>
      <c r="G16" s="68">
        <v>0</v>
      </c>
      <c r="H16" s="134"/>
      <c r="I16" s="338"/>
    </row>
    <row r="17" spans="1:9" ht="18" customHeight="1">
      <c r="A17" s="104"/>
      <c r="B17" s="105"/>
      <c r="C17" s="13">
        <v>4300</v>
      </c>
      <c r="D17" s="2" t="s">
        <v>530</v>
      </c>
      <c r="E17" s="35">
        <v>3112.67</v>
      </c>
      <c r="F17" s="68">
        <v>1212.67</v>
      </c>
      <c r="G17" s="68">
        <v>1837.62</v>
      </c>
      <c r="H17" s="134">
        <v>0</v>
      </c>
      <c r="I17" s="338">
        <f t="shared" si="0"/>
        <v>59.03677550141839</v>
      </c>
    </row>
    <row r="18" spans="1:9" ht="29.25" customHeight="1">
      <c r="A18" s="104"/>
      <c r="B18" s="105"/>
      <c r="C18" s="27">
        <v>4390</v>
      </c>
      <c r="D18" s="2" t="s">
        <v>505</v>
      </c>
      <c r="E18" s="35">
        <v>500</v>
      </c>
      <c r="F18" s="68"/>
      <c r="G18" s="68">
        <v>0</v>
      </c>
      <c r="H18" s="134"/>
      <c r="I18" s="338"/>
    </row>
    <row r="19" spans="1:9" ht="21.75" customHeight="1">
      <c r="A19" s="104"/>
      <c r="B19" s="116"/>
      <c r="C19" s="27">
        <v>4430</v>
      </c>
      <c r="D19" s="2" t="s">
        <v>600</v>
      </c>
      <c r="E19" s="35">
        <v>60631.33</v>
      </c>
      <c r="F19" s="35">
        <v>60631.33</v>
      </c>
      <c r="G19" s="68">
        <v>60631.33</v>
      </c>
      <c r="H19" s="134">
        <v>60631.33</v>
      </c>
      <c r="I19" s="338">
        <f t="shared" si="0"/>
        <v>100</v>
      </c>
    </row>
    <row r="20" spans="1:9" ht="24.75" customHeight="1">
      <c r="A20" s="77">
        <v>600</v>
      </c>
      <c r="B20" s="77"/>
      <c r="C20" s="16"/>
      <c r="D20" s="44" t="s">
        <v>531</v>
      </c>
      <c r="E20" s="45">
        <f>E21+E24+E35</f>
        <v>23020155.32</v>
      </c>
      <c r="F20" s="115"/>
      <c r="G20" s="45">
        <f>G21+G24+G35</f>
        <v>22228889.27</v>
      </c>
      <c r="H20" s="115"/>
      <c r="I20" s="339">
        <f t="shared" si="0"/>
        <v>96.56272497296078</v>
      </c>
    </row>
    <row r="21" spans="1:9" ht="18" customHeight="1">
      <c r="A21" s="138"/>
      <c r="B21" s="141">
        <v>60004</v>
      </c>
      <c r="C21" s="32"/>
      <c r="D21" s="33" t="s">
        <v>88</v>
      </c>
      <c r="E21" s="124">
        <f>SUM(E22:E23)</f>
        <v>9920994.32</v>
      </c>
      <c r="F21" s="112"/>
      <c r="G21" s="124">
        <f>SUM(G22:G23)</f>
        <v>9919314.8</v>
      </c>
      <c r="H21" s="112"/>
      <c r="I21" s="338">
        <f t="shared" si="0"/>
        <v>99.98307105169273</v>
      </c>
    </row>
    <row r="22" spans="1:9" ht="30.75" customHeight="1">
      <c r="A22" s="104"/>
      <c r="B22" s="100"/>
      <c r="C22" s="13">
        <v>2650</v>
      </c>
      <c r="D22" s="2" t="s">
        <v>771</v>
      </c>
      <c r="E22" s="68">
        <v>9890994.32</v>
      </c>
      <c r="F22" s="112"/>
      <c r="G22" s="68">
        <v>9890994.32</v>
      </c>
      <c r="H22" s="112"/>
      <c r="I22" s="338">
        <f t="shared" si="0"/>
        <v>100</v>
      </c>
    </row>
    <row r="23" spans="1:9" ht="27" customHeight="1">
      <c r="A23" s="104"/>
      <c r="B23" s="105"/>
      <c r="C23" s="13">
        <v>6050</v>
      </c>
      <c r="D23" s="2" t="s">
        <v>338</v>
      </c>
      <c r="E23" s="68">
        <v>30000</v>
      </c>
      <c r="F23" s="112"/>
      <c r="G23" s="68">
        <v>28320.48</v>
      </c>
      <c r="H23" s="112"/>
      <c r="I23" s="338">
        <f t="shared" si="0"/>
        <v>94.4016</v>
      </c>
    </row>
    <row r="24" spans="1:9" ht="22.5" customHeight="1">
      <c r="A24" s="142"/>
      <c r="B24" s="61">
        <v>60016</v>
      </c>
      <c r="C24" s="31"/>
      <c r="D24" s="33" t="s">
        <v>532</v>
      </c>
      <c r="E24" s="124">
        <f>SUM(E25:E34)</f>
        <v>13049161</v>
      </c>
      <c r="F24" s="112"/>
      <c r="G24" s="124">
        <f>SUM(G25:G34)</f>
        <v>12273929.469999999</v>
      </c>
      <c r="H24" s="112"/>
      <c r="I24" s="338">
        <f t="shared" si="0"/>
        <v>94.05914656122334</v>
      </c>
    </row>
    <row r="25" spans="1:9" ht="18.75" customHeight="1">
      <c r="A25" s="142"/>
      <c r="B25" s="140"/>
      <c r="C25" s="13">
        <v>4170</v>
      </c>
      <c r="D25" s="2" t="s">
        <v>346</v>
      </c>
      <c r="E25" s="68">
        <v>5200</v>
      </c>
      <c r="F25" s="112"/>
      <c r="G25" s="68">
        <v>5200</v>
      </c>
      <c r="H25" s="112"/>
      <c r="I25" s="338">
        <f t="shared" si="0"/>
        <v>100</v>
      </c>
    </row>
    <row r="26" spans="1:9" ht="15" customHeight="1">
      <c r="A26" s="142"/>
      <c r="B26" s="140"/>
      <c r="C26" s="13">
        <v>4210</v>
      </c>
      <c r="D26" s="2" t="s">
        <v>533</v>
      </c>
      <c r="E26" s="68">
        <v>155411</v>
      </c>
      <c r="F26" s="112"/>
      <c r="G26" s="68">
        <v>155410.5</v>
      </c>
      <c r="H26" s="112"/>
      <c r="I26" s="338">
        <f t="shared" si="0"/>
        <v>99.99967827245175</v>
      </c>
    </row>
    <row r="27" spans="1:9" ht="15" customHeight="1">
      <c r="A27" s="104"/>
      <c r="B27" s="105"/>
      <c r="C27" s="13">
        <v>4270</v>
      </c>
      <c r="D27" s="2" t="s">
        <v>534</v>
      </c>
      <c r="E27" s="68">
        <v>4998372</v>
      </c>
      <c r="F27" s="112"/>
      <c r="G27" s="68">
        <v>4997856.85</v>
      </c>
      <c r="H27" s="112"/>
      <c r="I27" s="338">
        <f t="shared" si="0"/>
        <v>99.98969364425056</v>
      </c>
    </row>
    <row r="28" spans="1:9" ht="15" customHeight="1">
      <c r="A28" s="104"/>
      <c r="B28" s="105"/>
      <c r="C28" s="13">
        <v>4300</v>
      </c>
      <c r="D28" s="2" t="s">
        <v>530</v>
      </c>
      <c r="E28" s="68">
        <v>1227000</v>
      </c>
      <c r="F28" s="112"/>
      <c r="G28" s="68">
        <v>847767.64</v>
      </c>
      <c r="H28" s="112"/>
      <c r="I28" s="338">
        <f t="shared" si="0"/>
        <v>69.09271719641403</v>
      </c>
    </row>
    <row r="29" spans="1:9" ht="24" customHeight="1">
      <c r="A29" s="104"/>
      <c r="B29" s="105"/>
      <c r="C29" s="13">
        <v>4390</v>
      </c>
      <c r="D29" s="2" t="s">
        <v>337</v>
      </c>
      <c r="E29" s="68">
        <v>11808</v>
      </c>
      <c r="F29" s="112"/>
      <c r="G29" s="68">
        <v>11808</v>
      </c>
      <c r="H29" s="112"/>
      <c r="I29" s="338">
        <f t="shared" si="0"/>
        <v>100</v>
      </c>
    </row>
    <row r="30" spans="1:9" ht="15" customHeight="1">
      <c r="A30" s="104"/>
      <c r="B30" s="105"/>
      <c r="C30" s="13">
        <v>4580</v>
      </c>
      <c r="D30" s="2" t="s">
        <v>298</v>
      </c>
      <c r="E30" s="68">
        <v>3000</v>
      </c>
      <c r="F30" s="112"/>
      <c r="G30" s="68">
        <v>1950.29</v>
      </c>
      <c r="H30" s="112"/>
      <c r="I30" s="338">
        <f t="shared" si="0"/>
        <v>65.00966666666666</v>
      </c>
    </row>
    <row r="31" spans="1:9" ht="26.25" customHeight="1">
      <c r="A31" s="104"/>
      <c r="B31" s="105"/>
      <c r="C31" s="13">
        <v>4590</v>
      </c>
      <c r="D31" s="2" t="s">
        <v>535</v>
      </c>
      <c r="E31" s="68">
        <v>31130</v>
      </c>
      <c r="F31" s="112"/>
      <c r="G31" s="68">
        <v>27238.35</v>
      </c>
      <c r="H31" s="112"/>
      <c r="I31" s="338">
        <f t="shared" si="0"/>
        <v>87.49871506585288</v>
      </c>
    </row>
    <row r="32" spans="1:9" ht="39" customHeight="1">
      <c r="A32" s="104"/>
      <c r="B32" s="105"/>
      <c r="C32" s="13">
        <v>4600</v>
      </c>
      <c r="D32" s="2" t="s">
        <v>284</v>
      </c>
      <c r="E32" s="68">
        <v>7200</v>
      </c>
      <c r="F32" s="112"/>
      <c r="G32" s="68">
        <v>7200</v>
      </c>
      <c r="H32" s="112"/>
      <c r="I32" s="338">
        <f t="shared" si="0"/>
        <v>100</v>
      </c>
    </row>
    <row r="33" spans="1:9" ht="27" customHeight="1">
      <c r="A33" s="104"/>
      <c r="B33" s="105"/>
      <c r="C33" s="13">
        <v>4610</v>
      </c>
      <c r="D33" s="2" t="s">
        <v>597</v>
      </c>
      <c r="E33" s="68">
        <v>5000</v>
      </c>
      <c r="F33" s="112"/>
      <c r="G33" s="68">
        <v>4087.71</v>
      </c>
      <c r="H33" s="112"/>
      <c r="I33" s="338">
        <f t="shared" si="0"/>
        <v>81.7542</v>
      </c>
    </row>
    <row r="34" spans="1:9" ht="28.5" customHeight="1">
      <c r="A34" s="104"/>
      <c r="B34" s="105"/>
      <c r="C34" s="13">
        <v>6050</v>
      </c>
      <c r="D34" s="2" t="s">
        <v>338</v>
      </c>
      <c r="E34" s="68">
        <v>6605040</v>
      </c>
      <c r="F34" s="112"/>
      <c r="G34" s="68">
        <v>6215410.13</v>
      </c>
      <c r="H34" s="112"/>
      <c r="I34" s="338">
        <f t="shared" si="0"/>
        <v>94.1010217954774</v>
      </c>
    </row>
    <row r="35" spans="1:22" s="69" customFormat="1" ht="28.5" customHeight="1">
      <c r="A35" s="142"/>
      <c r="B35" s="61">
        <v>60095</v>
      </c>
      <c r="C35" s="31"/>
      <c r="D35" s="33" t="s">
        <v>494</v>
      </c>
      <c r="E35" s="124">
        <f>E36</f>
        <v>50000</v>
      </c>
      <c r="F35" s="132"/>
      <c r="G35" s="124">
        <f>G36</f>
        <v>35645</v>
      </c>
      <c r="H35" s="132"/>
      <c r="I35" s="338">
        <f t="shared" si="0"/>
        <v>71.28999999999999</v>
      </c>
      <c r="J35" s="447"/>
      <c r="K35" s="352"/>
      <c r="L35" s="352"/>
      <c r="M35" s="352"/>
      <c r="N35" s="352"/>
      <c r="O35" s="465"/>
      <c r="P35" s="352"/>
      <c r="Q35" s="352"/>
      <c r="R35" s="352"/>
      <c r="S35" s="352"/>
      <c r="T35" s="321"/>
      <c r="U35" s="321"/>
      <c r="V35" s="321"/>
    </row>
    <row r="36" spans="1:9" ht="28.5" customHeight="1">
      <c r="A36" s="104"/>
      <c r="B36" s="105"/>
      <c r="C36" s="13">
        <v>4300</v>
      </c>
      <c r="D36" s="2" t="s">
        <v>530</v>
      </c>
      <c r="E36" s="68">
        <v>50000</v>
      </c>
      <c r="F36" s="112"/>
      <c r="G36" s="68">
        <v>35645</v>
      </c>
      <c r="H36" s="112"/>
      <c r="I36" s="338">
        <f t="shared" si="0"/>
        <v>71.28999999999999</v>
      </c>
    </row>
    <row r="37" spans="1:9" ht="25.5" customHeight="1">
      <c r="A37" s="77">
        <v>700</v>
      </c>
      <c r="B37" s="77"/>
      <c r="C37" s="16"/>
      <c r="D37" s="44" t="s">
        <v>89</v>
      </c>
      <c r="E37" s="45">
        <f>E38+E54</f>
        <v>21910477</v>
      </c>
      <c r="F37" s="134"/>
      <c r="G37" s="45">
        <f>G38+G54</f>
        <v>21067461.590000004</v>
      </c>
      <c r="H37" s="134"/>
      <c r="I37" s="339">
        <f t="shared" si="0"/>
        <v>96.15245523865137</v>
      </c>
    </row>
    <row r="38" spans="1:9" ht="25.5" customHeight="1">
      <c r="A38" s="138"/>
      <c r="B38" s="61">
        <v>70005</v>
      </c>
      <c r="C38" s="31"/>
      <c r="D38" s="33" t="s">
        <v>286</v>
      </c>
      <c r="E38" s="124">
        <f>SUM(E39:E53)</f>
        <v>15712077</v>
      </c>
      <c r="F38" s="112"/>
      <c r="G38" s="124">
        <f>SUM(G39:G53)</f>
        <v>14947299.690000001</v>
      </c>
      <c r="H38" s="112"/>
      <c r="I38" s="338">
        <f t="shared" si="0"/>
        <v>95.1325511579405</v>
      </c>
    </row>
    <row r="39" spans="1:9" ht="16.5" customHeight="1">
      <c r="A39" s="142"/>
      <c r="B39" s="140"/>
      <c r="C39" s="13">
        <v>4170</v>
      </c>
      <c r="D39" s="2" t="s">
        <v>346</v>
      </c>
      <c r="E39" s="68">
        <v>2000</v>
      </c>
      <c r="F39" s="112"/>
      <c r="G39" s="68">
        <v>2000</v>
      </c>
      <c r="H39" s="112"/>
      <c r="I39" s="338">
        <f t="shared" si="0"/>
        <v>100</v>
      </c>
    </row>
    <row r="40" spans="1:9" ht="15" customHeight="1">
      <c r="A40" s="104"/>
      <c r="B40" s="105"/>
      <c r="C40" s="13">
        <v>4210</v>
      </c>
      <c r="D40" s="2" t="s">
        <v>533</v>
      </c>
      <c r="E40" s="68">
        <v>3840</v>
      </c>
      <c r="F40" s="112"/>
      <c r="G40" s="68">
        <v>3465.61</v>
      </c>
      <c r="H40" s="112"/>
      <c r="I40" s="338">
        <f t="shared" si="0"/>
        <v>90.25026041666668</v>
      </c>
    </row>
    <row r="41" spans="1:9" ht="15" customHeight="1">
      <c r="A41" s="104"/>
      <c r="B41" s="105"/>
      <c r="C41" s="27">
        <v>4260</v>
      </c>
      <c r="D41" s="40" t="s">
        <v>585</v>
      </c>
      <c r="E41" s="68">
        <v>5874450</v>
      </c>
      <c r="F41" s="112"/>
      <c r="G41" s="68">
        <v>5360454.38</v>
      </c>
      <c r="H41" s="112"/>
      <c r="I41" s="338">
        <f t="shared" si="0"/>
        <v>91.25031926393109</v>
      </c>
    </row>
    <row r="42" spans="1:9" ht="15" customHeight="1">
      <c r="A42" s="104"/>
      <c r="B42" s="105"/>
      <c r="C42" s="13">
        <v>4270</v>
      </c>
      <c r="D42" s="2" t="s">
        <v>534</v>
      </c>
      <c r="E42" s="68">
        <v>2150000</v>
      </c>
      <c r="F42" s="112"/>
      <c r="G42" s="68">
        <f>2150148.85-10000</f>
        <v>2140148.85</v>
      </c>
      <c r="H42" s="112"/>
      <c r="I42" s="338">
        <f t="shared" si="0"/>
        <v>99.54180697674418</v>
      </c>
    </row>
    <row r="43" spans="1:9" ht="15" customHeight="1">
      <c r="A43" s="104"/>
      <c r="B43" s="105"/>
      <c r="C43" s="22">
        <v>4300</v>
      </c>
      <c r="D43" s="2" t="s">
        <v>287</v>
      </c>
      <c r="E43" s="68">
        <v>3446000</v>
      </c>
      <c r="F43" s="112"/>
      <c r="G43" s="68">
        <f>3300987.8-16500.96</f>
        <v>3284486.84</v>
      </c>
      <c r="H43" s="112"/>
      <c r="I43" s="338">
        <f t="shared" si="0"/>
        <v>95.31302495647127</v>
      </c>
    </row>
    <row r="44" spans="1:9" ht="30.75" customHeight="1">
      <c r="A44" s="104"/>
      <c r="B44" s="105"/>
      <c r="C44" s="6">
        <v>4390</v>
      </c>
      <c r="D44" s="2" t="s">
        <v>451</v>
      </c>
      <c r="E44" s="68">
        <v>5000</v>
      </c>
      <c r="F44" s="112"/>
      <c r="G44" s="68">
        <v>4969.7</v>
      </c>
      <c r="H44" s="112"/>
      <c r="I44" s="338">
        <f t="shared" si="0"/>
        <v>99.39399999999999</v>
      </c>
    </row>
    <row r="45" spans="1:9" ht="15" customHeight="1">
      <c r="A45" s="104"/>
      <c r="B45" s="105"/>
      <c r="C45" s="27">
        <v>4430</v>
      </c>
      <c r="D45" s="2" t="s">
        <v>600</v>
      </c>
      <c r="E45" s="68">
        <v>46400</v>
      </c>
      <c r="F45" s="112"/>
      <c r="G45" s="68">
        <v>35991</v>
      </c>
      <c r="H45" s="112"/>
      <c r="I45" s="338">
        <f t="shared" si="0"/>
        <v>77.56681034482759</v>
      </c>
    </row>
    <row r="46" spans="1:9" ht="15" customHeight="1">
      <c r="A46" s="104"/>
      <c r="B46" s="105"/>
      <c r="C46" s="13">
        <v>4480</v>
      </c>
      <c r="D46" s="2" t="s">
        <v>306</v>
      </c>
      <c r="E46" s="68">
        <v>1288372</v>
      </c>
      <c r="F46" s="112"/>
      <c r="G46" s="68">
        <f>1290248.3-1894</f>
        <v>1288354.3</v>
      </c>
      <c r="H46" s="112"/>
      <c r="I46" s="338">
        <f t="shared" si="0"/>
        <v>99.99862617318601</v>
      </c>
    </row>
    <row r="47" spans="1:9" ht="27.75" customHeight="1">
      <c r="A47" s="104"/>
      <c r="B47" s="105"/>
      <c r="C47" s="13">
        <v>4500</v>
      </c>
      <c r="D47" s="2" t="s">
        <v>311</v>
      </c>
      <c r="E47" s="68">
        <v>2628</v>
      </c>
      <c r="F47" s="112"/>
      <c r="G47" s="68">
        <v>2628</v>
      </c>
      <c r="H47" s="112"/>
      <c r="I47" s="338">
        <f t="shared" si="0"/>
        <v>100</v>
      </c>
    </row>
    <row r="48" spans="1:9" ht="26.25" customHeight="1">
      <c r="A48" s="104"/>
      <c r="B48" s="105"/>
      <c r="C48" s="13">
        <v>4520</v>
      </c>
      <c r="D48" s="2" t="s">
        <v>452</v>
      </c>
      <c r="E48" s="68">
        <v>500</v>
      </c>
      <c r="F48" s="112"/>
      <c r="G48" s="68">
        <v>120</v>
      </c>
      <c r="H48" s="112"/>
      <c r="I48" s="338">
        <f t="shared" si="0"/>
        <v>24</v>
      </c>
    </row>
    <row r="49" spans="1:9" ht="16.5" customHeight="1">
      <c r="A49" s="104"/>
      <c r="B49" s="105"/>
      <c r="C49" s="13">
        <v>4530</v>
      </c>
      <c r="D49" s="2" t="s">
        <v>446</v>
      </c>
      <c r="E49" s="68">
        <v>515800</v>
      </c>
      <c r="F49" s="112"/>
      <c r="G49" s="68">
        <v>496157.64</v>
      </c>
      <c r="H49" s="112"/>
      <c r="I49" s="338">
        <f t="shared" si="0"/>
        <v>96.19186506397828</v>
      </c>
    </row>
    <row r="50" spans="1:9" ht="27" customHeight="1">
      <c r="A50" s="104"/>
      <c r="B50" s="105"/>
      <c r="C50" s="13">
        <v>4590</v>
      </c>
      <c r="D50" s="2" t="s">
        <v>535</v>
      </c>
      <c r="E50" s="68">
        <v>526817</v>
      </c>
      <c r="F50" s="112"/>
      <c r="G50" s="68">
        <v>526016</v>
      </c>
      <c r="H50" s="112"/>
      <c r="I50" s="338">
        <f t="shared" si="0"/>
        <v>99.84795479265097</v>
      </c>
    </row>
    <row r="51" spans="1:9" ht="40.5" customHeight="1">
      <c r="A51" s="104"/>
      <c r="B51" s="105"/>
      <c r="C51" s="13">
        <v>4600</v>
      </c>
      <c r="D51" s="2" t="s">
        <v>284</v>
      </c>
      <c r="E51" s="68">
        <v>282220</v>
      </c>
      <c r="F51" s="112"/>
      <c r="G51" s="68">
        <v>282010</v>
      </c>
      <c r="H51" s="112"/>
      <c r="I51" s="338">
        <f t="shared" si="0"/>
        <v>99.92558996527532</v>
      </c>
    </row>
    <row r="52" spans="1:9" ht="30" customHeight="1">
      <c r="A52" s="104"/>
      <c r="B52" s="105"/>
      <c r="C52" s="13">
        <v>4610</v>
      </c>
      <c r="D52" s="2" t="s">
        <v>766</v>
      </c>
      <c r="E52" s="68">
        <v>122050</v>
      </c>
      <c r="F52" s="112"/>
      <c r="G52" s="68">
        <f>106695.1-6711.63</f>
        <v>99983.47</v>
      </c>
      <c r="H52" s="112"/>
      <c r="I52" s="338">
        <f t="shared" si="0"/>
        <v>81.92009012699714</v>
      </c>
    </row>
    <row r="53" spans="1:9" ht="30" customHeight="1">
      <c r="A53" s="104"/>
      <c r="B53" s="105"/>
      <c r="C53" s="22">
        <v>6060</v>
      </c>
      <c r="D53" s="2" t="s">
        <v>598</v>
      </c>
      <c r="E53" s="68">
        <v>1446000</v>
      </c>
      <c r="F53" s="112"/>
      <c r="G53" s="68">
        <v>1420513.9</v>
      </c>
      <c r="H53" s="112"/>
      <c r="I53" s="338">
        <f t="shared" si="0"/>
        <v>98.23747579529737</v>
      </c>
    </row>
    <row r="54" spans="1:9" ht="20.25" customHeight="1">
      <c r="A54" s="140"/>
      <c r="B54" s="61">
        <v>70095</v>
      </c>
      <c r="C54" s="32"/>
      <c r="D54" s="139" t="s">
        <v>494</v>
      </c>
      <c r="E54" s="124">
        <f>SUM(E55:E61)</f>
        <v>6198400</v>
      </c>
      <c r="F54" s="112"/>
      <c r="G54" s="124">
        <f>SUM(G55:G61)</f>
        <v>6120161.9</v>
      </c>
      <c r="H54" s="112"/>
      <c r="I54" s="338">
        <f t="shared" si="0"/>
        <v>98.73776942436758</v>
      </c>
    </row>
    <row r="55" spans="1:9" ht="18.75" customHeight="1">
      <c r="A55" s="105"/>
      <c r="B55" s="97"/>
      <c r="C55" s="22">
        <v>4300</v>
      </c>
      <c r="D55" s="2" t="s">
        <v>287</v>
      </c>
      <c r="E55" s="68">
        <v>64000</v>
      </c>
      <c r="F55" s="112"/>
      <c r="G55" s="68">
        <v>10737.24</v>
      </c>
      <c r="H55" s="112"/>
      <c r="I55" s="338">
        <f t="shared" si="0"/>
        <v>16.7769375</v>
      </c>
    </row>
    <row r="56" spans="1:9" ht="18.75" customHeight="1">
      <c r="A56" s="105"/>
      <c r="B56" s="97"/>
      <c r="C56" s="6">
        <v>4390</v>
      </c>
      <c r="D56" s="2" t="s">
        <v>451</v>
      </c>
      <c r="E56" s="68">
        <v>1000</v>
      </c>
      <c r="F56" s="112"/>
      <c r="G56" s="68">
        <v>0</v>
      </c>
      <c r="H56" s="112"/>
      <c r="I56" s="338"/>
    </row>
    <row r="57" spans="1:9" ht="18.75" customHeight="1">
      <c r="A57" s="105"/>
      <c r="B57" s="97"/>
      <c r="C57" s="22">
        <v>4430</v>
      </c>
      <c r="D57" s="2" t="s">
        <v>600</v>
      </c>
      <c r="E57" s="68">
        <v>33500</v>
      </c>
      <c r="F57" s="112"/>
      <c r="G57" s="68">
        <v>32417.58</v>
      </c>
      <c r="H57" s="112"/>
      <c r="I57" s="338">
        <f t="shared" si="0"/>
        <v>96.76889552238806</v>
      </c>
    </row>
    <row r="58" spans="1:9" ht="18.75" customHeight="1">
      <c r="A58" s="105"/>
      <c r="B58" s="97"/>
      <c r="C58" s="13">
        <v>4580</v>
      </c>
      <c r="D58" s="2" t="s">
        <v>298</v>
      </c>
      <c r="E58" s="68">
        <v>1000</v>
      </c>
      <c r="F58" s="112"/>
      <c r="G58" s="68">
        <v>0</v>
      </c>
      <c r="H58" s="112"/>
      <c r="I58" s="338"/>
    </row>
    <row r="59" spans="1:9" ht="27.75" customHeight="1">
      <c r="A59" s="105"/>
      <c r="B59" s="97"/>
      <c r="C59" s="13">
        <v>4610</v>
      </c>
      <c r="D59" s="2" t="s">
        <v>597</v>
      </c>
      <c r="E59" s="68">
        <v>55000</v>
      </c>
      <c r="F59" s="112"/>
      <c r="G59" s="68">
        <v>48796.76</v>
      </c>
      <c r="H59" s="112"/>
      <c r="I59" s="338">
        <f t="shared" si="0"/>
        <v>88.72138181818183</v>
      </c>
    </row>
    <row r="60" spans="1:9" ht="58.5" customHeight="1">
      <c r="A60" s="105"/>
      <c r="B60" s="97"/>
      <c r="C60" s="13">
        <v>6010</v>
      </c>
      <c r="D60" s="2" t="s">
        <v>426</v>
      </c>
      <c r="E60" s="68">
        <v>1000000</v>
      </c>
      <c r="F60" s="112"/>
      <c r="G60" s="68">
        <v>1000000</v>
      </c>
      <c r="H60" s="112"/>
      <c r="I60" s="338">
        <f t="shared" si="0"/>
        <v>100</v>
      </c>
    </row>
    <row r="61" spans="1:9" ht="30.75" customHeight="1">
      <c r="A61" s="105"/>
      <c r="B61" s="97"/>
      <c r="C61" s="13">
        <v>6050</v>
      </c>
      <c r="D61" s="2" t="s">
        <v>338</v>
      </c>
      <c r="E61" s="68">
        <v>5043900</v>
      </c>
      <c r="F61" s="112"/>
      <c r="G61" s="68">
        <v>5028210.32</v>
      </c>
      <c r="H61" s="112"/>
      <c r="I61" s="338">
        <f t="shared" si="0"/>
        <v>99.68893752849978</v>
      </c>
    </row>
    <row r="62" spans="1:9" ht="23.25" customHeight="1">
      <c r="A62" s="77">
        <v>710</v>
      </c>
      <c r="B62" s="77"/>
      <c r="C62" s="16"/>
      <c r="D62" s="44" t="s">
        <v>503</v>
      </c>
      <c r="E62" s="45">
        <f>E63+E67+E69</f>
        <v>325000</v>
      </c>
      <c r="F62" s="134"/>
      <c r="G62" s="45">
        <f>G63+G67+G69</f>
        <v>297145.35</v>
      </c>
      <c r="H62" s="134"/>
      <c r="I62" s="339">
        <f t="shared" si="0"/>
        <v>91.42933846153845</v>
      </c>
    </row>
    <row r="63" spans="1:9" ht="26.25" customHeight="1">
      <c r="A63" s="140"/>
      <c r="B63" s="138">
        <v>71004</v>
      </c>
      <c r="C63" s="32"/>
      <c r="D63" s="33" t="s">
        <v>601</v>
      </c>
      <c r="E63" s="124">
        <f>SUM(E64:E66)</f>
        <v>209000</v>
      </c>
      <c r="F63" s="112"/>
      <c r="G63" s="124">
        <f>SUM(G64:G66)</f>
        <v>203420</v>
      </c>
      <c r="H63" s="112"/>
      <c r="I63" s="338">
        <f t="shared" si="0"/>
        <v>97.33014354066985</v>
      </c>
    </row>
    <row r="64" spans="1:9" ht="18" customHeight="1">
      <c r="A64" s="104"/>
      <c r="B64" s="100"/>
      <c r="C64" s="13">
        <v>4170</v>
      </c>
      <c r="D64" s="2" t="s">
        <v>583</v>
      </c>
      <c r="E64" s="68">
        <v>8700</v>
      </c>
      <c r="F64" s="112"/>
      <c r="G64" s="68">
        <v>8069</v>
      </c>
      <c r="H64" s="112"/>
      <c r="I64" s="338">
        <f t="shared" si="0"/>
        <v>92.74712643678161</v>
      </c>
    </row>
    <row r="65" spans="1:9" ht="18" customHeight="1">
      <c r="A65" s="104"/>
      <c r="B65" s="105"/>
      <c r="C65" s="13">
        <v>4300</v>
      </c>
      <c r="D65" s="2" t="s">
        <v>287</v>
      </c>
      <c r="E65" s="68">
        <v>184300</v>
      </c>
      <c r="F65" s="112"/>
      <c r="G65" s="68">
        <v>179351</v>
      </c>
      <c r="H65" s="112"/>
      <c r="I65" s="338">
        <f t="shared" si="0"/>
        <v>97.31470428648942</v>
      </c>
    </row>
    <row r="66" spans="1:9" ht="39.75" customHeight="1">
      <c r="A66" s="104"/>
      <c r="B66" s="116"/>
      <c r="C66" s="13">
        <v>4600</v>
      </c>
      <c r="D66" s="2" t="s">
        <v>284</v>
      </c>
      <c r="E66" s="68">
        <v>16000</v>
      </c>
      <c r="F66" s="112"/>
      <c r="G66" s="68">
        <v>16000</v>
      </c>
      <c r="H66" s="112"/>
      <c r="I66" s="338">
        <f t="shared" si="0"/>
        <v>100</v>
      </c>
    </row>
    <row r="67" spans="1:22" s="69" customFormat="1" ht="22.5" customHeight="1">
      <c r="A67" s="142"/>
      <c r="B67" s="101">
        <v>71014</v>
      </c>
      <c r="C67" s="31"/>
      <c r="D67" s="33" t="s">
        <v>603</v>
      </c>
      <c r="E67" s="124">
        <f>E68</f>
        <v>82000</v>
      </c>
      <c r="F67" s="132"/>
      <c r="G67" s="124">
        <f>G68</f>
        <v>76025.34999999999</v>
      </c>
      <c r="H67" s="132"/>
      <c r="I67" s="338">
        <f t="shared" si="0"/>
        <v>92.71384146341462</v>
      </c>
      <c r="J67" s="447"/>
      <c r="K67" s="352"/>
      <c r="L67" s="352"/>
      <c r="M67" s="352"/>
      <c r="N67" s="352"/>
      <c r="O67" s="465"/>
      <c r="P67" s="352"/>
      <c r="Q67" s="352"/>
      <c r="R67" s="352"/>
      <c r="S67" s="352"/>
      <c r="T67" s="321"/>
      <c r="U67" s="321"/>
      <c r="V67" s="321"/>
    </row>
    <row r="68" spans="1:9" ht="19.5" customHeight="1">
      <c r="A68" s="104"/>
      <c r="B68" s="105"/>
      <c r="C68" s="22">
        <v>4300</v>
      </c>
      <c r="D68" s="2" t="s">
        <v>569</v>
      </c>
      <c r="E68" s="68">
        <v>82000</v>
      </c>
      <c r="F68" s="112"/>
      <c r="G68" s="68">
        <f>88655.65-12630.3</f>
        <v>76025.34999999999</v>
      </c>
      <c r="H68" s="112"/>
      <c r="I68" s="338">
        <f t="shared" si="0"/>
        <v>92.71384146341462</v>
      </c>
    </row>
    <row r="69" spans="1:22" s="69" customFormat="1" ht="22.5" customHeight="1">
      <c r="A69" s="140"/>
      <c r="B69" s="61">
        <v>71035</v>
      </c>
      <c r="C69" s="32"/>
      <c r="D69" s="33" t="s">
        <v>570</v>
      </c>
      <c r="E69" s="124">
        <f>SUM(E70:E72)</f>
        <v>34000</v>
      </c>
      <c r="F69" s="132"/>
      <c r="G69" s="124">
        <f>SUM(G70:G72)</f>
        <v>17700</v>
      </c>
      <c r="H69" s="132"/>
      <c r="I69" s="338">
        <f t="shared" si="0"/>
        <v>52.05882352941177</v>
      </c>
      <c r="J69" s="447"/>
      <c r="K69" s="352"/>
      <c r="L69" s="352"/>
      <c r="M69" s="352"/>
      <c r="N69" s="352"/>
      <c r="O69" s="465"/>
      <c r="P69" s="352"/>
      <c r="Q69" s="352"/>
      <c r="R69" s="352"/>
      <c r="S69" s="352"/>
      <c r="T69" s="321"/>
      <c r="U69" s="321"/>
      <c r="V69" s="321"/>
    </row>
    <row r="70" spans="1:9" ht="20.25" customHeight="1">
      <c r="A70" s="104"/>
      <c r="B70" s="140"/>
      <c r="C70" s="13">
        <v>4270</v>
      </c>
      <c r="D70" s="2" t="s">
        <v>599</v>
      </c>
      <c r="E70" s="68">
        <v>15000</v>
      </c>
      <c r="F70" s="112"/>
      <c r="G70" s="68">
        <v>0</v>
      </c>
      <c r="H70" s="112"/>
      <c r="I70" s="338"/>
    </row>
    <row r="71" spans="1:9" ht="15" customHeight="1">
      <c r="A71" s="104"/>
      <c r="B71" s="140"/>
      <c r="C71" s="13">
        <v>4300</v>
      </c>
      <c r="D71" s="2" t="s">
        <v>530</v>
      </c>
      <c r="E71" s="68">
        <v>9000</v>
      </c>
      <c r="F71" s="112"/>
      <c r="G71" s="68">
        <v>9000</v>
      </c>
      <c r="H71" s="112"/>
      <c r="I71" s="338">
        <f t="shared" si="0"/>
        <v>100</v>
      </c>
    </row>
    <row r="72" spans="1:9" ht="27" customHeight="1">
      <c r="A72" s="104"/>
      <c r="B72" s="105"/>
      <c r="C72" s="13">
        <v>6050</v>
      </c>
      <c r="D72" s="2" t="s">
        <v>338</v>
      </c>
      <c r="E72" s="68">
        <v>10000</v>
      </c>
      <c r="F72" s="112"/>
      <c r="G72" s="68">
        <v>8700</v>
      </c>
      <c r="H72" s="112"/>
      <c r="I72" s="338">
        <f t="shared" si="0"/>
        <v>87</v>
      </c>
    </row>
    <row r="73" spans="1:9" ht="23.25" customHeight="1">
      <c r="A73" s="77">
        <v>750</v>
      </c>
      <c r="B73" s="77"/>
      <c r="C73" s="16"/>
      <c r="D73" s="44" t="s">
        <v>495</v>
      </c>
      <c r="E73" s="108">
        <f>E74+E80+E84+E114+E118</f>
        <v>28342548.269999996</v>
      </c>
      <c r="F73" s="108">
        <f>F74+F80+F84+F114+F118</f>
        <v>485100</v>
      </c>
      <c r="G73" s="108">
        <f>G74+G80+G84+G114+G118</f>
        <v>27285913.560000002</v>
      </c>
      <c r="H73" s="108">
        <f>H74+H80+H84+H114+H118</f>
        <v>485100</v>
      </c>
      <c r="I73" s="339">
        <f t="shared" si="0"/>
        <v>96.27191352049871</v>
      </c>
    </row>
    <row r="74" spans="1:12" ht="24" customHeight="1">
      <c r="A74" s="143"/>
      <c r="B74" s="99">
        <v>75011</v>
      </c>
      <c r="C74" s="32"/>
      <c r="D74" s="33" t="s">
        <v>571</v>
      </c>
      <c r="E74" s="124">
        <f>SUM(E75:E79)</f>
        <v>1647737</v>
      </c>
      <c r="F74" s="133">
        <f>SUM(F75:F79)</f>
        <v>485100</v>
      </c>
      <c r="G74" s="124">
        <f>SUM(G75:G79)</f>
        <v>1601222.1600000001</v>
      </c>
      <c r="H74" s="133">
        <f>SUM(H75:H79)</f>
        <v>485100</v>
      </c>
      <c r="I74" s="338">
        <f t="shared" si="0"/>
        <v>97.17704706515664</v>
      </c>
      <c r="K74" s="352"/>
      <c r="L74" s="352"/>
    </row>
    <row r="75" spans="1:9" ht="17.25" customHeight="1">
      <c r="A75" s="143"/>
      <c r="B75" s="117"/>
      <c r="C75" s="6">
        <v>4010</v>
      </c>
      <c r="D75" s="2" t="s">
        <v>572</v>
      </c>
      <c r="E75" s="68">
        <v>1285673.93</v>
      </c>
      <c r="F75" s="134">
        <v>364584.93</v>
      </c>
      <c r="G75" s="68">
        <f>885275.8+364584.93</f>
        <v>1249860.73</v>
      </c>
      <c r="H75" s="134">
        <v>364584.93</v>
      </c>
      <c r="I75" s="338">
        <f t="shared" si="0"/>
        <v>97.21444145639634</v>
      </c>
    </row>
    <row r="76" spans="1:9" ht="15" customHeight="1">
      <c r="A76" s="143"/>
      <c r="B76" s="117"/>
      <c r="C76" s="6">
        <v>4040</v>
      </c>
      <c r="D76" s="2" t="s">
        <v>575</v>
      </c>
      <c r="E76" s="68">
        <v>90349.08</v>
      </c>
      <c r="F76" s="134">
        <v>26936</v>
      </c>
      <c r="G76" s="68">
        <f>63413.08+26936</f>
        <v>90349.08</v>
      </c>
      <c r="H76" s="134">
        <v>26936</v>
      </c>
      <c r="I76" s="338">
        <f t="shared" si="0"/>
        <v>100</v>
      </c>
    </row>
    <row r="77" spans="1:9" ht="15" customHeight="1">
      <c r="A77" s="143"/>
      <c r="B77" s="117"/>
      <c r="C77" s="6">
        <v>4110</v>
      </c>
      <c r="D77" s="2" t="s">
        <v>576</v>
      </c>
      <c r="E77" s="68">
        <v>223246.92</v>
      </c>
      <c r="F77" s="134">
        <v>59073</v>
      </c>
      <c r="G77" s="68">
        <f>154800.48+59073</f>
        <v>213873.48</v>
      </c>
      <c r="H77" s="134">
        <v>59073</v>
      </c>
      <c r="I77" s="338">
        <f t="shared" si="0"/>
        <v>95.80131273479607</v>
      </c>
    </row>
    <row r="78" spans="1:9" ht="15" customHeight="1">
      <c r="A78" s="143"/>
      <c r="B78" s="117"/>
      <c r="C78" s="6">
        <v>4120</v>
      </c>
      <c r="D78" s="2" t="s">
        <v>577</v>
      </c>
      <c r="E78" s="68">
        <v>23489</v>
      </c>
      <c r="F78" s="134">
        <v>9528</v>
      </c>
      <c r="G78" s="68">
        <f>12632.8+9528</f>
        <v>22160.8</v>
      </c>
      <c r="H78" s="134">
        <v>9528</v>
      </c>
      <c r="I78" s="338">
        <f aca="true" t="shared" si="1" ref="I78:I127">G78/E78*100</f>
        <v>94.34543829026353</v>
      </c>
    </row>
    <row r="79" spans="1:9" ht="29.25" customHeight="1">
      <c r="A79" s="143"/>
      <c r="B79" s="117"/>
      <c r="C79" s="6">
        <v>4440</v>
      </c>
      <c r="D79" s="2" t="s">
        <v>578</v>
      </c>
      <c r="E79" s="130">
        <v>24978.07</v>
      </c>
      <c r="F79" s="130">
        <v>24978.07</v>
      </c>
      <c r="G79" s="130">
        <v>24978.07</v>
      </c>
      <c r="H79" s="130">
        <v>24978.07</v>
      </c>
      <c r="I79" s="338">
        <f t="shared" si="1"/>
        <v>100</v>
      </c>
    </row>
    <row r="80" spans="1:9" ht="31.5" customHeight="1">
      <c r="A80" s="140"/>
      <c r="B80" s="99">
        <v>75022</v>
      </c>
      <c r="C80" s="32"/>
      <c r="D80" s="33" t="s">
        <v>579</v>
      </c>
      <c r="E80" s="37">
        <f>SUM(E81:E83)</f>
        <v>419000</v>
      </c>
      <c r="F80" s="130"/>
      <c r="G80" s="124">
        <f>SUM(G81:G83)</f>
        <v>354473.3</v>
      </c>
      <c r="H80" s="130"/>
      <c r="I80" s="338">
        <f t="shared" si="1"/>
        <v>84.59983293556085</v>
      </c>
    </row>
    <row r="81" spans="1:9" ht="18" customHeight="1">
      <c r="A81" s="105"/>
      <c r="B81" s="117"/>
      <c r="C81" s="6">
        <v>3030</v>
      </c>
      <c r="D81" s="2" t="s">
        <v>602</v>
      </c>
      <c r="E81" s="55">
        <v>348500</v>
      </c>
      <c r="F81" s="112"/>
      <c r="G81" s="68">
        <v>328998.9</v>
      </c>
      <c r="H81" s="112"/>
      <c r="I81" s="338">
        <f t="shared" si="1"/>
        <v>94.40427546628408</v>
      </c>
    </row>
    <row r="82" spans="1:9" ht="15" customHeight="1">
      <c r="A82" s="105"/>
      <c r="B82" s="117"/>
      <c r="C82" s="6">
        <v>4210</v>
      </c>
      <c r="D82" s="2" t="s">
        <v>533</v>
      </c>
      <c r="E82" s="55">
        <v>37000</v>
      </c>
      <c r="F82" s="112"/>
      <c r="G82" s="68">
        <v>10401.97</v>
      </c>
      <c r="H82" s="112"/>
      <c r="I82" s="338">
        <f t="shared" si="1"/>
        <v>28.11343243243243</v>
      </c>
    </row>
    <row r="83" spans="1:9" ht="15" customHeight="1">
      <c r="A83" s="105"/>
      <c r="B83" s="117"/>
      <c r="C83" s="6">
        <v>4300</v>
      </c>
      <c r="D83" s="2" t="s">
        <v>530</v>
      </c>
      <c r="E83" s="55">
        <v>33500</v>
      </c>
      <c r="F83" s="112"/>
      <c r="G83" s="68">
        <v>15072.43</v>
      </c>
      <c r="H83" s="112"/>
      <c r="I83" s="338">
        <f t="shared" si="1"/>
        <v>44.99232835820896</v>
      </c>
    </row>
    <row r="84" spans="1:17" ht="30" customHeight="1">
      <c r="A84" s="140"/>
      <c r="B84" s="141">
        <v>75023</v>
      </c>
      <c r="C84" s="32"/>
      <c r="D84" s="33" t="s">
        <v>281</v>
      </c>
      <c r="E84" s="52">
        <f>SUM(E85:E113)</f>
        <v>24714472.269999996</v>
      </c>
      <c r="F84" s="112"/>
      <c r="G84" s="124">
        <f>SUM(G85:G113)</f>
        <v>23812837.180000003</v>
      </c>
      <c r="H84" s="112"/>
      <c r="I84" s="338">
        <f t="shared" si="1"/>
        <v>96.35179307027141</v>
      </c>
      <c r="K84" s="352"/>
      <c r="N84" s="352"/>
      <c r="Q84" s="352"/>
    </row>
    <row r="85" spans="1:9" ht="29.25" customHeight="1">
      <c r="A85" s="104"/>
      <c r="B85" s="100"/>
      <c r="C85" s="22">
        <v>3020</v>
      </c>
      <c r="D85" s="2" t="s">
        <v>582</v>
      </c>
      <c r="E85" s="35">
        <v>134700</v>
      </c>
      <c r="F85" s="112"/>
      <c r="G85" s="68">
        <v>124373.92</v>
      </c>
      <c r="H85" s="112"/>
      <c r="I85" s="338">
        <f t="shared" si="1"/>
        <v>92.33401633259093</v>
      </c>
    </row>
    <row r="86" spans="1:9" ht="18" customHeight="1">
      <c r="A86" s="104"/>
      <c r="B86" s="105"/>
      <c r="C86" s="6">
        <v>4010</v>
      </c>
      <c r="D86" s="2" t="s">
        <v>572</v>
      </c>
      <c r="E86" s="35">
        <v>14478138.72</v>
      </c>
      <c r="F86" s="112"/>
      <c r="G86" s="68">
        <v>14393606.12</v>
      </c>
      <c r="H86" s="112"/>
      <c r="I86" s="338">
        <f t="shared" si="1"/>
        <v>99.41613627528496</v>
      </c>
    </row>
    <row r="87" spans="1:9" ht="15" customHeight="1">
      <c r="A87" s="104"/>
      <c r="B87" s="105"/>
      <c r="C87" s="13">
        <v>4040</v>
      </c>
      <c r="D87" s="2" t="s">
        <v>575</v>
      </c>
      <c r="E87" s="35">
        <f>1072220-31210.42</f>
        <v>1041009.58</v>
      </c>
      <c r="F87" s="112"/>
      <c r="G87" s="68">
        <v>1041008.68</v>
      </c>
      <c r="H87" s="112"/>
      <c r="I87" s="338">
        <f t="shared" si="1"/>
        <v>99.99991354546421</v>
      </c>
    </row>
    <row r="88" spans="1:9" ht="15" customHeight="1">
      <c r="A88" s="104"/>
      <c r="B88" s="105"/>
      <c r="C88" s="13">
        <v>4110</v>
      </c>
      <c r="D88" s="2" t="s">
        <v>576</v>
      </c>
      <c r="E88" s="35">
        <f>2371996+111210.42</f>
        <v>2483206.42</v>
      </c>
      <c r="F88" s="112"/>
      <c r="G88" s="68">
        <v>2445133.25</v>
      </c>
      <c r="H88" s="112"/>
      <c r="I88" s="338">
        <f t="shared" si="1"/>
        <v>98.46677385764812</v>
      </c>
    </row>
    <row r="89" spans="1:9" ht="15" customHeight="1">
      <c r="A89" s="104"/>
      <c r="B89" s="105"/>
      <c r="C89" s="13">
        <v>4120</v>
      </c>
      <c r="D89" s="2" t="s">
        <v>577</v>
      </c>
      <c r="E89" s="35">
        <f>374428-80000</f>
        <v>294428</v>
      </c>
      <c r="F89" s="112"/>
      <c r="G89" s="68">
        <v>282755.25</v>
      </c>
      <c r="H89" s="112"/>
      <c r="I89" s="338">
        <f t="shared" si="1"/>
        <v>96.03544839485374</v>
      </c>
    </row>
    <row r="90" spans="1:9" ht="27.75" customHeight="1">
      <c r="A90" s="104"/>
      <c r="B90" s="105"/>
      <c r="C90" s="22">
        <v>4140</v>
      </c>
      <c r="D90" s="2" t="s">
        <v>758</v>
      </c>
      <c r="E90" s="35">
        <v>41000</v>
      </c>
      <c r="F90" s="112"/>
      <c r="G90" s="68">
        <v>30988</v>
      </c>
      <c r="H90" s="112"/>
      <c r="I90" s="338">
        <f t="shared" si="1"/>
        <v>75.58048780487805</v>
      </c>
    </row>
    <row r="91" spans="1:9" ht="15" customHeight="1">
      <c r="A91" s="104"/>
      <c r="B91" s="105"/>
      <c r="C91" s="6">
        <v>4170</v>
      </c>
      <c r="D91" s="2" t="s">
        <v>583</v>
      </c>
      <c r="E91" s="35">
        <v>146630</v>
      </c>
      <c r="F91" s="112"/>
      <c r="G91" s="68">
        <v>138872.7</v>
      </c>
      <c r="H91" s="112"/>
      <c r="I91" s="338">
        <f t="shared" si="1"/>
        <v>94.70960922048694</v>
      </c>
    </row>
    <row r="92" spans="1:9" ht="15" customHeight="1">
      <c r="A92" s="104"/>
      <c r="B92" s="105"/>
      <c r="C92" s="6">
        <v>4210</v>
      </c>
      <c r="D92" s="40" t="s">
        <v>584</v>
      </c>
      <c r="E92" s="35">
        <v>1099217</v>
      </c>
      <c r="F92" s="112"/>
      <c r="G92" s="68">
        <v>1031269.17</v>
      </c>
      <c r="H92" s="112"/>
      <c r="I92" s="338">
        <f t="shared" si="1"/>
        <v>93.81852445877385</v>
      </c>
    </row>
    <row r="93" spans="1:9" ht="15" customHeight="1">
      <c r="A93" s="104"/>
      <c r="B93" s="105"/>
      <c r="C93" s="6">
        <v>4260</v>
      </c>
      <c r="D93" s="2" t="s">
        <v>591</v>
      </c>
      <c r="E93" s="35">
        <v>699500</v>
      </c>
      <c r="F93" s="112"/>
      <c r="G93" s="68">
        <v>564693.33</v>
      </c>
      <c r="H93" s="112"/>
      <c r="I93" s="338">
        <f t="shared" si="1"/>
        <v>80.72813867047891</v>
      </c>
    </row>
    <row r="94" spans="1:9" ht="15" customHeight="1">
      <c r="A94" s="104"/>
      <c r="B94" s="105"/>
      <c r="C94" s="6">
        <v>4270</v>
      </c>
      <c r="D94" s="2" t="s">
        <v>599</v>
      </c>
      <c r="E94" s="35">
        <v>327112</v>
      </c>
      <c r="F94" s="112"/>
      <c r="G94" s="68">
        <v>277474.13</v>
      </c>
      <c r="H94" s="112"/>
      <c r="I94" s="338">
        <f t="shared" si="1"/>
        <v>84.82542065103084</v>
      </c>
    </row>
    <row r="95" spans="1:9" ht="15" customHeight="1">
      <c r="A95" s="104"/>
      <c r="B95" s="105"/>
      <c r="C95" s="6">
        <v>4280</v>
      </c>
      <c r="D95" s="40" t="s">
        <v>723</v>
      </c>
      <c r="E95" s="35">
        <v>50600</v>
      </c>
      <c r="F95" s="112"/>
      <c r="G95" s="68">
        <v>45357</v>
      </c>
      <c r="H95" s="112"/>
      <c r="I95" s="338">
        <f t="shared" si="1"/>
        <v>89.63833992094862</v>
      </c>
    </row>
    <row r="96" spans="1:9" ht="15" customHeight="1">
      <c r="A96" s="104"/>
      <c r="B96" s="105"/>
      <c r="C96" s="6">
        <v>4300</v>
      </c>
      <c r="D96" s="2" t="s">
        <v>287</v>
      </c>
      <c r="E96" s="35">
        <v>1554970.63</v>
      </c>
      <c r="F96" s="112"/>
      <c r="G96" s="68">
        <v>1239544.02</v>
      </c>
      <c r="H96" s="112"/>
      <c r="I96" s="338">
        <f t="shared" si="1"/>
        <v>79.71494741350838</v>
      </c>
    </row>
    <row r="97" spans="1:9" ht="15" customHeight="1">
      <c r="A97" s="104"/>
      <c r="B97" s="105"/>
      <c r="C97" s="6">
        <v>4350</v>
      </c>
      <c r="D97" s="2" t="s">
        <v>586</v>
      </c>
      <c r="E97" s="35">
        <v>59560</v>
      </c>
      <c r="F97" s="112"/>
      <c r="G97" s="68">
        <v>58400.82</v>
      </c>
      <c r="H97" s="112"/>
      <c r="I97" s="338">
        <f t="shared" si="1"/>
        <v>98.05376091336467</v>
      </c>
    </row>
    <row r="98" spans="1:9" ht="39.75" customHeight="1">
      <c r="A98" s="104"/>
      <c r="B98" s="105"/>
      <c r="C98" s="6">
        <v>4360</v>
      </c>
      <c r="D98" s="2" t="s">
        <v>768</v>
      </c>
      <c r="E98" s="35">
        <v>36000</v>
      </c>
      <c r="F98" s="112"/>
      <c r="G98" s="68">
        <v>31918.73</v>
      </c>
      <c r="H98" s="112"/>
      <c r="I98" s="338">
        <f t="shared" si="1"/>
        <v>88.6631388888889</v>
      </c>
    </row>
    <row r="99" spans="1:9" ht="39.75" customHeight="1">
      <c r="A99" s="104"/>
      <c r="B99" s="105"/>
      <c r="C99" s="6">
        <v>4370</v>
      </c>
      <c r="D99" s="2" t="s">
        <v>767</v>
      </c>
      <c r="E99" s="35">
        <v>114000</v>
      </c>
      <c r="F99" s="112"/>
      <c r="G99" s="68">
        <v>105082.84</v>
      </c>
      <c r="H99" s="112"/>
      <c r="I99" s="338">
        <f t="shared" si="1"/>
        <v>92.1779298245614</v>
      </c>
    </row>
    <row r="100" spans="1:9" ht="20.25" customHeight="1">
      <c r="A100" s="104"/>
      <c r="B100" s="105"/>
      <c r="C100" s="6">
        <v>4380</v>
      </c>
      <c r="D100" s="2" t="s">
        <v>280</v>
      </c>
      <c r="E100" s="35">
        <v>3430</v>
      </c>
      <c r="F100" s="112"/>
      <c r="G100" s="68">
        <v>3420.15</v>
      </c>
      <c r="H100" s="112"/>
      <c r="I100" s="338">
        <f t="shared" si="1"/>
        <v>99.71282798833819</v>
      </c>
    </row>
    <row r="101" spans="1:9" ht="27.75" customHeight="1">
      <c r="A101" s="104"/>
      <c r="B101" s="105"/>
      <c r="C101" s="6">
        <v>4390</v>
      </c>
      <c r="D101" s="2" t="s">
        <v>505</v>
      </c>
      <c r="E101" s="35">
        <v>19260</v>
      </c>
      <c r="F101" s="112"/>
      <c r="G101" s="68">
        <v>18750.12</v>
      </c>
      <c r="H101" s="112"/>
      <c r="I101" s="338">
        <f t="shared" si="1"/>
        <v>97.35264797507787</v>
      </c>
    </row>
    <row r="102" spans="1:9" ht="27" customHeight="1">
      <c r="A102" s="104"/>
      <c r="B102" s="105"/>
      <c r="C102" s="6">
        <v>4400</v>
      </c>
      <c r="D102" s="2" t="s">
        <v>728</v>
      </c>
      <c r="E102" s="35">
        <v>128227</v>
      </c>
      <c r="F102" s="112"/>
      <c r="G102" s="68">
        <v>128224.94</v>
      </c>
      <c r="H102" s="112"/>
      <c r="I102" s="338">
        <f t="shared" si="1"/>
        <v>99.99839347407332</v>
      </c>
    </row>
    <row r="103" spans="1:9" ht="15" customHeight="1">
      <c r="A103" s="104"/>
      <c r="B103" s="105"/>
      <c r="C103" s="6">
        <v>4410</v>
      </c>
      <c r="D103" s="2" t="s">
        <v>587</v>
      </c>
      <c r="E103" s="35">
        <v>293800</v>
      </c>
      <c r="F103" s="112"/>
      <c r="G103" s="68">
        <v>246693.01</v>
      </c>
      <c r="H103" s="112"/>
      <c r="I103" s="338">
        <f t="shared" si="1"/>
        <v>83.96630701157251</v>
      </c>
    </row>
    <row r="104" spans="1:9" ht="15" customHeight="1">
      <c r="A104" s="104"/>
      <c r="B104" s="105"/>
      <c r="C104" s="6">
        <v>4420</v>
      </c>
      <c r="D104" s="2" t="s">
        <v>588</v>
      </c>
      <c r="E104" s="35">
        <v>36000</v>
      </c>
      <c r="F104" s="112"/>
      <c r="G104" s="68">
        <v>31740.71</v>
      </c>
      <c r="H104" s="112"/>
      <c r="I104" s="338">
        <f t="shared" si="1"/>
        <v>88.16863888888888</v>
      </c>
    </row>
    <row r="105" spans="1:9" ht="15" customHeight="1">
      <c r="A105" s="104"/>
      <c r="B105" s="105"/>
      <c r="C105" s="6">
        <v>4430</v>
      </c>
      <c r="D105" s="2" t="s">
        <v>600</v>
      </c>
      <c r="E105" s="35">
        <v>134600</v>
      </c>
      <c r="F105" s="112"/>
      <c r="G105" s="68">
        <v>126342.92</v>
      </c>
      <c r="H105" s="112"/>
      <c r="I105" s="338">
        <f t="shared" si="1"/>
        <v>93.86546805349182</v>
      </c>
    </row>
    <row r="106" spans="1:9" ht="25.5" customHeight="1">
      <c r="A106" s="104"/>
      <c r="B106" s="105"/>
      <c r="C106" s="6">
        <v>4440</v>
      </c>
      <c r="D106" s="2" t="s">
        <v>578</v>
      </c>
      <c r="E106" s="35">
        <v>335667.65</v>
      </c>
      <c r="F106" s="112"/>
      <c r="G106" s="68">
        <v>335666.76</v>
      </c>
      <c r="H106" s="112"/>
      <c r="I106" s="338">
        <f t="shared" si="1"/>
        <v>99.99973485678467</v>
      </c>
    </row>
    <row r="107" spans="1:9" ht="19.5" customHeight="1">
      <c r="A107" s="104"/>
      <c r="B107" s="105"/>
      <c r="C107" s="6">
        <v>4480</v>
      </c>
      <c r="D107" s="2" t="s">
        <v>760</v>
      </c>
      <c r="E107" s="35">
        <v>26067</v>
      </c>
      <c r="F107" s="112"/>
      <c r="G107" s="68">
        <v>26066.84</v>
      </c>
      <c r="H107" s="112"/>
      <c r="I107" s="338">
        <f t="shared" si="1"/>
        <v>99.99938619710746</v>
      </c>
    </row>
    <row r="108" spans="1:9" ht="27.75" customHeight="1">
      <c r="A108" s="104"/>
      <c r="B108" s="105"/>
      <c r="C108" s="6">
        <v>4520</v>
      </c>
      <c r="D108" s="2" t="s">
        <v>92</v>
      </c>
      <c r="E108" s="35">
        <v>3550</v>
      </c>
      <c r="F108" s="112"/>
      <c r="G108" s="68">
        <v>3502.73</v>
      </c>
      <c r="H108" s="112"/>
      <c r="I108" s="338">
        <f t="shared" si="1"/>
        <v>98.66845070422535</v>
      </c>
    </row>
    <row r="109" spans="1:9" ht="22.5" customHeight="1">
      <c r="A109" s="104"/>
      <c r="B109" s="105"/>
      <c r="C109" s="13">
        <v>4530</v>
      </c>
      <c r="D109" s="2" t="s">
        <v>446</v>
      </c>
      <c r="E109" s="35">
        <v>1000</v>
      </c>
      <c r="F109" s="112"/>
      <c r="G109" s="68">
        <v>1.86</v>
      </c>
      <c r="H109" s="112"/>
      <c r="I109" s="338">
        <f t="shared" si="1"/>
        <v>0.186</v>
      </c>
    </row>
    <row r="110" spans="1:9" ht="26.25" customHeight="1">
      <c r="A110" s="104"/>
      <c r="B110" s="105"/>
      <c r="C110" s="6">
        <v>4610</v>
      </c>
      <c r="D110" s="2" t="s">
        <v>597</v>
      </c>
      <c r="E110" s="35">
        <v>103000</v>
      </c>
      <c r="F110" s="112"/>
      <c r="G110" s="68">
        <v>94326.5</v>
      </c>
      <c r="H110" s="112"/>
      <c r="I110" s="338">
        <f t="shared" si="1"/>
        <v>91.57912621359223</v>
      </c>
    </row>
    <row r="111" spans="1:9" ht="32.25" customHeight="1">
      <c r="A111" s="104"/>
      <c r="B111" s="105"/>
      <c r="C111" s="6">
        <v>4700</v>
      </c>
      <c r="D111" s="2" t="s">
        <v>93</v>
      </c>
      <c r="E111" s="35">
        <v>124000</v>
      </c>
      <c r="F111" s="112"/>
      <c r="G111" s="68">
        <v>104654.26</v>
      </c>
      <c r="H111" s="112"/>
      <c r="I111" s="338">
        <f t="shared" si="1"/>
        <v>84.39859677419355</v>
      </c>
    </row>
    <row r="112" spans="1:9" ht="25.5" customHeight="1">
      <c r="A112" s="104"/>
      <c r="B112" s="105"/>
      <c r="C112" s="6">
        <v>6050</v>
      </c>
      <c r="D112" s="2" t="s">
        <v>285</v>
      </c>
      <c r="E112" s="35">
        <v>668151.27</v>
      </c>
      <c r="F112" s="112"/>
      <c r="G112" s="68">
        <v>609033.97</v>
      </c>
      <c r="H112" s="112"/>
      <c r="I112" s="338">
        <f t="shared" si="1"/>
        <v>91.15210841401229</v>
      </c>
    </row>
    <row r="113" spans="1:9" ht="28.5" customHeight="1">
      <c r="A113" s="104"/>
      <c r="B113" s="105"/>
      <c r="C113" s="6">
        <v>6060</v>
      </c>
      <c r="D113" s="2" t="s">
        <v>598</v>
      </c>
      <c r="E113" s="35">
        <v>277647</v>
      </c>
      <c r="F113" s="112"/>
      <c r="G113" s="68">
        <v>273934.45</v>
      </c>
      <c r="H113" s="112"/>
      <c r="I113" s="338">
        <f t="shared" si="1"/>
        <v>98.66285247094333</v>
      </c>
    </row>
    <row r="114" spans="1:22" s="69" customFormat="1" ht="30.75" customHeight="1">
      <c r="A114" s="142"/>
      <c r="B114" s="61">
        <v>75075</v>
      </c>
      <c r="C114" s="31"/>
      <c r="D114" s="33" t="s">
        <v>589</v>
      </c>
      <c r="E114" s="314">
        <f>SUM(E115:E117)</f>
        <v>925146</v>
      </c>
      <c r="F114" s="132"/>
      <c r="G114" s="187">
        <f>SUM(G115:G117)</f>
        <v>914744.22</v>
      </c>
      <c r="H114" s="132"/>
      <c r="I114" s="338">
        <f t="shared" si="1"/>
        <v>98.87566070652632</v>
      </c>
      <c r="J114" s="447"/>
      <c r="K114" s="352"/>
      <c r="L114" s="352"/>
      <c r="M114" s="352"/>
      <c r="N114" s="352"/>
      <c r="O114" s="465"/>
      <c r="P114" s="352"/>
      <c r="Q114" s="352"/>
      <c r="R114" s="352"/>
      <c r="S114" s="352"/>
      <c r="T114" s="321"/>
      <c r="U114" s="321"/>
      <c r="V114" s="321"/>
    </row>
    <row r="115" spans="1:22" s="69" customFormat="1" ht="19.5" customHeight="1">
      <c r="A115" s="142"/>
      <c r="B115" s="140"/>
      <c r="C115" s="6">
        <v>4170</v>
      </c>
      <c r="D115" s="2" t="s">
        <v>583</v>
      </c>
      <c r="E115" s="35">
        <v>14400</v>
      </c>
      <c r="F115" s="132"/>
      <c r="G115" s="68">
        <v>14400</v>
      </c>
      <c r="H115" s="132"/>
      <c r="I115" s="338">
        <f t="shared" si="1"/>
        <v>100</v>
      </c>
      <c r="J115" s="447"/>
      <c r="K115" s="352"/>
      <c r="L115" s="352"/>
      <c r="M115" s="352"/>
      <c r="N115" s="352"/>
      <c r="O115" s="465"/>
      <c r="P115" s="352"/>
      <c r="Q115" s="352"/>
      <c r="R115" s="352"/>
      <c r="S115" s="352"/>
      <c r="T115" s="321"/>
      <c r="U115" s="321"/>
      <c r="V115" s="321"/>
    </row>
    <row r="116" spans="1:22" s="69" customFormat="1" ht="21" customHeight="1">
      <c r="A116" s="142"/>
      <c r="B116" s="140"/>
      <c r="C116" s="6">
        <v>4210</v>
      </c>
      <c r="D116" s="2" t="s">
        <v>584</v>
      </c>
      <c r="E116" s="35">
        <v>82180</v>
      </c>
      <c r="F116" s="132"/>
      <c r="G116" s="68">
        <v>82127.61</v>
      </c>
      <c r="H116" s="132"/>
      <c r="I116" s="338">
        <f t="shared" si="1"/>
        <v>99.93624969578973</v>
      </c>
      <c r="J116" s="447"/>
      <c r="K116" s="352"/>
      <c r="L116" s="352"/>
      <c r="M116" s="352"/>
      <c r="N116" s="352"/>
      <c r="O116" s="465"/>
      <c r="P116" s="352"/>
      <c r="Q116" s="352"/>
      <c r="R116" s="352"/>
      <c r="S116" s="352"/>
      <c r="T116" s="321"/>
      <c r="U116" s="321"/>
      <c r="V116" s="321"/>
    </row>
    <row r="117" spans="1:22" s="69" customFormat="1" ht="20.25" customHeight="1">
      <c r="A117" s="142"/>
      <c r="B117" s="140"/>
      <c r="C117" s="6">
        <v>4300</v>
      </c>
      <c r="D117" s="2" t="s">
        <v>569</v>
      </c>
      <c r="E117" s="35">
        <v>828566</v>
      </c>
      <c r="F117" s="132"/>
      <c r="G117" s="68">
        <v>818216.61</v>
      </c>
      <c r="H117" s="132"/>
      <c r="I117" s="338">
        <f t="shared" si="1"/>
        <v>98.75092750607676</v>
      </c>
      <c r="J117" s="447"/>
      <c r="K117" s="352"/>
      <c r="L117" s="352"/>
      <c r="M117" s="352"/>
      <c r="N117" s="352"/>
      <c r="O117" s="465"/>
      <c r="P117" s="352"/>
      <c r="Q117" s="352"/>
      <c r="R117" s="352"/>
      <c r="S117" s="352"/>
      <c r="T117" s="321"/>
      <c r="U117" s="321"/>
      <c r="V117" s="321"/>
    </row>
    <row r="118" spans="1:22" s="69" customFormat="1" ht="21" customHeight="1">
      <c r="A118" s="142"/>
      <c r="B118" s="61">
        <v>75095</v>
      </c>
      <c r="C118" s="36"/>
      <c r="D118" s="33" t="s">
        <v>494</v>
      </c>
      <c r="E118" s="37">
        <f>SUM(E119:E122)</f>
        <v>636193</v>
      </c>
      <c r="F118" s="132"/>
      <c r="G118" s="37">
        <f>SUM(G119:G122)</f>
        <v>602636.7</v>
      </c>
      <c r="H118" s="132"/>
      <c r="I118" s="338">
        <f t="shared" si="1"/>
        <v>94.72545281070366</v>
      </c>
      <c r="J118" s="447"/>
      <c r="K118" s="352"/>
      <c r="L118" s="352"/>
      <c r="M118" s="352"/>
      <c r="N118" s="352"/>
      <c r="O118" s="465"/>
      <c r="P118" s="352"/>
      <c r="Q118" s="352"/>
      <c r="R118" s="352"/>
      <c r="S118" s="352"/>
      <c r="T118" s="321"/>
      <c r="U118" s="321"/>
      <c r="V118" s="321"/>
    </row>
    <row r="119" spans="1:22" s="69" customFormat="1" ht="21" customHeight="1">
      <c r="A119" s="142"/>
      <c r="B119" s="140"/>
      <c r="C119" s="6">
        <v>4210</v>
      </c>
      <c r="D119" s="40" t="s">
        <v>584</v>
      </c>
      <c r="E119" s="35">
        <v>5000</v>
      </c>
      <c r="F119" s="112"/>
      <c r="G119" s="35">
        <v>4433.63</v>
      </c>
      <c r="H119" s="112"/>
      <c r="I119" s="338">
        <f t="shared" si="1"/>
        <v>88.6726</v>
      </c>
      <c r="J119" s="447"/>
      <c r="K119" s="352"/>
      <c r="L119" s="352"/>
      <c r="M119" s="352"/>
      <c r="N119" s="352"/>
      <c r="O119" s="465"/>
      <c r="P119" s="352"/>
      <c r="Q119" s="352"/>
      <c r="R119" s="352"/>
      <c r="S119" s="352"/>
      <c r="T119" s="321"/>
      <c r="U119" s="321"/>
      <c r="V119" s="321"/>
    </row>
    <row r="120" spans="1:22" s="69" customFormat="1" ht="20.25" customHeight="1">
      <c r="A120" s="142"/>
      <c r="B120" s="140"/>
      <c r="C120" s="6">
        <v>4300</v>
      </c>
      <c r="D120" s="2" t="s">
        <v>569</v>
      </c>
      <c r="E120" s="35">
        <v>33813</v>
      </c>
      <c r="F120" s="112"/>
      <c r="G120" s="35">
        <v>33675</v>
      </c>
      <c r="H120" s="112"/>
      <c r="I120" s="338">
        <f t="shared" si="1"/>
        <v>99.59187294827433</v>
      </c>
      <c r="J120" s="447"/>
      <c r="K120" s="352"/>
      <c r="L120" s="352"/>
      <c r="M120" s="352"/>
      <c r="N120" s="352"/>
      <c r="O120" s="465"/>
      <c r="P120" s="352"/>
      <c r="Q120" s="352"/>
      <c r="R120" s="352"/>
      <c r="S120" s="352"/>
      <c r="T120" s="321"/>
      <c r="U120" s="321"/>
      <c r="V120" s="321"/>
    </row>
    <row r="121" spans="1:22" s="69" customFormat="1" ht="25.5" customHeight="1">
      <c r="A121" s="142"/>
      <c r="B121" s="140"/>
      <c r="C121" s="6">
        <v>4390</v>
      </c>
      <c r="D121" s="2" t="s">
        <v>505</v>
      </c>
      <c r="E121" s="35">
        <v>7380</v>
      </c>
      <c r="F121" s="112"/>
      <c r="G121" s="35">
        <v>0</v>
      </c>
      <c r="H121" s="112"/>
      <c r="I121" s="338"/>
      <c r="J121" s="447"/>
      <c r="K121" s="352"/>
      <c r="L121" s="352"/>
      <c r="M121" s="352"/>
      <c r="N121" s="352"/>
      <c r="O121" s="465"/>
      <c r="P121" s="352"/>
      <c r="Q121" s="352"/>
      <c r="R121" s="352"/>
      <c r="S121" s="352"/>
      <c r="T121" s="321"/>
      <c r="U121" s="321"/>
      <c r="V121" s="321"/>
    </row>
    <row r="122" spans="1:22" s="69" customFormat="1" ht="27" customHeight="1">
      <c r="A122" s="142"/>
      <c r="B122" s="140"/>
      <c r="C122" s="6">
        <v>6050</v>
      </c>
      <c r="D122" s="2" t="s">
        <v>285</v>
      </c>
      <c r="E122" s="35">
        <v>590000</v>
      </c>
      <c r="F122" s="112"/>
      <c r="G122" s="68">
        <v>564528.07</v>
      </c>
      <c r="H122" s="112"/>
      <c r="I122" s="338">
        <f t="shared" si="1"/>
        <v>95.68272372881354</v>
      </c>
      <c r="J122" s="447"/>
      <c r="K122" s="352"/>
      <c r="L122" s="352"/>
      <c r="M122" s="352"/>
      <c r="N122" s="352"/>
      <c r="O122" s="465"/>
      <c r="P122" s="352"/>
      <c r="Q122" s="352"/>
      <c r="R122" s="352"/>
      <c r="S122" s="352"/>
      <c r="T122" s="321"/>
      <c r="U122" s="321"/>
      <c r="V122" s="321"/>
    </row>
    <row r="123" spans="1:9" ht="45.75" customHeight="1">
      <c r="A123" s="78">
        <v>751</v>
      </c>
      <c r="B123" s="77"/>
      <c r="C123" s="16"/>
      <c r="D123" s="44" t="s">
        <v>282</v>
      </c>
      <c r="E123" s="85">
        <f>E124</f>
        <v>13500</v>
      </c>
      <c r="F123" s="85">
        <f>F124</f>
        <v>13500</v>
      </c>
      <c r="G123" s="85">
        <f>G124</f>
        <v>12931.61</v>
      </c>
      <c r="H123" s="85">
        <f>H124</f>
        <v>12931.61</v>
      </c>
      <c r="I123" s="339">
        <f t="shared" si="1"/>
        <v>95.78970370370371</v>
      </c>
    </row>
    <row r="124" spans="1:9" ht="43.5" customHeight="1">
      <c r="A124" s="138"/>
      <c r="B124" s="99">
        <v>75101</v>
      </c>
      <c r="C124" s="32"/>
      <c r="D124" s="33" t="s">
        <v>282</v>
      </c>
      <c r="E124" s="125">
        <f>E125+E126+E127</f>
        <v>13500</v>
      </c>
      <c r="F124" s="336">
        <f>F125+F126+F127</f>
        <v>13500</v>
      </c>
      <c r="G124" s="125">
        <f>G125+G126+G127</f>
        <v>12931.61</v>
      </c>
      <c r="H124" s="336">
        <f>H125+H126+H127</f>
        <v>12931.61</v>
      </c>
      <c r="I124" s="338">
        <f t="shared" si="1"/>
        <v>95.78970370370371</v>
      </c>
    </row>
    <row r="125" spans="1:9" ht="15" customHeight="1">
      <c r="A125" s="105"/>
      <c r="B125" s="117"/>
      <c r="C125" s="6">
        <v>4110</v>
      </c>
      <c r="D125" s="2" t="s">
        <v>576</v>
      </c>
      <c r="E125" s="173">
        <v>1960</v>
      </c>
      <c r="F125" s="173">
        <v>1960</v>
      </c>
      <c r="G125" s="134">
        <v>1871.08</v>
      </c>
      <c r="H125" s="134">
        <v>1871.08</v>
      </c>
      <c r="I125" s="338">
        <f t="shared" si="1"/>
        <v>95.46326530612245</v>
      </c>
    </row>
    <row r="126" spans="1:9" ht="15" customHeight="1">
      <c r="A126" s="105"/>
      <c r="B126" s="105"/>
      <c r="C126" s="6">
        <v>4120</v>
      </c>
      <c r="D126" s="2" t="s">
        <v>577</v>
      </c>
      <c r="E126" s="173">
        <v>190</v>
      </c>
      <c r="F126" s="173">
        <v>190</v>
      </c>
      <c r="G126" s="134">
        <v>175.53</v>
      </c>
      <c r="H126" s="134">
        <v>175.53</v>
      </c>
      <c r="I126" s="338">
        <f t="shared" si="1"/>
        <v>92.3842105263158</v>
      </c>
    </row>
    <row r="127" spans="1:9" ht="18" customHeight="1">
      <c r="A127" s="104"/>
      <c r="B127" s="104"/>
      <c r="C127" s="6">
        <v>4170</v>
      </c>
      <c r="D127" s="2" t="s">
        <v>583</v>
      </c>
      <c r="E127" s="173">
        <v>11350</v>
      </c>
      <c r="F127" s="173">
        <v>11350</v>
      </c>
      <c r="G127" s="134">
        <v>10885</v>
      </c>
      <c r="H127" s="134">
        <v>10885</v>
      </c>
      <c r="I127" s="338">
        <f t="shared" si="1"/>
        <v>95.90308370044053</v>
      </c>
    </row>
    <row r="128" spans="1:9" ht="22.5" customHeight="1">
      <c r="A128" s="144">
        <v>752</v>
      </c>
      <c r="B128" s="16"/>
      <c r="C128" s="17"/>
      <c r="D128" s="44" t="s">
        <v>299</v>
      </c>
      <c r="E128" s="45">
        <f>E129</f>
        <v>4000</v>
      </c>
      <c r="F128" s="134"/>
      <c r="G128" s="45">
        <f>G129</f>
        <v>0</v>
      </c>
      <c r="H128" s="173"/>
      <c r="I128" s="343"/>
    </row>
    <row r="129" spans="1:22" s="69" customFormat="1" ht="17.25" customHeight="1">
      <c r="A129" s="47"/>
      <c r="B129" s="48">
        <v>75212</v>
      </c>
      <c r="C129" s="32"/>
      <c r="D129" s="33" t="s">
        <v>300</v>
      </c>
      <c r="E129" s="124">
        <f>E130</f>
        <v>4000</v>
      </c>
      <c r="F129" s="133"/>
      <c r="G129" s="124">
        <f>G130</f>
        <v>0</v>
      </c>
      <c r="H129" s="177"/>
      <c r="I129" s="344"/>
      <c r="J129" s="447"/>
      <c r="K129" s="352"/>
      <c r="L129" s="352"/>
      <c r="M129" s="352"/>
      <c r="N129" s="352"/>
      <c r="O129" s="465"/>
      <c r="P129" s="352"/>
      <c r="Q129" s="352"/>
      <c r="R129" s="352"/>
      <c r="S129" s="352"/>
      <c r="T129" s="321"/>
      <c r="U129" s="321"/>
      <c r="V129" s="321"/>
    </row>
    <row r="130" spans="1:9" ht="19.5" customHeight="1">
      <c r="A130" s="23"/>
      <c r="B130" s="23"/>
      <c r="C130" s="6">
        <v>4300</v>
      </c>
      <c r="D130" s="2" t="s">
        <v>530</v>
      </c>
      <c r="E130" s="119">
        <v>4000</v>
      </c>
      <c r="F130" s="112"/>
      <c r="G130" s="119">
        <v>0</v>
      </c>
      <c r="H130" s="113"/>
      <c r="I130" s="340"/>
    </row>
    <row r="131" spans="1:9" ht="27.75" customHeight="1">
      <c r="A131" s="77">
        <v>754</v>
      </c>
      <c r="B131" s="78"/>
      <c r="C131" s="16"/>
      <c r="D131" s="44" t="s">
        <v>496</v>
      </c>
      <c r="E131" s="108">
        <f>E132+E143+E147+E149</f>
        <v>203540</v>
      </c>
      <c r="F131" s="134"/>
      <c r="G131" s="108">
        <f>G132+G143+G147+G149</f>
        <v>187694.46000000002</v>
      </c>
      <c r="H131" s="134"/>
      <c r="I131" s="442">
        <f aca="true" t="shared" si="2" ref="I131:I182">G131/E131*100</f>
        <v>92.21502407389211</v>
      </c>
    </row>
    <row r="132" spans="1:9" ht="24.75" customHeight="1">
      <c r="A132" s="140" t="s">
        <v>83</v>
      </c>
      <c r="B132" s="99">
        <v>75412</v>
      </c>
      <c r="C132" s="31" t="s">
        <v>83</v>
      </c>
      <c r="D132" s="33" t="s">
        <v>590</v>
      </c>
      <c r="E132" s="52">
        <f>SUM(E133:E142)</f>
        <v>145440</v>
      </c>
      <c r="F132" s="112"/>
      <c r="G132" s="124">
        <f>SUM(G133:G142)</f>
        <v>136515.38</v>
      </c>
      <c r="H132" s="112"/>
      <c r="I132" s="338">
        <f t="shared" si="2"/>
        <v>93.8637101210121</v>
      </c>
    </row>
    <row r="133" spans="1:9" ht="16.5" customHeight="1">
      <c r="A133" s="105"/>
      <c r="B133" s="97"/>
      <c r="C133" s="13">
        <v>3030</v>
      </c>
      <c r="D133" s="2" t="s">
        <v>602</v>
      </c>
      <c r="E133" s="55">
        <v>26600</v>
      </c>
      <c r="F133" s="112"/>
      <c r="G133" s="68">
        <v>18595.17</v>
      </c>
      <c r="H133" s="112"/>
      <c r="I133" s="338">
        <f t="shared" si="2"/>
        <v>69.90665413533834</v>
      </c>
    </row>
    <row r="134" spans="1:9" ht="15" customHeight="1">
      <c r="A134" s="105"/>
      <c r="B134" s="97"/>
      <c r="C134" s="13">
        <v>4110</v>
      </c>
      <c r="D134" s="2" t="s">
        <v>576</v>
      </c>
      <c r="E134" s="55">
        <v>1651</v>
      </c>
      <c r="F134" s="112"/>
      <c r="G134" s="68">
        <v>1650.24</v>
      </c>
      <c r="H134" s="112"/>
      <c r="I134" s="338">
        <f t="shared" si="2"/>
        <v>99.95396729254998</v>
      </c>
    </row>
    <row r="135" spans="1:9" ht="15" customHeight="1">
      <c r="A135" s="105"/>
      <c r="B135" s="97"/>
      <c r="C135" s="6">
        <v>4170</v>
      </c>
      <c r="D135" s="2" t="s">
        <v>583</v>
      </c>
      <c r="E135" s="55">
        <v>36600</v>
      </c>
      <c r="F135" s="112"/>
      <c r="G135" s="68">
        <v>36600</v>
      </c>
      <c r="H135" s="112"/>
      <c r="I135" s="338">
        <f t="shared" si="2"/>
        <v>100</v>
      </c>
    </row>
    <row r="136" spans="1:9" ht="15" customHeight="1">
      <c r="A136" s="105"/>
      <c r="B136" s="97"/>
      <c r="C136" s="13">
        <v>4210</v>
      </c>
      <c r="D136" s="2" t="s">
        <v>533</v>
      </c>
      <c r="E136" s="55">
        <v>39146</v>
      </c>
      <c r="F136" s="112"/>
      <c r="G136" s="68">
        <v>39121.26</v>
      </c>
      <c r="H136" s="112"/>
      <c r="I136" s="338">
        <f t="shared" si="2"/>
        <v>99.93680069483473</v>
      </c>
    </row>
    <row r="137" spans="1:9" ht="15" customHeight="1">
      <c r="A137" s="105"/>
      <c r="B137" s="97"/>
      <c r="C137" s="13">
        <v>4260</v>
      </c>
      <c r="D137" s="2" t="s">
        <v>591</v>
      </c>
      <c r="E137" s="55">
        <v>4000</v>
      </c>
      <c r="F137" s="112"/>
      <c r="G137" s="68">
        <v>3144.05</v>
      </c>
      <c r="H137" s="112"/>
      <c r="I137" s="338">
        <f t="shared" si="2"/>
        <v>78.60125</v>
      </c>
    </row>
    <row r="138" spans="1:9" ht="15" customHeight="1">
      <c r="A138" s="105"/>
      <c r="B138" s="97"/>
      <c r="C138" s="6">
        <v>4270</v>
      </c>
      <c r="D138" s="2" t="s">
        <v>599</v>
      </c>
      <c r="E138" s="55">
        <v>4183</v>
      </c>
      <c r="F138" s="112"/>
      <c r="G138" s="68">
        <v>4182.37</v>
      </c>
      <c r="H138" s="112"/>
      <c r="I138" s="338">
        <f t="shared" si="2"/>
        <v>99.98493903896724</v>
      </c>
    </row>
    <row r="139" spans="1:9" ht="15" customHeight="1">
      <c r="A139" s="105"/>
      <c r="B139" s="97"/>
      <c r="C139" s="13">
        <v>4300</v>
      </c>
      <c r="D139" s="2" t="s">
        <v>530</v>
      </c>
      <c r="E139" s="55">
        <v>12201</v>
      </c>
      <c r="F139" s="112"/>
      <c r="G139" s="68">
        <v>12199.01</v>
      </c>
      <c r="H139" s="112"/>
      <c r="I139" s="338">
        <f t="shared" si="2"/>
        <v>99.98368986148677</v>
      </c>
    </row>
    <row r="140" spans="1:9" ht="39.75" customHeight="1">
      <c r="A140" s="105"/>
      <c r="B140" s="97"/>
      <c r="C140" s="6">
        <v>4360</v>
      </c>
      <c r="D140" s="2" t="s">
        <v>768</v>
      </c>
      <c r="E140" s="55">
        <v>240</v>
      </c>
      <c r="F140" s="112"/>
      <c r="G140" s="68">
        <v>205</v>
      </c>
      <c r="H140" s="112"/>
      <c r="I140" s="338">
        <f t="shared" si="2"/>
        <v>85.41666666666666</v>
      </c>
    </row>
    <row r="141" spans="1:9" ht="15" customHeight="1">
      <c r="A141" s="105"/>
      <c r="B141" s="97"/>
      <c r="C141" s="22">
        <v>4430</v>
      </c>
      <c r="D141" s="39" t="s">
        <v>288</v>
      </c>
      <c r="E141" s="55">
        <v>11999</v>
      </c>
      <c r="F141" s="112"/>
      <c r="G141" s="68">
        <v>11999</v>
      </c>
      <c r="H141" s="112"/>
      <c r="I141" s="338">
        <f t="shared" si="2"/>
        <v>100</v>
      </c>
    </row>
    <row r="142" spans="1:9" ht="26.25" customHeight="1">
      <c r="A142" s="105"/>
      <c r="B142" s="97"/>
      <c r="C142" s="13">
        <v>6060</v>
      </c>
      <c r="D142" s="2" t="s">
        <v>598</v>
      </c>
      <c r="E142" s="118">
        <v>8820</v>
      </c>
      <c r="F142" s="112"/>
      <c r="G142" s="94">
        <v>8819.28</v>
      </c>
      <c r="H142" s="112"/>
      <c r="I142" s="338">
        <f t="shared" si="2"/>
        <v>99.99183673469389</v>
      </c>
    </row>
    <row r="143" spans="1:9" ht="20.25" customHeight="1">
      <c r="A143" s="140"/>
      <c r="B143" s="61">
        <v>75414</v>
      </c>
      <c r="C143" s="31" t="s">
        <v>83</v>
      </c>
      <c r="D143" s="33" t="s">
        <v>592</v>
      </c>
      <c r="E143" s="52">
        <f>SUM(E144:E146)</f>
        <v>45000</v>
      </c>
      <c r="F143" s="112"/>
      <c r="G143" s="124">
        <f>SUM(G144:G146)</f>
        <v>44791.26</v>
      </c>
      <c r="H143" s="112"/>
      <c r="I143" s="338">
        <f t="shared" si="2"/>
        <v>99.53613333333334</v>
      </c>
    </row>
    <row r="144" spans="1:9" ht="15" customHeight="1">
      <c r="A144" s="140"/>
      <c r="B144" s="146"/>
      <c r="C144" s="13">
        <v>4210</v>
      </c>
      <c r="D144" s="2" t="s">
        <v>533</v>
      </c>
      <c r="E144" s="55">
        <v>8700</v>
      </c>
      <c r="F144" s="112"/>
      <c r="G144" s="68">
        <v>8530.02</v>
      </c>
      <c r="H144" s="112"/>
      <c r="I144" s="338">
        <f t="shared" si="2"/>
        <v>98.04620689655172</v>
      </c>
    </row>
    <row r="145" spans="1:9" ht="15" customHeight="1">
      <c r="A145" s="140"/>
      <c r="B145" s="146"/>
      <c r="C145" s="13">
        <v>4300</v>
      </c>
      <c r="D145" s="2" t="s">
        <v>530</v>
      </c>
      <c r="E145" s="55">
        <v>5800</v>
      </c>
      <c r="F145" s="112"/>
      <c r="G145" s="68">
        <v>5781.84</v>
      </c>
      <c r="H145" s="112"/>
      <c r="I145" s="338">
        <f t="shared" si="2"/>
        <v>99.68689655172413</v>
      </c>
    </row>
    <row r="146" spans="1:22" s="76" customFormat="1" ht="27" customHeight="1">
      <c r="A146" s="140"/>
      <c r="B146" s="147"/>
      <c r="C146" s="13">
        <v>6060</v>
      </c>
      <c r="D146" s="2" t="s">
        <v>598</v>
      </c>
      <c r="E146" s="118">
        <v>30500</v>
      </c>
      <c r="F146" s="112"/>
      <c r="G146" s="94">
        <v>30479.4</v>
      </c>
      <c r="H146" s="112"/>
      <c r="I146" s="338">
        <f t="shared" si="2"/>
        <v>99.93245901639345</v>
      </c>
      <c r="J146" s="326"/>
      <c r="K146" s="341"/>
      <c r="L146" s="341"/>
      <c r="M146" s="341"/>
      <c r="N146" s="341"/>
      <c r="O146" s="466"/>
      <c r="P146" s="341"/>
      <c r="Q146" s="341"/>
      <c r="R146" s="341"/>
      <c r="S146" s="341"/>
      <c r="T146" s="92"/>
      <c r="U146" s="92"/>
      <c r="V146" s="92"/>
    </row>
    <row r="147" spans="1:9" ht="21" customHeight="1">
      <c r="A147" s="140"/>
      <c r="B147" s="147">
        <v>75421</v>
      </c>
      <c r="C147" s="13"/>
      <c r="D147" s="33" t="s">
        <v>304</v>
      </c>
      <c r="E147" s="52">
        <f>SUM(E148:E148)</f>
        <v>5000</v>
      </c>
      <c r="F147" s="132"/>
      <c r="G147" s="124">
        <f>SUM(G148:G148)</f>
        <v>4981.5</v>
      </c>
      <c r="H147" s="132"/>
      <c r="I147" s="338">
        <f t="shared" si="2"/>
        <v>99.63</v>
      </c>
    </row>
    <row r="148" spans="1:22" s="76" customFormat="1" ht="27" customHeight="1">
      <c r="A148" s="140"/>
      <c r="B148" s="146"/>
      <c r="C148" s="6">
        <v>6060</v>
      </c>
      <c r="D148" s="2" t="s">
        <v>598</v>
      </c>
      <c r="E148" s="118">
        <v>5000</v>
      </c>
      <c r="F148" s="112"/>
      <c r="G148" s="94">
        <v>4981.5</v>
      </c>
      <c r="H148" s="112"/>
      <c r="I148" s="338">
        <f t="shared" si="2"/>
        <v>99.63</v>
      </c>
      <c r="J148" s="326"/>
      <c r="K148" s="341"/>
      <c r="L148" s="341"/>
      <c r="M148" s="341"/>
      <c r="N148" s="341"/>
      <c r="O148" s="466"/>
      <c r="P148" s="341"/>
      <c r="Q148" s="341"/>
      <c r="R148" s="341"/>
      <c r="S148" s="341"/>
      <c r="T148" s="92"/>
      <c r="U148" s="92"/>
      <c r="V148" s="92"/>
    </row>
    <row r="149" spans="1:9" ht="21" customHeight="1">
      <c r="A149" s="105"/>
      <c r="B149" s="141">
        <v>75495</v>
      </c>
      <c r="C149" s="31"/>
      <c r="D149" s="33" t="s">
        <v>593</v>
      </c>
      <c r="E149" s="52">
        <f>SUM(E150:E152)</f>
        <v>8100</v>
      </c>
      <c r="F149" s="112"/>
      <c r="G149" s="52">
        <f>SUM(G150:G152)</f>
        <v>1406.32</v>
      </c>
      <c r="H149" s="112"/>
      <c r="I149" s="338">
        <f t="shared" si="2"/>
        <v>17.361975308641973</v>
      </c>
    </row>
    <row r="150" spans="1:9" ht="21" customHeight="1">
      <c r="A150" s="104"/>
      <c r="B150" s="138"/>
      <c r="C150" s="13">
        <v>3030</v>
      </c>
      <c r="D150" s="2" t="s">
        <v>602</v>
      </c>
      <c r="E150" s="120">
        <v>5000</v>
      </c>
      <c r="F150" s="112"/>
      <c r="G150" s="119">
        <v>306.32</v>
      </c>
      <c r="H150" s="112"/>
      <c r="I150" s="338">
        <f t="shared" si="2"/>
        <v>6.1264</v>
      </c>
    </row>
    <row r="151" spans="1:9" ht="16.5" customHeight="1">
      <c r="A151" s="104"/>
      <c r="B151" s="140"/>
      <c r="C151" s="22">
        <v>4170</v>
      </c>
      <c r="D151" s="2" t="s">
        <v>583</v>
      </c>
      <c r="E151" s="118">
        <v>1100</v>
      </c>
      <c r="F151" s="115"/>
      <c r="G151" s="94">
        <v>1100</v>
      </c>
      <c r="H151" s="115"/>
      <c r="I151" s="338">
        <f t="shared" si="2"/>
        <v>100</v>
      </c>
    </row>
    <row r="152" spans="1:9" ht="16.5" customHeight="1">
      <c r="A152" s="104"/>
      <c r="B152" s="140"/>
      <c r="C152" s="13">
        <v>4260</v>
      </c>
      <c r="D152" s="2" t="s">
        <v>591</v>
      </c>
      <c r="E152" s="118">
        <v>2000</v>
      </c>
      <c r="F152" s="112"/>
      <c r="G152" s="94">
        <v>0</v>
      </c>
      <c r="H152" s="112"/>
      <c r="I152" s="338"/>
    </row>
    <row r="153" spans="1:9" ht="27.75" customHeight="1">
      <c r="A153" s="77">
        <v>757</v>
      </c>
      <c r="B153" s="77"/>
      <c r="C153" s="16"/>
      <c r="D153" s="44" t="s">
        <v>672</v>
      </c>
      <c r="E153" s="95">
        <f>E154</f>
        <v>5545000</v>
      </c>
      <c r="F153" s="112"/>
      <c r="G153" s="95">
        <f>G154</f>
        <v>5127565.18</v>
      </c>
      <c r="H153" s="112"/>
      <c r="I153" s="339">
        <f t="shared" si="2"/>
        <v>92.47186979260594</v>
      </c>
    </row>
    <row r="154" spans="1:9" ht="42.75" customHeight="1">
      <c r="A154" s="138"/>
      <c r="B154" s="61">
        <v>75702</v>
      </c>
      <c r="C154" s="32"/>
      <c r="D154" s="33" t="s">
        <v>673</v>
      </c>
      <c r="E154" s="53">
        <f>E155+E156</f>
        <v>5545000</v>
      </c>
      <c r="F154" s="130"/>
      <c r="G154" s="333">
        <f>G155+G156</f>
        <v>5127565.18</v>
      </c>
      <c r="H154" s="130"/>
      <c r="I154" s="338">
        <f t="shared" si="2"/>
        <v>92.47186979260594</v>
      </c>
    </row>
    <row r="155" spans="1:9" ht="23.25" customHeight="1">
      <c r="A155" s="140"/>
      <c r="B155" s="102"/>
      <c r="C155" s="6">
        <v>4300</v>
      </c>
      <c r="D155" s="2" t="s">
        <v>287</v>
      </c>
      <c r="E155" s="120">
        <v>45000</v>
      </c>
      <c r="F155" s="112"/>
      <c r="G155" s="119">
        <v>42000</v>
      </c>
      <c r="H155" s="112"/>
      <c r="I155" s="338">
        <f t="shared" si="2"/>
        <v>93.33333333333333</v>
      </c>
    </row>
    <row r="156" spans="1:9" ht="53.25" customHeight="1">
      <c r="A156" s="140"/>
      <c r="B156" s="102"/>
      <c r="C156" s="20">
        <v>8110</v>
      </c>
      <c r="D156" s="14" t="s">
        <v>74</v>
      </c>
      <c r="E156" s="68">
        <v>5500000</v>
      </c>
      <c r="F156" s="115"/>
      <c r="G156" s="68">
        <v>5085565.18</v>
      </c>
      <c r="H156" s="115"/>
      <c r="I156" s="338">
        <f t="shared" si="2"/>
        <v>92.46482145454546</v>
      </c>
    </row>
    <row r="157" spans="1:9" ht="27" customHeight="1">
      <c r="A157" s="78">
        <v>758</v>
      </c>
      <c r="B157" s="77"/>
      <c r="C157" s="16"/>
      <c r="D157" s="44" t="s">
        <v>497</v>
      </c>
      <c r="E157" s="108">
        <f>E158</f>
        <v>2183031.66</v>
      </c>
      <c r="F157" s="112"/>
      <c r="G157" s="45">
        <f>G158</f>
        <v>0</v>
      </c>
      <c r="H157" s="112"/>
      <c r="I157" s="338"/>
    </row>
    <row r="158" spans="1:9" ht="17.25" customHeight="1">
      <c r="A158" s="138"/>
      <c r="B158" s="99">
        <v>75818</v>
      </c>
      <c r="C158" s="32"/>
      <c r="D158" s="33" t="s">
        <v>498</v>
      </c>
      <c r="E158" s="52">
        <f>E159+E163</f>
        <v>2183031.66</v>
      </c>
      <c r="F158" s="130"/>
      <c r="G158" s="334"/>
      <c r="H158" s="130"/>
      <c r="I158" s="343"/>
    </row>
    <row r="159" spans="1:9" ht="18.75" customHeight="1">
      <c r="A159" s="105"/>
      <c r="B159" s="106"/>
      <c r="C159" s="20">
        <v>4810</v>
      </c>
      <c r="D159" s="2" t="s">
        <v>716</v>
      </c>
      <c r="E159" s="168">
        <f>E161+E162</f>
        <v>874075.66</v>
      </c>
      <c r="F159" s="113"/>
      <c r="G159" s="342"/>
      <c r="H159" s="73"/>
      <c r="I159" s="343"/>
    </row>
    <row r="160" spans="1:9" ht="15" customHeight="1">
      <c r="A160" s="105"/>
      <c r="B160" s="117"/>
      <c r="C160" s="20"/>
      <c r="D160" s="34" t="s">
        <v>717</v>
      </c>
      <c r="E160" s="55"/>
      <c r="F160" s="113"/>
      <c r="G160" s="225"/>
      <c r="H160" s="73"/>
      <c r="I160" s="344"/>
    </row>
    <row r="161" spans="1:9" ht="15" customHeight="1">
      <c r="A161" s="105"/>
      <c r="B161" s="117"/>
      <c r="C161" s="12"/>
      <c r="D161" s="34" t="s">
        <v>718</v>
      </c>
      <c r="E161" s="547">
        <v>874075.66</v>
      </c>
      <c r="F161" s="113"/>
      <c r="G161" s="225"/>
      <c r="H161" s="73"/>
      <c r="I161" s="344"/>
    </row>
    <row r="162" spans="1:9" ht="15" customHeight="1">
      <c r="A162" s="105"/>
      <c r="B162" s="117"/>
      <c r="C162" s="12"/>
      <c r="D162" s="34" t="s">
        <v>301</v>
      </c>
      <c r="E162" s="55">
        <v>0</v>
      </c>
      <c r="F162" s="113"/>
      <c r="G162" s="225"/>
      <c r="H162" s="73"/>
      <c r="I162" s="344"/>
    </row>
    <row r="163" spans="1:9" ht="28.5" customHeight="1">
      <c r="A163" s="105"/>
      <c r="B163" s="148"/>
      <c r="C163" s="5">
        <v>6800</v>
      </c>
      <c r="D163" s="2" t="s">
        <v>720</v>
      </c>
      <c r="E163" s="118">
        <v>1308956</v>
      </c>
      <c r="F163" s="113"/>
      <c r="G163" s="119"/>
      <c r="H163" s="73"/>
      <c r="I163" s="340"/>
    </row>
    <row r="164" spans="1:9" ht="24" customHeight="1">
      <c r="A164" s="77">
        <v>801</v>
      </c>
      <c r="B164" s="77"/>
      <c r="C164" s="16"/>
      <c r="D164" s="44" t="s">
        <v>499</v>
      </c>
      <c r="E164" s="45">
        <f>E165+E192+E206+E241+E265+E267+E277+E296</f>
        <v>93395422.61</v>
      </c>
      <c r="F164" s="134"/>
      <c r="G164" s="220">
        <f>G165+G192+G206+G241+G265+G267+G277+G296</f>
        <v>91871527.86999999</v>
      </c>
      <c r="H164" s="134"/>
      <c r="I164" s="442">
        <f t="shared" si="2"/>
        <v>98.36834108416268</v>
      </c>
    </row>
    <row r="165" spans="1:9" ht="19.5" customHeight="1">
      <c r="A165" s="138"/>
      <c r="B165" s="61">
        <v>80101</v>
      </c>
      <c r="C165" s="32"/>
      <c r="D165" s="33" t="s">
        <v>500</v>
      </c>
      <c r="E165" s="52">
        <f>SUM(E166:E191)</f>
        <v>34189937.05</v>
      </c>
      <c r="F165" s="130"/>
      <c r="G165" s="52">
        <f>SUM(G166:G191)</f>
        <v>33932029.13999999</v>
      </c>
      <c r="H165" s="130"/>
      <c r="I165" s="338">
        <f t="shared" si="2"/>
        <v>99.24566134876811</v>
      </c>
    </row>
    <row r="166" spans="1:9" ht="29.25" customHeight="1">
      <c r="A166" s="142"/>
      <c r="B166" s="140"/>
      <c r="C166" s="20">
        <v>2540</v>
      </c>
      <c r="D166" s="2" t="s">
        <v>725</v>
      </c>
      <c r="E166" s="120">
        <v>21250</v>
      </c>
      <c r="F166" s="112"/>
      <c r="G166" s="119">
        <v>0</v>
      </c>
      <c r="H166" s="112"/>
      <c r="I166" s="338"/>
    </row>
    <row r="167" spans="1:9" ht="24.75" customHeight="1">
      <c r="A167" s="104"/>
      <c r="B167" s="105"/>
      <c r="C167" s="13">
        <v>3020</v>
      </c>
      <c r="D167" s="2" t="s">
        <v>721</v>
      </c>
      <c r="E167" s="120">
        <v>114628</v>
      </c>
      <c r="F167" s="112"/>
      <c r="G167" s="119">
        <v>106863.83</v>
      </c>
      <c r="H167" s="112"/>
      <c r="I167" s="338">
        <f t="shared" si="2"/>
        <v>93.22663747077503</v>
      </c>
    </row>
    <row r="168" spans="1:9" ht="15" customHeight="1">
      <c r="A168" s="104"/>
      <c r="B168" s="105"/>
      <c r="C168" s="13">
        <v>3050</v>
      </c>
      <c r="D168" s="2" t="s">
        <v>722</v>
      </c>
      <c r="E168" s="55">
        <v>16000</v>
      </c>
      <c r="F168" s="112"/>
      <c r="G168" s="68">
        <v>15238.16</v>
      </c>
      <c r="H168" s="112"/>
      <c r="I168" s="338">
        <f t="shared" si="2"/>
        <v>95.2385</v>
      </c>
    </row>
    <row r="169" spans="1:9" ht="16.5" customHeight="1">
      <c r="A169" s="104"/>
      <c r="B169" s="105"/>
      <c r="C169" s="13">
        <v>4010</v>
      </c>
      <c r="D169" s="2" t="s">
        <v>572</v>
      </c>
      <c r="E169" s="55">
        <v>22602439</v>
      </c>
      <c r="F169" s="112"/>
      <c r="G169" s="68">
        <v>22539749.58</v>
      </c>
      <c r="H169" s="112"/>
      <c r="I169" s="338">
        <f t="shared" si="2"/>
        <v>99.72264311829355</v>
      </c>
    </row>
    <row r="170" spans="1:9" ht="15" customHeight="1">
      <c r="A170" s="104"/>
      <c r="B170" s="105"/>
      <c r="C170" s="13">
        <v>4040</v>
      </c>
      <c r="D170" s="2" t="s">
        <v>575</v>
      </c>
      <c r="E170" s="55">
        <v>1688475</v>
      </c>
      <c r="F170" s="181"/>
      <c r="G170" s="68">
        <v>1688471.18</v>
      </c>
      <c r="H170" s="181"/>
      <c r="I170" s="338">
        <f t="shared" si="2"/>
        <v>99.99977376034586</v>
      </c>
    </row>
    <row r="171" spans="1:9" ht="15" customHeight="1">
      <c r="A171" s="104"/>
      <c r="B171" s="105"/>
      <c r="C171" s="13">
        <v>4110</v>
      </c>
      <c r="D171" s="2" t="s">
        <v>576</v>
      </c>
      <c r="E171" s="55">
        <v>3953968</v>
      </c>
      <c r="F171" s="112"/>
      <c r="G171" s="68">
        <v>3947280.99</v>
      </c>
      <c r="H171" s="112"/>
      <c r="I171" s="338">
        <f t="shared" si="2"/>
        <v>99.83087849977542</v>
      </c>
    </row>
    <row r="172" spans="1:9" ht="15" customHeight="1">
      <c r="A172" s="104"/>
      <c r="B172" s="105"/>
      <c r="C172" s="13">
        <v>4120</v>
      </c>
      <c r="D172" s="2" t="s">
        <v>577</v>
      </c>
      <c r="E172" s="55">
        <v>508948</v>
      </c>
      <c r="F172" s="112"/>
      <c r="G172" s="68">
        <v>499008.34</v>
      </c>
      <c r="H172" s="112"/>
      <c r="I172" s="338">
        <f t="shared" si="2"/>
        <v>98.0470185559232</v>
      </c>
    </row>
    <row r="173" spans="1:9" ht="29.25" customHeight="1">
      <c r="A173" s="104"/>
      <c r="B173" s="105"/>
      <c r="C173" s="13">
        <v>4140</v>
      </c>
      <c r="D173" s="2" t="s">
        <v>758</v>
      </c>
      <c r="E173" s="55">
        <v>18044</v>
      </c>
      <c r="F173" s="112"/>
      <c r="G173" s="68">
        <v>8038</v>
      </c>
      <c r="H173" s="112"/>
      <c r="I173" s="338">
        <f t="shared" si="2"/>
        <v>44.54666371092884</v>
      </c>
    </row>
    <row r="174" spans="1:9" ht="15" customHeight="1">
      <c r="A174" s="104"/>
      <c r="B174" s="105"/>
      <c r="C174" s="6">
        <v>4170</v>
      </c>
      <c r="D174" s="2" t="s">
        <v>583</v>
      </c>
      <c r="E174" s="55">
        <v>45840</v>
      </c>
      <c r="F174" s="112"/>
      <c r="G174" s="68">
        <v>40836.61</v>
      </c>
      <c r="H174" s="112"/>
      <c r="I174" s="338">
        <f t="shared" si="2"/>
        <v>89.08510034904013</v>
      </c>
    </row>
    <row r="175" spans="1:9" ht="15" customHeight="1">
      <c r="A175" s="104"/>
      <c r="B175" s="105"/>
      <c r="C175" s="13">
        <v>4210</v>
      </c>
      <c r="D175" s="2" t="s">
        <v>533</v>
      </c>
      <c r="E175" s="55">
        <v>428963.05</v>
      </c>
      <c r="F175" s="112"/>
      <c r="G175" s="68">
        <v>428147.75</v>
      </c>
      <c r="H175" s="112"/>
      <c r="I175" s="338">
        <f t="shared" si="2"/>
        <v>99.80993700972614</v>
      </c>
    </row>
    <row r="176" spans="1:9" ht="15" customHeight="1">
      <c r="A176" s="104"/>
      <c r="B176" s="105"/>
      <c r="C176" s="6">
        <v>4220</v>
      </c>
      <c r="D176" s="2" t="s">
        <v>675</v>
      </c>
      <c r="E176" s="55">
        <v>4700</v>
      </c>
      <c r="F176" s="112"/>
      <c r="G176" s="68">
        <v>4669.6</v>
      </c>
      <c r="H176" s="112"/>
      <c r="I176" s="338">
        <f t="shared" si="2"/>
        <v>99.35319148936172</v>
      </c>
    </row>
    <row r="177" spans="1:9" ht="26.25" customHeight="1">
      <c r="A177" s="104"/>
      <c r="B177" s="105"/>
      <c r="C177" s="13">
        <v>4240</v>
      </c>
      <c r="D177" s="2" t="s">
        <v>759</v>
      </c>
      <c r="E177" s="55">
        <v>63050</v>
      </c>
      <c r="F177" s="112"/>
      <c r="G177" s="68">
        <v>62081.8</v>
      </c>
      <c r="H177" s="112"/>
      <c r="I177" s="338">
        <f t="shared" si="2"/>
        <v>98.46439333862016</v>
      </c>
    </row>
    <row r="178" spans="1:9" ht="15" customHeight="1">
      <c r="A178" s="104"/>
      <c r="B178" s="105"/>
      <c r="C178" s="13">
        <v>4260</v>
      </c>
      <c r="D178" s="2" t="s">
        <v>591</v>
      </c>
      <c r="E178" s="55">
        <v>1850239</v>
      </c>
      <c r="F178" s="112"/>
      <c r="G178" s="68">
        <v>1785420.09</v>
      </c>
      <c r="H178" s="112"/>
      <c r="I178" s="338">
        <f t="shared" si="2"/>
        <v>96.4967277200405</v>
      </c>
    </row>
    <row r="179" spans="1:9" ht="15" customHeight="1">
      <c r="A179" s="104"/>
      <c r="B179" s="105"/>
      <c r="C179" s="13">
        <v>4270</v>
      </c>
      <c r="D179" s="2" t="s">
        <v>534</v>
      </c>
      <c r="E179" s="55">
        <v>219390</v>
      </c>
      <c r="F179" s="112"/>
      <c r="G179" s="68">
        <v>216769.7</v>
      </c>
      <c r="H179" s="112"/>
      <c r="I179" s="338">
        <f t="shared" si="2"/>
        <v>98.8056429190027</v>
      </c>
    </row>
    <row r="180" spans="1:9" ht="15" customHeight="1">
      <c r="A180" s="104"/>
      <c r="B180" s="105"/>
      <c r="C180" s="13">
        <v>4280</v>
      </c>
      <c r="D180" s="2" t="s">
        <v>723</v>
      </c>
      <c r="E180" s="55">
        <v>21172</v>
      </c>
      <c r="F180" s="112"/>
      <c r="G180" s="68">
        <v>20851.5</v>
      </c>
      <c r="H180" s="112"/>
      <c r="I180" s="338">
        <f t="shared" si="2"/>
        <v>98.48620819950878</v>
      </c>
    </row>
    <row r="181" spans="1:9" ht="15" customHeight="1">
      <c r="A181" s="104"/>
      <c r="B181" s="105"/>
      <c r="C181" s="13">
        <v>4300</v>
      </c>
      <c r="D181" s="2" t="s">
        <v>530</v>
      </c>
      <c r="E181" s="55">
        <v>530052</v>
      </c>
      <c r="F181" s="112"/>
      <c r="G181" s="68">
        <v>514927.84</v>
      </c>
      <c r="H181" s="112"/>
      <c r="I181" s="338">
        <f t="shared" si="2"/>
        <v>97.14666485552361</v>
      </c>
    </row>
    <row r="182" spans="1:9" ht="15" customHeight="1">
      <c r="A182" s="104"/>
      <c r="B182" s="105"/>
      <c r="C182" s="6">
        <v>4350</v>
      </c>
      <c r="D182" s="2" t="s">
        <v>586</v>
      </c>
      <c r="E182" s="55">
        <v>16142</v>
      </c>
      <c r="F182" s="112"/>
      <c r="G182" s="68">
        <v>13896.16</v>
      </c>
      <c r="H182" s="112"/>
      <c r="I182" s="338">
        <f t="shared" si="2"/>
        <v>86.08697806963201</v>
      </c>
    </row>
    <row r="183" spans="1:9" ht="43.5" customHeight="1">
      <c r="A183" s="104"/>
      <c r="B183" s="105"/>
      <c r="C183" s="6">
        <v>4360</v>
      </c>
      <c r="D183" s="2" t="s">
        <v>768</v>
      </c>
      <c r="E183" s="55">
        <v>8351</v>
      </c>
      <c r="F183" s="112"/>
      <c r="G183" s="68">
        <v>6924.62</v>
      </c>
      <c r="H183" s="112"/>
      <c r="I183" s="338">
        <f aca="true" t="shared" si="3" ref="I183:I242">G183/E183*100</f>
        <v>82.9196503412765</v>
      </c>
    </row>
    <row r="184" spans="1:9" ht="42" customHeight="1">
      <c r="A184" s="104"/>
      <c r="B184" s="105"/>
      <c r="C184" s="6">
        <v>4370</v>
      </c>
      <c r="D184" s="2" t="s">
        <v>767</v>
      </c>
      <c r="E184" s="55">
        <v>28747</v>
      </c>
      <c r="F184" s="112"/>
      <c r="G184" s="68">
        <v>26757.91</v>
      </c>
      <c r="H184" s="112"/>
      <c r="I184" s="338">
        <f t="shared" si="3"/>
        <v>93.08070407346854</v>
      </c>
    </row>
    <row r="185" spans="1:9" ht="16.5" customHeight="1">
      <c r="A185" s="104"/>
      <c r="B185" s="105"/>
      <c r="C185" s="6">
        <v>4410</v>
      </c>
      <c r="D185" s="2" t="s">
        <v>580</v>
      </c>
      <c r="E185" s="55">
        <v>8737</v>
      </c>
      <c r="F185" s="112"/>
      <c r="G185" s="68">
        <v>4834.29</v>
      </c>
      <c r="H185" s="112"/>
      <c r="I185" s="338">
        <f t="shared" si="3"/>
        <v>55.33123497768112</v>
      </c>
    </row>
    <row r="186" spans="1:9" ht="17.25" customHeight="1">
      <c r="A186" s="104"/>
      <c r="B186" s="105"/>
      <c r="C186" s="13">
        <v>4430</v>
      </c>
      <c r="D186" s="2" t="s">
        <v>288</v>
      </c>
      <c r="E186" s="55">
        <v>26945</v>
      </c>
      <c r="F186" s="112"/>
      <c r="G186" s="68">
        <v>24850.2</v>
      </c>
      <c r="H186" s="112"/>
      <c r="I186" s="338">
        <f t="shared" si="3"/>
        <v>92.22564483206533</v>
      </c>
    </row>
    <row r="187" spans="1:9" ht="27" customHeight="1">
      <c r="A187" s="104"/>
      <c r="B187" s="105"/>
      <c r="C187" s="13">
        <v>4440</v>
      </c>
      <c r="D187" s="2" t="s">
        <v>578</v>
      </c>
      <c r="E187" s="55">
        <v>1296705</v>
      </c>
      <c r="F187" s="112"/>
      <c r="G187" s="68">
        <v>1275547.28</v>
      </c>
      <c r="H187" s="112"/>
      <c r="I187" s="338">
        <f t="shared" si="3"/>
        <v>98.3683474653063</v>
      </c>
    </row>
    <row r="188" spans="1:9" ht="16.5" customHeight="1">
      <c r="A188" s="104"/>
      <c r="B188" s="105"/>
      <c r="C188" s="13">
        <v>4480</v>
      </c>
      <c r="D188" s="2" t="s">
        <v>306</v>
      </c>
      <c r="E188" s="55">
        <v>5181</v>
      </c>
      <c r="F188" s="112"/>
      <c r="G188" s="68">
        <v>4962.95</v>
      </c>
      <c r="H188" s="112"/>
      <c r="I188" s="338">
        <f t="shared" si="3"/>
        <v>95.79135302065238</v>
      </c>
    </row>
    <row r="189" spans="1:9" ht="16.5" customHeight="1">
      <c r="A189" s="104"/>
      <c r="B189" s="105"/>
      <c r="C189" s="13">
        <v>4510</v>
      </c>
      <c r="D189" s="2" t="s">
        <v>566</v>
      </c>
      <c r="E189" s="55">
        <v>150</v>
      </c>
      <c r="F189" s="112"/>
      <c r="G189" s="68">
        <v>150</v>
      </c>
      <c r="H189" s="112"/>
      <c r="I189" s="338">
        <f t="shared" si="3"/>
        <v>100</v>
      </c>
    </row>
    <row r="190" spans="1:9" ht="29.25" customHeight="1">
      <c r="A190" s="104"/>
      <c r="B190" s="105"/>
      <c r="C190" s="13">
        <v>4700</v>
      </c>
      <c r="D190" s="2" t="s">
        <v>93</v>
      </c>
      <c r="E190" s="55">
        <v>19121</v>
      </c>
      <c r="F190" s="112"/>
      <c r="G190" s="68">
        <v>17060.3</v>
      </c>
      <c r="H190" s="112"/>
      <c r="I190" s="338">
        <f t="shared" si="3"/>
        <v>89.22284399351497</v>
      </c>
    </row>
    <row r="191" spans="1:9" ht="27" customHeight="1">
      <c r="A191" s="104"/>
      <c r="B191" s="105"/>
      <c r="C191" s="6">
        <v>6050</v>
      </c>
      <c r="D191" s="2" t="s">
        <v>812</v>
      </c>
      <c r="E191" s="55">
        <v>692700</v>
      </c>
      <c r="F191" s="112"/>
      <c r="G191" s="68">
        <v>678690.46</v>
      </c>
      <c r="H191" s="112"/>
      <c r="I191" s="338">
        <f t="shared" si="3"/>
        <v>97.97754583513786</v>
      </c>
    </row>
    <row r="192" spans="1:22" s="69" customFormat="1" ht="30.75" customHeight="1">
      <c r="A192" s="142"/>
      <c r="B192" s="61">
        <v>80103</v>
      </c>
      <c r="C192" s="50"/>
      <c r="D192" s="33" t="s">
        <v>681</v>
      </c>
      <c r="E192" s="52">
        <f>SUM(E193:E205)</f>
        <v>942455</v>
      </c>
      <c r="F192" s="132"/>
      <c r="G192" s="124">
        <f>SUM(G193:G205)</f>
        <v>936965.48</v>
      </c>
      <c r="H192" s="132"/>
      <c r="I192" s="338">
        <f t="shared" si="3"/>
        <v>99.41752974943101</v>
      </c>
      <c r="J192" s="447"/>
      <c r="K192" s="352"/>
      <c r="L192" s="352"/>
      <c r="M192" s="352"/>
      <c r="N192" s="352"/>
      <c r="O192" s="465"/>
      <c r="P192" s="352"/>
      <c r="Q192" s="352"/>
      <c r="R192" s="352"/>
      <c r="S192" s="352"/>
      <c r="T192" s="321"/>
      <c r="U192" s="321"/>
      <c r="V192" s="321"/>
    </row>
    <row r="193" spans="1:22" s="69" customFormat="1" ht="27" customHeight="1">
      <c r="A193" s="142"/>
      <c r="B193" s="140"/>
      <c r="C193" s="13">
        <v>3020</v>
      </c>
      <c r="D193" s="2" t="s">
        <v>721</v>
      </c>
      <c r="E193" s="120">
        <v>1762</v>
      </c>
      <c r="F193" s="132"/>
      <c r="G193" s="119">
        <v>1753.6</v>
      </c>
      <c r="H193" s="132"/>
      <c r="I193" s="338">
        <f t="shared" si="3"/>
        <v>99.5232690124858</v>
      </c>
      <c r="J193" s="447"/>
      <c r="K193" s="352"/>
      <c r="L193" s="352"/>
      <c r="M193" s="352"/>
      <c r="N193" s="352"/>
      <c r="O193" s="465"/>
      <c r="P193" s="352"/>
      <c r="Q193" s="352"/>
      <c r="R193" s="352"/>
      <c r="S193" s="352"/>
      <c r="T193" s="321"/>
      <c r="U193" s="321"/>
      <c r="V193" s="321"/>
    </row>
    <row r="194" spans="1:9" ht="18.75" customHeight="1">
      <c r="A194" s="104"/>
      <c r="B194" s="105"/>
      <c r="C194" s="13">
        <v>4010</v>
      </c>
      <c r="D194" s="2" t="s">
        <v>572</v>
      </c>
      <c r="E194" s="55">
        <v>685733</v>
      </c>
      <c r="F194" s="112"/>
      <c r="G194" s="68">
        <v>684132.27</v>
      </c>
      <c r="H194" s="112"/>
      <c r="I194" s="338">
        <f t="shared" si="3"/>
        <v>99.76656657912045</v>
      </c>
    </row>
    <row r="195" spans="1:9" ht="15" customHeight="1">
      <c r="A195" s="104"/>
      <c r="B195" s="105"/>
      <c r="C195" s="13">
        <v>4040</v>
      </c>
      <c r="D195" s="2" t="s">
        <v>575</v>
      </c>
      <c r="E195" s="55">
        <v>38157</v>
      </c>
      <c r="F195" s="112"/>
      <c r="G195" s="68">
        <v>38155.44</v>
      </c>
      <c r="H195" s="112"/>
      <c r="I195" s="338">
        <f t="shared" si="3"/>
        <v>99.99591162827267</v>
      </c>
    </row>
    <row r="196" spans="1:9" ht="15" customHeight="1">
      <c r="A196" s="104"/>
      <c r="B196" s="105"/>
      <c r="C196" s="13">
        <v>4110</v>
      </c>
      <c r="D196" s="2" t="s">
        <v>576</v>
      </c>
      <c r="E196" s="55">
        <v>120899</v>
      </c>
      <c r="F196" s="112"/>
      <c r="G196" s="68">
        <v>118959.35</v>
      </c>
      <c r="H196" s="112"/>
      <c r="I196" s="338">
        <f t="shared" si="3"/>
        <v>98.39564429813315</v>
      </c>
    </row>
    <row r="197" spans="1:9" ht="15" customHeight="1">
      <c r="A197" s="104"/>
      <c r="B197" s="105"/>
      <c r="C197" s="13">
        <v>4120</v>
      </c>
      <c r="D197" s="2" t="s">
        <v>577</v>
      </c>
      <c r="E197" s="55">
        <v>16615</v>
      </c>
      <c r="F197" s="112"/>
      <c r="G197" s="68">
        <v>16427.6</v>
      </c>
      <c r="H197" s="112"/>
      <c r="I197" s="338">
        <f t="shared" si="3"/>
        <v>98.87210352091482</v>
      </c>
    </row>
    <row r="198" spans="1:9" ht="15" customHeight="1">
      <c r="A198" s="104"/>
      <c r="B198" s="105"/>
      <c r="C198" s="6">
        <v>4170</v>
      </c>
      <c r="D198" s="2" t="s">
        <v>583</v>
      </c>
      <c r="E198" s="55">
        <v>500</v>
      </c>
      <c r="F198" s="112"/>
      <c r="G198" s="68">
        <v>264.84</v>
      </c>
      <c r="H198" s="112"/>
      <c r="I198" s="338">
        <f t="shared" si="3"/>
        <v>52.96799999999999</v>
      </c>
    </row>
    <row r="199" spans="1:9" ht="15" customHeight="1">
      <c r="A199" s="104"/>
      <c r="B199" s="105"/>
      <c r="C199" s="13">
        <v>4210</v>
      </c>
      <c r="D199" s="2" t="s">
        <v>533</v>
      </c>
      <c r="E199" s="55">
        <v>7500</v>
      </c>
      <c r="F199" s="112"/>
      <c r="G199" s="68">
        <v>7495.35</v>
      </c>
      <c r="H199" s="112"/>
      <c r="I199" s="338">
        <f t="shared" si="3"/>
        <v>99.938</v>
      </c>
    </row>
    <row r="200" spans="1:9" ht="27.75" customHeight="1">
      <c r="A200" s="104"/>
      <c r="B200" s="105"/>
      <c r="C200" s="13">
        <v>4240</v>
      </c>
      <c r="D200" s="2" t="s">
        <v>759</v>
      </c>
      <c r="E200" s="55">
        <v>4510</v>
      </c>
      <c r="F200" s="112"/>
      <c r="G200" s="68">
        <v>4480.78</v>
      </c>
      <c r="H200" s="112"/>
      <c r="I200" s="338">
        <f t="shared" si="3"/>
        <v>99.3521064301552</v>
      </c>
    </row>
    <row r="201" spans="1:9" ht="18" customHeight="1">
      <c r="A201" s="104"/>
      <c r="B201" s="105"/>
      <c r="C201" s="13">
        <v>4260</v>
      </c>
      <c r="D201" s="2" t="s">
        <v>591</v>
      </c>
      <c r="E201" s="55">
        <v>22520</v>
      </c>
      <c r="F201" s="112"/>
      <c r="G201" s="68">
        <v>21697.81</v>
      </c>
      <c r="H201" s="112"/>
      <c r="I201" s="338">
        <f t="shared" si="3"/>
        <v>96.34906749555951</v>
      </c>
    </row>
    <row r="202" spans="1:9" ht="18" customHeight="1">
      <c r="A202" s="104"/>
      <c r="B202" s="105"/>
      <c r="C202" s="13">
        <v>4280</v>
      </c>
      <c r="D202" s="2" t="s">
        <v>723</v>
      </c>
      <c r="E202" s="55">
        <v>755</v>
      </c>
      <c r="F202" s="112"/>
      <c r="G202" s="68">
        <v>743</v>
      </c>
      <c r="H202" s="112"/>
      <c r="I202" s="338">
        <f t="shared" si="3"/>
        <v>98.41059602649007</v>
      </c>
    </row>
    <row r="203" spans="1:9" ht="18" customHeight="1">
      <c r="A203" s="104"/>
      <c r="B203" s="105"/>
      <c r="C203" s="13">
        <v>4300</v>
      </c>
      <c r="D203" s="2" t="s">
        <v>530</v>
      </c>
      <c r="E203" s="55">
        <v>3025</v>
      </c>
      <c r="F203" s="112"/>
      <c r="G203" s="68">
        <v>2676.94</v>
      </c>
      <c r="H203" s="112"/>
      <c r="I203" s="338">
        <f t="shared" si="3"/>
        <v>88.49388429752067</v>
      </c>
    </row>
    <row r="204" spans="1:9" ht="24.75" customHeight="1">
      <c r="A204" s="104"/>
      <c r="B204" s="105"/>
      <c r="C204" s="13">
        <v>4440</v>
      </c>
      <c r="D204" s="2" t="s">
        <v>578</v>
      </c>
      <c r="E204" s="55">
        <v>40179</v>
      </c>
      <c r="F204" s="112"/>
      <c r="G204" s="68">
        <v>40178.5</v>
      </c>
      <c r="H204" s="112"/>
      <c r="I204" s="338">
        <f t="shared" si="3"/>
        <v>99.9987555688295</v>
      </c>
    </row>
    <row r="205" spans="1:9" ht="30" customHeight="1">
      <c r="A205" s="104"/>
      <c r="B205" s="105"/>
      <c r="C205" s="13">
        <v>4700</v>
      </c>
      <c r="D205" s="2" t="s">
        <v>93</v>
      </c>
      <c r="E205" s="118">
        <v>300</v>
      </c>
      <c r="F205" s="112"/>
      <c r="G205" s="94">
        <v>0</v>
      </c>
      <c r="H205" s="112"/>
      <c r="I205" s="338">
        <f t="shared" si="3"/>
        <v>0</v>
      </c>
    </row>
    <row r="206" spans="1:9" ht="25.5" customHeight="1">
      <c r="A206" s="140"/>
      <c r="B206" s="61">
        <v>80104</v>
      </c>
      <c r="C206" s="48"/>
      <c r="D206" s="33" t="s">
        <v>724</v>
      </c>
      <c r="E206" s="52">
        <f>SUM(E207:E240)</f>
        <v>29881400.560000002</v>
      </c>
      <c r="F206" s="112"/>
      <c r="G206" s="52">
        <f>SUM(G207:G240)</f>
        <v>29220699.790000007</v>
      </c>
      <c r="H206" s="112"/>
      <c r="I206" s="338">
        <f t="shared" si="3"/>
        <v>97.78892301693372</v>
      </c>
    </row>
    <row r="207" spans="1:9" ht="31.5" customHeight="1">
      <c r="A207" s="105"/>
      <c r="B207" s="117"/>
      <c r="C207" s="20">
        <v>2540</v>
      </c>
      <c r="D207" s="2" t="s">
        <v>725</v>
      </c>
      <c r="E207" s="55">
        <v>780936</v>
      </c>
      <c r="F207" s="112"/>
      <c r="G207" s="68">
        <v>754324</v>
      </c>
      <c r="H207" s="112"/>
      <c r="I207" s="338">
        <f t="shared" si="3"/>
        <v>96.59229437495517</v>
      </c>
    </row>
    <row r="208" spans="1:9" ht="23.25" customHeight="1">
      <c r="A208" s="105"/>
      <c r="B208" s="117"/>
      <c r="C208" s="20">
        <v>3020</v>
      </c>
      <c r="D208" s="2" t="s">
        <v>582</v>
      </c>
      <c r="E208" s="55">
        <v>57749</v>
      </c>
      <c r="F208" s="112"/>
      <c r="G208" s="68">
        <v>50637.05</v>
      </c>
      <c r="H208" s="112"/>
      <c r="I208" s="338">
        <f t="shared" si="3"/>
        <v>87.68472181336475</v>
      </c>
    </row>
    <row r="209" spans="1:9" ht="20.25" customHeight="1">
      <c r="A209" s="105"/>
      <c r="B209" s="117"/>
      <c r="C209" s="6">
        <v>4010</v>
      </c>
      <c r="D209" s="2" t="s">
        <v>572</v>
      </c>
      <c r="E209" s="55">
        <v>17769252</v>
      </c>
      <c r="F209" s="112"/>
      <c r="G209" s="68">
        <v>17667560.27</v>
      </c>
      <c r="H209" s="112"/>
      <c r="I209" s="338">
        <f t="shared" si="3"/>
        <v>99.42770956256346</v>
      </c>
    </row>
    <row r="210" spans="1:9" ht="18.75" customHeight="1">
      <c r="A210" s="105"/>
      <c r="B210" s="117"/>
      <c r="C210" s="6">
        <v>4040</v>
      </c>
      <c r="D210" s="2" t="s">
        <v>575</v>
      </c>
      <c r="E210" s="55">
        <v>1364844</v>
      </c>
      <c r="F210" s="112"/>
      <c r="G210" s="68">
        <v>1359009.82</v>
      </c>
      <c r="H210" s="112"/>
      <c r="I210" s="338">
        <f t="shared" si="3"/>
        <v>99.57253869306676</v>
      </c>
    </row>
    <row r="211" spans="1:9" ht="18.75" customHeight="1">
      <c r="A211" s="105"/>
      <c r="B211" s="117"/>
      <c r="C211" s="6">
        <v>4110</v>
      </c>
      <c r="D211" s="2" t="s">
        <v>576</v>
      </c>
      <c r="E211" s="55">
        <v>3171707</v>
      </c>
      <c r="F211" s="112"/>
      <c r="G211" s="68">
        <v>3095727.52</v>
      </c>
      <c r="H211" s="112"/>
      <c r="I211" s="338">
        <f t="shared" si="3"/>
        <v>97.60446094169481</v>
      </c>
    </row>
    <row r="212" spans="1:9" ht="18.75" customHeight="1">
      <c r="A212" s="105"/>
      <c r="B212" s="117"/>
      <c r="C212" s="6">
        <v>4111</v>
      </c>
      <c r="D212" s="2" t="s">
        <v>576</v>
      </c>
      <c r="E212" s="55">
        <v>180</v>
      </c>
      <c r="F212" s="112"/>
      <c r="G212" s="68">
        <v>171</v>
      </c>
      <c r="H212" s="112"/>
      <c r="I212" s="338">
        <f t="shared" si="3"/>
        <v>95</v>
      </c>
    </row>
    <row r="213" spans="1:9" ht="18" customHeight="1">
      <c r="A213" s="105"/>
      <c r="B213" s="117"/>
      <c r="C213" s="6">
        <v>4120</v>
      </c>
      <c r="D213" s="2" t="s">
        <v>577</v>
      </c>
      <c r="E213" s="55">
        <v>403336</v>
      </c>
      <c r="F213" s="112"/>
      <c r="G213" s="68">
        <v>375183.46</v>
      </c>
      <c r="H213" s="112"/>
      <c r="I213" s="338">
        <f t="shared" si="3"/>
        <v>93.02007755320626</v>
      </c>
    </row>
    <row r="214" spans="1:9" ht="18" customHeight="1">
      <c r="A214" s="105"/>
      <c r="B214" s="117"/>
      <c r="C214" s="6">
        <v>4121</v>
      </c>
      <c r="D214" s="2" t="s">
        <v>577</v>
      </c>
      <c r="E214" s="55">
        <v>25</v>
      </c>
      <c r="F214" s="112"/>
      <c r="G214" s="68">
        <v>24.5</v>
      </c>
      <c r="H214" s="112"/>
      <c r="I214" s="338">
        <f t="shared" si="3"/>
        <v>98</v>
      </c>
    </row>
    <row r="215" spans="1:9" ht="15.75" customHeight="1">
      <c r="A215" s="105"/>
      <c r="B215" s="117"/>
      <c r="C215" s="6">
        <v>4170</v>
      </c>
      <c r="D215" s="2" t="s">
        <v>583</v>
      </c>
      <c r="E215" s="55">
        <v>16290</v>
      </c>
      <c r="F215" s="112"/>
      <c r="G215" s="68">
        <v>16125</v>
      </c>
      <c r="H215" s="112"/>
      <c r="I215" s="338">
        <f t="shared" si="3"/>
        <v>98.98710865561694</v>
      </c>
    </row>
    <row r="216" spans="1:9" ht="15.75" customHeight="1">
      <c r="A216" s="105"/>
      <c r="B216" s="117"/>
      <c r="C216" s="6">
        <v>4171</v>
      </c>
      <c r="D216" s="2" t="s">
        <v>583</v>
      </c>
      <c r="E216" s="55">
        <v>1000</v>
      </c>
      <c r="F216" s="112"/>
      <c r="G216" s="68">
        <v>1000</v>
      </c>
      <c r="H216" s="112"/>
      <c r="I216" s="338">
        <f t="shared" si="3"/>
        <v>100</v>
      </c>
    </row>
    <row r="217" spans="1:9" ht="15" customHeight="1">
      <c r="A217" s="105"/>
      <c r="B217" s="117"/>
      <c r="C217" s="6">
        <v>4210</v>
      </c>
      <c r="D217" s="2" t="s">
        <v>584</v>
      </c>
      <c r="E217" s="55">
        <v>557834.8</v>
      </c>
      <c r="F217" s="112"/>
      <c r="G217" s="68">
        <v>537969.76</v>
      </c>
      <c r="H217" s="112"/>
      <c r="I217" s="338">
        <f t="shared" si="3"/>
        <v>96.43890270022594</v>
      </c>
    </row>
    <row r="218" spans="1:9" ht="15" customHeight="1">
      <c r="A218" s="105"/>
      <c r="B218" s="117"/>
      <c r="C218" s="6">
        <v>4211</v>
      </c>
      <c r="D218" s="2" t="s">
        <v>584</v>
      </c>
      <c r="E218" s="55">
        <v>8000</v>
      </c>
      <c r="F218" s="112"/>
      <c r="G218" s="68">
        <v>4666.27</v>
      </c>
      <c r="H218" s="112"/>
      <c r="I218" s="338">
        <f t="shared" si="3"/>
        <v>58.32837500000001</v>
      </c>
    </row>
    <row r="219" spans="1:9" ht="16.5" customHeight="1">
      <c r="A219" s="105"/>
      <c r="B219" s="117"/>
      <c r="C219" s="6">
        <v>4220</v>
      </c>
      <c r="D219" s="2" t="s">
        <v>675</v>
      </c>
      <c r="E219" s="55">
        <v>2202983</v>
      </c>
      <c r="F219" s="112"/>
      <c r="G219" s="68">
        <v>2059263.7</v>
      </c>
      <c r="H219" s="112"/>
      <c r="I219" s="338">
        <f t="shared" si="3"/>
        <v>93.47615029258056</v>
      </c>
    </row>
    <row r="220" spans="1:9" ht="24.75" customHeight="1">
      <c r="A220" s="105"/>
      <c r="B220" s="117"/>
      <c r="C220" s="6">
        <v>4240</v>
      </c>
      <c r="D220" s="2" t="s">
        <v>759</v>
      </c>
      <c r="E220" s="55">
        <v>17555</v>
      </c>
      <c r="F220" s="112"/>
      <c r="G220" s="68">
        <v>15181.26</v>
      </c>
      <c r="H220" s="112"/>
      <c r="I220" s="338">
        <f t="shared" si="3"/>
        <v>86.47826829962973</v>
      </c>
    </row>
    <row r="221" spans="1:9" ht="24.75" customHeight="1">
      <c r="A221" s="105"/>
      <c r="B221" s="117"/>
      <c r="C221" s="6">
        <v>4241</v>
      </c>
      <c r="D221" s="2" t="s">
        <v>759</v>
      </c>
      <c r="E221" s="55">
        <v>3980</v>
      </c>
      <c r="F221" s="112"/>
      <c r="G221" s="68">
        <v>199</v>
      </c>
      <c r="H221" s="112"/>
      <c r="I221" s="338">
        <f t="shared" si="3"/>
        <v>5</v>
      </c>
    </row>
    <row r="222" spans="1:9" ht="16.5" customHeight="1">
      <c r="A222" s="105"/>
      <c r="B222" s="117"/>
      <c r="C222" s="6">
        <v>4260</v>
      </c>
      <c r="D222" s="2" t="s">
        <v>591</v>
      </c>
      <c r="E222" s="55">
        <v>1198876</v>
      </c>
      <c r="F222" s="112"/>
      <c r="G222" s="68">
        <v>1131675.78</v>
      </c>
      <c r="H222" s="112"/>
      <c r="I222" s="338">
        <f t="shared" si="3"/>
        <v>94.39473139840985</v>
      </c>
    </row>
    <row r="223" spans="1:9" ht="18" customHeight="1">
      <c r="A223" s="105"/>
      <c r="B223" s="117"/>
      <c r="C223" s="6">
        <v>4270</v>
      </c>
      <c r="D223" s="2" t="s">
        <v>534</v>
      </c>
      <c r="E223" s="55">
        <v>228922</v>
      </c>
      <c r="F223" s="112"/>
      <c r="G223" s="68">
        <v>219665.12</v>
      </c>
      <c r="H223" s="112"/>
      <c r="I223" s="338">
        <f t="shared" si="3"/>
        <v>95.95631699880308</v>
      </c>
    </row>
    <row r="224" spans="1:9" ht="18" customHeight="1">
      <c r="A224" s="105"/>
      <c r="B224" s="117"/>
      <c r="C224" s="6">
        <v>4280</v>
      </c>
      <c r="D224" s="40" t="s">
        <v>723</v>
      </c>
      <c r="E224" s="55">
        <v>13993.76</v>
      </c>
      <c r="F224" s="112"/>
      <c r="G224" s="68">
        <v>12490.5</v>
      </c>
      <c r="H224" s="112"/>
      <c r="I224" s="338">
        <f t="shared" si="3"/>
        <v>89.2576405483587</v>
      </c>
    </row>
    <row r="225" spans="1:9" ht="17.25" customHeight="1">
      <c r="A225" s="105"/>
      <c r="B225" s="117"/>
      <c r="C225" s="6">
        <v>4300</v>
      </c>
      <c r="D225" s="2" t="s">
        <v>569</v>
      </c>
      <c r="E225" s="55">
        <v>628666</v>
      </c>
      <c r="F225" s="112"/>
      <c r="G225" s="68">
        <v>595270.01</v>
      </c>
      <c r="H225" s="112"/>
      <c r="I225" s="338">
        <f t="shared" si="3"/>
        <v>94.68780083541976</v>
      </c>
    </row>
    <row r="226" spans="1:9" ht="17.25" customHeight="1">
      <c r="A226" s="105"/>
      <c r="B226" s="117"/>
      <c r="C226" s="6">
        <v>4301</v>
      </c>
      <c r="D226" s="2" t="s">
        <v>569</v>
      </c>
      <c r="E226" s="55">
        <v>2000</v>
      </c>
      <c r="F226" s="112"/>
      <c r="G226" s="68">
        <v>61.5</v>
      </c>
      <c r="H226" s="112"/>
      <c r="I226" s="338">
        <f t="shared" si="3"/>
        <v>3.075</v>
      </c>
    </row>
    <row r="227" spans="1:9" ht="18" customHeight="1">
      <c r="A227" s="105"/>
      <c r="B227" s="117"/>
      <c r="C227" s="6">
        <v>4350</v>
      </c>
      <c r="D227" s="2" t="s">
        <v>586</v>
      </c>
      <c r="E227" s="55">
        <v>16653</v>
      </c>
      <c r="F227" s="112"/>
      <c r="G227" s="68">
        <v>14157.36</v>
      </c>
      <c r="H227" s="112"/>
      <c r="I227" s="338">
        <f t="shared" si="3"/>
        <v>85.01387137452711</v>
      </c>
    </row>
    <row r="228" spans="1:9" ht="40.5" customHeight="1">
      <c r="A228" s="105"/>
      <c r="B228" s="117"/>
      <c r="C228" s="6">
        <v>4360</v>
      </c>
      <c r="D228" s="2" t="s">
        <v>768</v>
      </c>
      <c r="E228" s="55">
        <v>5378</v>
      </c>
      <c r="F228" s="112"/>
      <c r="G228" s="68">
        <v>4718.01</v>
      </c>
      <c r="H228" s="112"/>
      <c r="I228" s="338">
        <f t="shared" si="3"/>
        <v>87.72796578653775</v>
      </c>
    </row>
    <row r="229" spans="1:9" ht="41.25" customHeight="1">
      <c r="A229" s="105"/>
      <c r="B229" s="117"/>
      <c r="C229" s="6">
        <v>4370</v>
      </c>
      <c r="D229" s="2" t="s">
        <v>767</v>
      </c>
      <c r="E229" s="55">
        <v>50080</v>
      </c>
      <c r="F229" s="112"/>
      <c r="G229" s="68">
        <v>40791.39</v>
      </c>
      <c r="H229" s="112"/>
      <c r="I229" s="338">
        <f t="shared" si="3"/>
        <v>81.45245607028754</v>
      </c>
    </row>
    <row r="230" spans="1:9" ht="30" customHeight="1">
      <c r="A230" s="105"/>
      <c r="B230" s="117"/>
      <c r="C230" s="6">
        <v>4390</v>
      </c>
      <c r="D230" s="2" t="s">
        <v>505</v>
      </c>
      <c r="E230" s="55">
        <v>40</v>
      </c>
      <c r="F230" s="112"/>
      <c r="G230" s="68">
        <v>36.9</v>
      </c>
      <c r="H230" s="112"/>
      <c r="I230" s="338">
        <f t="shared" si="3"/>
        <v>92.25</v>
      </c>
    </row>
    <row r="231" spans="1:9" ht="31.5" customHeight="1">
      <c r="A231" s="105"/>
      <c r="B231" s="117"/>
      <c r="C231" s="6">
        <v>4400</v>
      </c>
      <c r="D231" s="2" t="s">
        <v>728</v>
      </c>
      <c r="E231" s="55">
        <v>24200</v>
      </c>
      <c r="F231" s="112"/>
      <c r="G231" s="68">
        <v>24200</v>
      </c>
      <c r="H231" s="112"/>
      <c r="I231" s="338">
        <f t="shared" si="3"/>
        <v>100</v>
      </c>
    </row>
    <row r="232" spans="1:9" ht="18" customHeight="1">
      <c r="A232" s="105"/>
      <c r="B232" s="117"/>
      <c r="C232" s="6">
        <v>4410</v>
      </c>
      <c r="D232" s="2" t="s">
        <v>580</v>
      </c>
      <c r="E232" s="55">
        <v>6788</v>
      </c>
      <c r="F232" s="112"/>
      <c r="G232" s="68">
        <v>6106.58</v>
      </c>
      <c r="H232" s="112"/>
      <c r="I232" s="338">
        <f t="shared" si="3"/>
        <v>89.9614024749558</v>
      </c>
    </row>
    <row r="233" spans="1:9" ht="18" customHeight="1">
      <c r="A233" s="105"/>
      <c r="B233" s="117"/>
      <c r="C233" s="6">
        <v>4421</v>
      </c>
      <c r="D233" s="2" t="s">
        <v>588</v>
      </c>
      <c r="E233" s="55">
        <v>16000</v>
      </c>
      <c r="F233" s="112"/>
      <c r="G233" s="68">
        <v>14607.52</v>
      </c>
      <c r="H233" s="112"/>
      <c r="I233" s="338">
        <f t="shared" si="3"/>
        <v>91.29700000000001</v>
      </c>
    </row>
    <row r="234" spans="1:9" ht="17.25" customHeight="1">
      <c r="A234" s="105"/>
      <c r="B234" s="117"/>
      <c r="C234" s="6">
        <v>4430</v>
      </c>
      <c r="D234" s="2" t="s">
        <v>288</v>
      </c>
      <c r="E234" s="55">
        <v>18181</v>
      </c>
      <c r="F234" s="112"/>
      <c r="G234" s="68">
        <v>16596.5</v>
      </c>
      <c r="H234" s="112"/>
      <c r="I234" s="338">
        <f t="shared" si="3"/>
        <v>91.28485781860184</v>
      </c>
    </row>
    <row r="235" spans="1:9" ht="25.5" customHeight="1">
      <c r="A235" s="105"/>
      <c r="B235" s="117"/>
      <c r="C235" s="6">
        <v>4440</v>
      </c>
      <c r="D235" s="2" t="s">
        <v>578</v>
      </c>
      <c r="E235" s="55">
        <v>1024499</v>
      </c>
      <c r="F235" s="112"/>
      <c r="G235" s="68">
        <v>1022478.35</v>
      </c>
      <c r="H235" s="112"/>
      <c r="I235" s="338">
        <f t="shared" si="3"/>
        <v>99.80276701099757</v>
      </c>
    </row>
    <row r="236" spans="1:9" ht="18.75" customHeight="1">
      <c r="A236" s="105"/>
      <c r="B236" s="117"/>
      <c r="C236" s="6">
        <v>4480</v>
      </c>
      <c r="D236" s="2" t="s">
        <v>306</v>
      </c>
      <c r="E236" s="55">
        <v>5392</v>
      </c>
      <c r="F236" s="112"/>
      <c r="G236" s="68">
        <v>5213</v>
      </c>
      <c r="H236" s="112"/>
      <c r="I236" s="338">
        <f t="shared" si="3"/>
        <v>96.68026706231454</v>
      </c>
    </row>
    <row r="237" spans="1:9" ht="18" customHeight="1">
      <c r="A237" s="105"/>
      <c r="B237" s="117"/>
      <c r="C237" s="6">
        <v>4510</v>
      </c>
      <c r="D237" s="2" t="s">
        <v>678</v>
      </c>
      <c r="E237" s="55">
        <v>920</v>
      </c>
      <c r="F237" s="112"/>
      <c r="G237" s="68">
        <v>319.2</v>
      </c>
      <c r="H237" s="112"/>
      <c r="I237" s="338">
        <f t="shared" si="3"/>
        <v>34.69565217391305</v>
      </c>
    </row>
    <row r="238" spans="1:9" ht="30" customHeight="1">
      <c r="A238" s="105"/>
      <c r="B238" s="117"/>
      <c r="C238" s="6">
        <v>4700</v>
      </c>
      <c r="D238" s="2" t="s">
        <v>93</v>
      </c>
      <c r="E238" s="55">
        <v>18590</v>
      </c>
      <c r="F238" s="112"/>
      <c r="G238" s="68">
        <v>16214.6</v>
      </c>
      <c r="H238" s="112"/>
      <c r="I238" s="338">
        <f t="shared" si="3"/>
        <v>87.22216245293168</v>
      </c>
    </row>
    <row r="239" spans="1:9" ht="30" customHeight="1">
      <c r="A239" s="105"/>
      <c r="B239" s="117"/>
      <c r="C239" s="6">
        <v>6050</v>
      </c>
      <c r="D239" s="2" t="s">
        <v>812</v>
      </c>
      <c r="E239" s="118">
        <v>254550</v>
      </c>
      <c r="F239" s="112"/>
      <c r="G239" s="94">
        <v>147105.84</v>
      </c>
      <c r="H239" s="112"/>
      <c r="I239" s="338">
        <f t="shared" si="3"/>
        <v>57.79054802592811</v>
      </c>
    </row>
    <row r="240" spans="1:9" ht="30" customHeight="1">
      <c r="A240" s="105"/>
      <c r="B240" s="117"/>
      <c r="C240" s="6">
        <v>6060</v>
      </c>
      <c r="D240" s="2" t="s">
        <v>598</v>
      </c>
      <c r="E240" s="118">
        <v>12000</v>
      </c>
      <c r="F240" s="112"/>
      <c r="G240" s="94">
        <v>11949.02</v>
      </c>
      <c r="H240" s="112"/>
      <c r="I240" s="338">
        <f t="shared" si="3"/>
        <v>99.57516666666668</v>
      </c>
    </row>
    <row r="241" spans="1:9" ht="23.25" customHeight="1">
      <c r="A241" s="140"/>
      <c r="B241" s="61">
        <v>80110</v>
      </c>
      <c r="C241" s="32"/>
      <c r="D241" s="33" t="s">
        <v>501</v>
      </c>
      <c r="E241" s="52">
        <f>SUM(E242:E264)</f>
        <v>23194882</v>
      </c>
      <c r="F241" s="112"/>
      <c r="G241" s="124">
        <f>SUM(G242:G264)</f>
        <v>22899264.499999993</v>
      </c>
      <c r="H241" s="112"/>
      <c r="I241" s="338">
        <f t="shared" si="3"/>
        <v>98.7255054800451</v>
      </c>
    </row>
    <row r="242" spans="1:9" ht="30.75" customHeight="1">
      <c r="A242" s="105"/>
      <c r="B242" s="117"/>
      <c r="C242" s="6">
        <v>2540</v>
      </c>
      <c r="D242" s="2" t="s">
        <v>725</v>
      </c>
      <c r="E242" s="120">
        <v>1111494</v>
      </c>
      <c r="F242" s="112"/>
      <c r="G242" s="119">
        <v>907494</v>
      </c>
      <c r="H242" s="112"/>
      <c r="I242" s="338">
        <f t="shared" si="3"/>
        <v>81.64632467651647</v>
      </c>
    </row>
    <row r="243" spans="1:9" ht="24.75" customHeight="1">
      <c r="A243" s="105"/>
      <c r="B243" s="15"/>
      <c r="C243" s="6">
        <v>3020</v>
      </c>
      <c r="D243" s="2" t="s">
        <v>721</v>
      </c>
      <c r="E243" s="55">
        <v>64594</v>
      </c>
      <c r="F243" s="112"/>
      <c r="G243" s="68">
        <v>61721.96</v>
      </c>
      <c r="H243" s="112"/>
      <c r="I243" s="338">
        <f aca="true" t="shared" si="4" ref="I243:I307">G243/E243*100</f>
        <v>95.55370467845312</v>
      </c>
    </row>
    <row r="244" spans="1:9" ht="16.5" customHeight="1">
      <c r="A244" s="105"/>
      <c r="B244" s="15"/>
      <c r="C244" s="6">
        <v>4010</v>
      </c>
      <c r="D244" s="2" t="s">
        <v>572</v>
      </c>
      <c r="E244" s="55">
        <v>15224309</v>
      </c>
      <c r="F244" s="112"/>
      <c r="G244" s="68">
        <v>15209675.1</v>
      </c>
      <c r="H244" s="112"/>
      <c r="I244" s="338">
        <f t="shared" si="4"/>
        <v>99.90387806763512</v>
      </c>
    </row>
    <row r="245" spans="1:9" ht="15" customHeight="1">
      <c r="A245" s="105"/>
      <c r="B245" s="15"/>
      <c r="C245" s="6">
        <v>4040</v>
      </c>
      <c r="D245" s="2" t="s">
        <v>575</v>
      </c>
      <c r="E245" s="55">
        <v>1185269</v>
      </c>
      <c r="F245" s="112"/>
      <c r="G245" s="68">
        <v>1185265.42</v>
      </c>
      <c r="H245" s="112"/>
      <c r="I245" s="338">
        <f t="shared" si="4"/>
        <v>99.99969795885997</v>
      </c>
    </row>
    <row r="246" spans="1:9" ht="15" customHeight="1">
      <c r="A246" s="105"/>
      <c r="B246" s="15"/>
      <c r="C246" s="6">
        <v>4110</v>
      </c>
      <c r="D246" s="2" t="s">
        <v>576</v>
      </c>
      <c r="E246" s="55">
        <v>2715442</v>
      </c>
      <c r="F246" s="112"/>
      <c r="G246" s="68">
        <v>2705524</v>
      </c>
      <c r="H246" s="112"/>
      <c r="I246" s="338">
        <f t="shared" si="4"/>
        <v>99.63475559411691</v>
      </c>
    </row>
    <row r="247" spans="1:9" ht="18.75" customHeight="1">
      <c r="A247" s="105"/>
      <c r="B247" s="15"/>
      <c r="C247" s="6">
        <v>4120</v>
      </c>
      <c r="D247" s="2" t="s">
        <v>577</v>
      </c>
      <c r="E247" s="55">
        <v>341021</v>
      </c>
      <c r="F247" s="112"/>
      <c r="G247" s="68">
        <v>334919.86</v>
      </c>
      <c r="H247" s="112"/>
      <c r="I247" s="338">
        <f t="shared" si="4"/>
        <v>98.2109195621384</v>
      </c>
    </row>
    <row r="248" spans="1:9" ht="27.75" customHeight="1">
      <c r="A248" s="105"/>
      <c r="B248" s="15"/>
      <c r="C248" s="6">
        <v>4140</v>
      </c>
      <c r="D248" s="2" t="s">
        <v>758</v>
      </c>
      <c r="E248" s="55">
        <v>15000</v>
      </c>
      <c r="F248" s="112"/>
      <c r="G248" s="68">
        <v>14611</v>
      </c>
      <c r="H248" s="112"/>
      <c r="I248" s="338">
        <f t="shared" si="4"/>
        <v>97.40666666666667</v>
      </c>
    </row>
    <row r="249" spans="1:9" ht="18.75" customHeight="1">
      <c r="A249" s="105"/>
      <c r="B249" s="15"/>
      <c r="C249" s="6">
        <v>4170</v>
      </c>
      <c r="D249" s="2" t="s">
        <v>583</v>
      </c>
      <c r="E249" s="55">
        <v>50512</v>
      </c>
      <c r="F249" s="112"/>
      <c r="G249" s="68">
        <v>50212</v>
      </c>
      <c r="H249" s="112"/>
      <c r="I249" s="338">
        <f t="shared" si="4"/>
        <v>99.4060817231549</v>
      </c>
    </row>
    <row r="250" spans="1:9" ht="18" customHeight="1">
      <c r="A250" s="105"/>
      <c r="B250" s="15"/>
      <c r="C250" s="6">
        <v>4210</v>
      </c>
      <c r="D250" s="2" t="s">
        <v>533</v>
      </c>
      <c r="E250" s="55">
        <v>204850</v>
      </c>
      <c r="F250" s="112"/>
      <c r="G250" s="68">
        <v>204824.11</v>
      </c>
      <c r="H250" s="112"/>
      <c r="I250" s="338">
        <f t="shared" si="4"/>
        <v>99.98736148401268</v>
      </c>
    </row>
    <row r="251" spans="1:9" ht="18" customHeight="1">
      <c r="A251" s="105"/>
      <c r="B251" s="15"/>
      <c r="C251" s="6">
        <v>4220</v>
      </c>
      <c r="D251" s="2" t="s">
        <v>675</v>
      </c>
      <c r="E251" s="55">
        <v>1200</v>
      </c>
      <c r="F251" s="112"/>
      <c r="G251" s="68">
        <v>1022.97</v>
      </c>
      <c r="H251" s="112"/>
      <c r="I251" s="338">
        <f t="shared" si="4"/>
        <v>85.2475</v>
      </c>
    </row>
    <row r="252" spans="1:9" ht="27" customHeight="1">
      <c r="A252" s="105"/>
      <c r="B252" s="15"/>
      <c r="C252" s="6">
        <v>4240</v>
      </c>
      <c r="D252" s="2" t="s">
        <v>759</v>
      </c>
      <c r="E252" s="55">
        <v>51350</v>
      </c>
      <c r="F252" s="112"/>
      <c r="G252" s="68">
        <v>46267.41</v>
      </c>
      <c r="H252" s="112"/>
      <c r="I252" s="338">
        <f t="shared" si="4"/>
        <v>90.10206426484908</v>
      </c>
    </row>
    <row r="253" spans="1:9" ht="15" customHeight="1">
      <c r="A253" s="105"/>
      <c r="B253" s="15"/>
      <c r="C253" s="6">
        <v>4260</v>
      </c>
      <c r="D253" s="2" t="s">
        <v>591</v>
      </c>
      <c r="E253" s="55">
        <v>734673</v>
      </c>
      <c r="F253" s="112"/>
      <c r="G253" s="68">
        <v>704361.31</v>
      </c>
      <c r="H253" s="112"/>
      <c r="I253" s="338">
        <f t="shared" si="4"/>
        <v>95.87412495082847</v>
      </c>
    </row>
    <row r="254" spans="1:9" ht="15" customHeight="1">
      <c r="A254" s="105"/>
      <c r="B254" s="15"/>
      <c r="C254" s="6">
        <v>4270</v>
      </c>
      <c r="D254" s="2" t="s">
        <v>534</v>
      </c>
      <c r="E254" s="55">
        <v>165915</v>
      </c>
      <c r="F254" s="112"/>
      <c r="G254" s="68">
        <v>163570.83</v>
      </c>
      <c r="H254" s="112"/>
      <c r="I254" s="338">
        <f t="shared" si="4"/>
        <v>98.58712593798028</v>
      </c>
    </row>
    <row r="255" spans="1:9" ht="15" customHeight="1">
      <c r="A255" s="105"/>
      <c r="B255" s="15"/>
      <c r="C255" s="6">
        <v>4280</v>
      </c>
      <c r="D255" s="2" t="s">
        <v>723</v>
      </c>
      <c r="E255" s="55">
        <v>9328</v>
      </c>
      <c r="F255" s="112"/>
      <c r="G255" s="68">
        <v>9198</v>
      </c>
      <c r="H255" s="112"/>
      <c r="I255" s="338">
        <f t="shared" si="4"/>
        <v>98.60634648370498</v>
      </c>
    </row>
    <row r="256" spans="1:9" ht="15" customHeight="1">
      <c r="A256" s="105"/>
      <c r="B256" s="15"/>
      <c r="C256" s="6">
        <v>4300</v>
      </c>
      <c r="D256" s="2" t="s">
        <v>530</v>
      </c>
      <c r="E256" s="55">
        <v>345154</v>
      </c>
      <c r="F256" s="112"/>
      <c r="G256" s="68">
        <v>331622.3</v>
      </c>
      <c r="H256" s="112"/>
      <c r="I256" s="338">
        <f t="shared" si="4"/>
        <v>96.0795181281399</v>
      </c>
    </row>
    <row r="257" spans="1:9" ht="15" customHeight="1">
      <c r="A257" s="105"/>
      <c r="B257" s="15"/>
      <c r="C257" s="6">
        <v>4350</v>
      </c>
      <c r="D257" s="2" t="s">
        <v>586</v>
      </c>
      <c r="E257" s="55">
        <v>7080</v>
      </c>
      <c r="F257" s="112"/>
      <c r="G257" s="68">
        <v>6413.16</v>
      </c>
      <c r="H257" s="112"/>
      <c r="I257" s="338">
        <f t="shared" si="4"/>
        <v>90.5813559322034</v>
      </c>
    </row>
    <row r="258" spans="1:9" ht="41.25" customHeight="1">
      <c r="A258" s="105"/>
      <c r="B258" s="15"/>
      <c r="C258" s="6">
        <v>4360</v>
      </c>
      <c r="D258" s="2" t="s">
        <v>768</v>
      </c>
      <c r="E258" s="55">
        <v>3950</v>
      </c>
      <c r="F258" s="112"/>
      <c r="G258" s="68">
        <v>3229.71</v>
      </c>
      <c r="H258" s="112"/>
      <c r="I258" s="338">
        <f t="shared" si="4"/>
        <v>81.76481012658228</v>
      </c>
    </row>
    <row r="259" spans="1:9" ht="42.75" customHeight="1">
      <c r="A259" s="105"/>
      <c r="B259" s="15"/>
      <c r="C259" s="6">
        <v>4370</v>
      </c>
      <c r="D259" s="2" t="s">
        <v>767</v>
      </c>
      <c r="E259" s="55">
        <v>22333</v>
      </c>
      <c r="F259" s="112"/>
      <c r="G259" s="68">
        <v>20782.74</v>
      </c>
      <c r="H259" s="112"/>
      <c r="I259" s="338">
        <f t="shared" si="4"/>
        <v>93.05843370796579</v>
      </c>
    </row>
    <row r="260" spans="1:9" ht="19.5" customHeight="1">
      <c r="A260" s="105"/>
      <c r="B260" s="15"/>
      <c r="C260" s="6">
        <v>4410</v>
      </c>
      <c r="D260" s="2" t="s">
        <v>580</v>
      </c>
      <c r="E260" s="55">
        <v>8622</v>
      </c>
      <c r="F260" s="112"/>
      <c r="G260" s="68">
        <v>7735.82</v>
      </c>
      <c r="H260" s="112"/>
      <c r="I260" s="338">
        <f t="shared" si="4"/>
        <v>89.72187427511018</v>
      </c>
    </row>
    <row r="261" spans="1:9" ht="18.75" customHeight="1">
      <c r="A261" s="105"/>
      <c r="B261" s="15"/>
      <c r="C261" s="6">
        <v>4430</v>
      </c>
      <c r="D261" s="2" t="s">
        <v>288</v>
      </c>
      <c r="E261" s="55">
        <v>22259</v>
      </c>
      <c r="F261" s="112"/>
      <c r="G261" s="68">
        <v>22181</v>
      </c>
      <c r="H261" s="112"/>
      <c r="I261" s="338">
        <f t="shared" si="4"/>
        <v>99.64957994519071</v>
      </c>
    </row>
    <row r="262" spans="1:9" ht="25.5" customHeight="1">
      <c r="A262" s="105"/>
      <c r="B262" s="15"/>
      <c r="C262" s="6">
        <v>4440</v>
      </c>
      <c r="D262" s="2" t="s">
        <v>578</v>
      </c>
      <c r="E262" s="55">
        <v>898004</v>
      </c>
      <c r="F262" s="112"/>
      <c r="G262" s="68">
        <v>897666.21</v>
      </c>
      <c r="H262" s="112"/>
      <c r="I262" s="338">
        <f t="shared" si="4"/>
        <v>99.96238435463539</v>
      </c>
    </row>
    <row r="263" spans="1:9" ht="20.25" customHeight="1">
      <c r="A263" s="105"/>
      <c r="B263" s="15"/>
      <c r="C263" s="6">
        <v>4480</v>
      </c>
      <c r="D263" s="2" t="s">
        <v>306</v>
      </c>
      <c r="E263" s="55">
        <v>3025</v>
      </c>
      <c r="F263" s="112"/>
      <c r="G263" s="68">
        <v>3025</v>
      </c>
      <c r="H263" s="112"/>
      <c r="I263" s="338">
        <f t="shared" si="4"/>
        <v>100</v>
      </c>
    </row>
    <row r="264" spans="1:9" ht="36" customHeight="1">
      <c r="A264" s="105"/>
      <c r="B264" s="15"/>
      <c r="C264" s="6">
        <v>4700</v>
      </c>
      <c r="D264" s="2" t="s">
        <v>93</v>
      </c>
      <c r="E264" s="55">
        <v>9498</v>
      </c>
      <c r="F264" s="112"/>
      <c r="G264" s="68">
        <v>7940.59</v>
      </c>
      <c r="H264" s="112"/>
      <c r="I264" s="338">
        <f t="shared" si="4"/>
        <v>83.60275847546852</v>
      </c>
    </row>
    <row r="265" spans="1:9" ht="24" customHeight="1">
      <c r="A265" s="105"/>
      <c r="B265" s="31">
        <v>80113</v>
      </c>
      <c r="C265" s="32"/>
      <c r="D265" s="33" t="s">
        <v>676</v>
      </c>
      <c r="E265" s="37">
        <f>SUM(E266:E266)</f>
        <v>93584</v>
      </c>
      <c r="F265" s="112"/>
      <c r="G265" s="124">
        <f>SUM(G266:G266)</f>
        <v>86933.85</v>
      </c>
      <c r="H265" s="112"/>
      <c r="I265" s="338">
        <f t="shared" si="4"/>
        <v>92.89392417507267</v>
      </c>
    </row>
    <row r="266" spans="1:9" ht="19.5" customHeight="1">
      <c r="A266" s="105"/>
      <c r="B266" s="15"/>
      <c r="C266" s="6">
        <v>4300</v>
      </c>
      <c r="D266" s="2" t="s">
        <v>530</v>
      </c>
      <c r="E266" s="68">
        <v>93584</v>
      </c>
      <c r="F266" s="112"/>
      <c r="G266" s="68">
        <v>86933.85</v>
      </c>
      <c r="H266" s="112"/>
      <c r="I266" s="338">
        <f t="shared" si="4"/>
        <v>92.89392417507267</v>
      </c>
    </row>
    <row r="267" spans="1:9" ht="29.25" customHeight="1">
      <c r="A267" s="105"/>
      <c r="B267" s="61">
        <v>80146</v>
      </c>
      <c r="C267" s="6"/>
      <c r="D267" s="33" t="s">
        <v>522</v>
      </c>
      <c r="E267" s="52">
        <f>SUM(E268:E276)</f>
        <v>470733</v>
      </c>
      <c r="F267" s="112"/>
      <c r="G267" s="124">
        <f>SUM(G268:G276)</f>
        <v>354748.55</v>
      </c>
      <c r="H267" s="112"/>
      <c r="I267" s="338">
        <f t="shared" si="4"/>
        <v>75.36088398306471</v>
      </c>
    </row>
    <row r="268" spans="1:9" ht="27" customHeight="1">
      <c r="A268" s="105"/>
      <c r="B268" s="102"/>
      <c r="C268" s="6">
        <v>3020</v>
      </c>
      <c r="D268" s="2" t="s">
        <v>721</v>
      </c>
      <c r="E268" s="120">
        <v>1700</v>
      </c>
      <c r="F268" s="112"/>
      <c r="G268" s="119">
        <v>1700</v>
      </c>
      <c r="H268" s="112"/>
      <c r="I268" s="338">
        <f t="shared" si="4"/>
        <v>100</v>
      </c>
    </row>
    <row r="269" spans="1:9" ht="19.5" customHeight="1">
      <c r="A269" s="105"/>
      <c r="B269" s="102"/>
      <c r="C269" s="6">
        <v>4010</v>
      </c>
      <c r="D269" s="2" t="s">
        <v>572</v>
      </c>
      <c r="E269" s="55">
        <v>81878</v>
      </c>
      <c r="F269" s="112"/>
      <c r="G269" s="68">
        <v>62846.06</v>
      </c>
      <c r="H269" s="112"/>
      <c r="I269" s="338">
        <f t="shared" si="4"/>
        <v>76.7557341410391</v>
      </c>
    </row>
    <row r="270" spans="1:9" ht="15" customHeight="1">
      <c r="A270" s="105"/>
      <c r="B270" s="102"/>
      <c r="C270" s="6">
        <v>4110</v>
      </c>
      <c r="D270" s="2" t="s">
        <v>576</v>
      </c>
      <c r="E270" s="55">
        <v>12460</v>
      </c>
      <c r="F270" s="112"/>
      <c r="G270" s="68">
        <v>10000.91</v>
      </c>
      <c r="H270" s="112"/>
      <c r="I270" s="338">
        <f t="shared" si="4"/>
        <v>80.26412520064206</v>
      </c>
    </row>
    <row r="271" spans="1:9" ht="15" customHeight="1">
      <c r="A271" s="105"/>
      <c r="B271" s="102"/>
      <c r="C271" s="6">
        <v>4120</v>
      </c>
      <c r="D271" s="2" t="s">
        <v>577</v>
      </c>
      <c r="E271" s="55">
        <v>2010</v>
      </c>
      <c r="F271" s="112"/>
      <c r="G271" s="68">
        <v>1568.3</v>
      </c>
      <c r="H271" s="112"/>
      <c r="I271" s="338">
        <f t="shared" si="4"/>
        <v>78.02487562189054</v>
      </c>
    </row>
    <row r="272" spans="1:9" ht="15" customHeight="1">
      <c r="A272" s="105"/>
      <c r="B272" s="102"/>
      <c r="C272" s="6">
        <v>4170</v>
      </c>
      <c r="D272" s="2" t="s">
        <v>583</v>
      </c>
      <c r="E272" s="55">
        <v>10000</v>
      </c>
      <c r="F272" s="112"/>
      <c r="G272" s="68">
        <v>0</v>
      </c>
      <c r="H272" s="112"/>
      <c r="I272" s="338"/>
    </row>
    <row r="273" spans="1:9" ht="15" customHeight="1">
      <c r="A273" s="105"/>
      <c r="B273" s="102"/>
      <c r="C273" s="6">
        <v>4210</v>
      </c>
      <c r="D273" s="2" t="s">
        <v>533</v>
      </c>
      <c r="E273" s="55">
        <v>7474</v>
      </c>
      <c r="F273" s="112"/>
      <c r="G273" s="68">
        <f>3746.01+215.24</f>
        <v>3961.25</v>
      </c>
      <c r="H273" s="112"/>
      <c r="I273" s="338">
        <f t="shared" si="4"/>
        <v>53.000401391490506</v>
      </c>
    </row>
    <row r="274" spans="1:9" ht="15" customHeight="1">
      <c r="A274" s="105"/>
      <c r="B274" s="102"/>
      <c r="C274" s="6">
        <v>4300</v>
      </c>
      <c r="D274" s="2" t="s">
        <v>530</v>
      </c>
      <c r="E274" s="55">
        <v>67470</v>
      </c>
      <c r="F274" s="112"/>
      <c r="G274" s="68">
        <v>47432.07</v>
      </c>
      <c r="H274" s="112"/>
      <c r="I274" s="338">
        <f t="shared" si="4"/>
        <v>70.3009782125389</v>
      </c>
    </row>
    <row r="275" spans="1:9" ht="15" customHeight="1">
      <c r="A275" s="105"/>
      <c r="B275" s="102"/>
      <c r="C275" s="6">
        <v>4410</v>
      </c>
      <c r="D275" s="2" t="s">
        <v>580</v>
      </c>
      <c r="E275" s="55">
        <v>27269</v>
      </c>
      <c r="F275" s="112"/>
      <c r="G275" s="68">
        <f>11428.66+2930.67</f>
        <v>14359.33</v>
      </c>
      <c r="H275" s="112"/>
      <c r="I275" s="338">
        <f t="shared" si="4"/>
        <v>52.658073270013574</v>
      </c>
    </row>
    <row r="276" spans="1:9" ht="30.75" customHeight="1">
      <c r="A276" s="105"/>
      <c r="B276" s="102"/>
      <c r="C276" s="6">
        <v>4700</v>
      </c>
      <c r="D276" s="2" t="s">
        <v>93</v>
      </c>
      <c r="E276" s="55">
        <v>260472</v>
      </c>
      <c r="F276" s="112"/>
      <c r="G276" s="68">
        <f>209461.63+3419</f>
        <v>212880.63</v>
      </c>
      <c r="H276" s="112"/>
      <c r="I276" s="338">
        <f t="shared" si="4"/>
        <v>81.72879618538653</v>
      </c>
    </row>
    <row r="277" spans="1:9" ht="21.75" customHeight="1">
      <c r="A277" s="105"/>
      <c r="B277" s="32">
        <v>80148</v>
      </c>
      <c r="C277" s="32"/>
      <c r="D277" s="33" t="s">
        <v>79</v>
      </c>
      <c r="E277" s="37">
        <f>SUM(E278:E295)</f>
        <v>3734174</v>
      </c>
      <c r="F277" s="112"/>
      <c r="G277" s="124">
        <f>SUM(G278:G295)</f>
        <v>3627503.3200000003</v>
      </c>
      <c r="H277" s="112"/>
      <c r="I277" s="338">
        <f t="shared" si="4"/>
        <v>97.14339288956542</v>
      </c>
    </row>
    <row r="278" spans="1:9" ht="26.25" customHeight="1">
      <c r="A278" s="105"/>
      <c r="B278" s="15"/>
      <c r="C278" s="6">
        <v>3020</v>
      </c>
      <c r="D278" s="2" t="s">
        <v>721</v>
      </c>
      <c r="E278" s="120">
        <v>16078</v>
      </c>
      <c r="F278" s="112"/>
      <c r="G278" s="119">
        <v>15503.15</v>
      </c>
      <c r="H278" s="112"/>
      <c r="I278" s="338">
        <f t="shared" si="4"/>
        <v>96.42461748973753</v>
      </c>
    </row>
    <row r="279" spans="1:9" ht="19.5" customHeight="1">
      <c r="A279" s="105"/>
      <c r="B279" s="15"/>
      <c r="C279" s="6">
        <v>4010</v>
      </c>
      <c r="D279" s="2" t="s">
        <v>572</v>
      </c>
      <c r="E279" s="55">
        <v>1216166</v>
      </c>
      <c r="F279" s="112"/>
      <c r="G279" s="68">
        <v>1206887.99</v>
      </c>
      <c r="H279" s="112"/>
      <c r="I279" s="338">
        <f t="shared" si="4"/>
        <v>99.23710990111547</v>
      </c>
    </row>
    <row r="280" spans="1:9" ht="15" customHeight="1">
      <c r="A280" s="105"/>
      <c r="B280" s="15"/>
      <c r="C280" s="6">
        <v>4040</v>
      </c>
      <c r="D280" s="2" t="s">
        <v>575</v>
      </c>
      <c r="E280" s="55">
        <v>92670</v>
      </c>
      <c r="F280" s="112"/>
      <c r="G280" s="68">
        <v>92623.18</v>
      </c>
      <c r="H280" s="112"/>
      <c r="I280" s="338">
        <f t="shared" si="4"/>
        <v>99.94947663753102</v>
      </c>
    </row>
    <row r="281" spans="1:9" ht="15" customHeight="1">
      <c r="A281" s="105"/>
      <c r="B281" s="15"/>
      <c r="C281" s="6">
        <v>4110</v>
      </c>
      <c r="D281" s="2" t="s">
        <v>576</v>
      </c>
      <c r="E281" s="55">
        <v>214767</v>
      </c>
      <c r="F281" s="112"/>
      <c r="G281" s="68">
        <v>209525.37</v>
      </c>
      <c r="H281" s="112"/>
      <c r="I281" s="338">
        <f t="shared" si="4"/>
        <v>97.55938761541577</v>
      </c>
    </row>
    <row r="282" spans="1:9" ht="15" customHeight="1">
      <c r="A282" s="105"/>
      <c r="B282" s="15"/>
      <c r="C282" s="6">
        <v>4120</v>
      </c>
      <c r="D282" s="2" t="s">
        <v>577</v>
      </c>
      <c r="E282" s="55">
        <v>25890</v>
      </c>
      <c r="F282" s="112"/>
      <c r="G282" s="68">
        <v>23907.19</v>
      </c>
      <c r="H282" s="112"/>
      <c r="I282" s="338">
        <f t="shared" si="4"/>
        <v>92.34140594824257</v>
      </c>
    </row>
    <row r="283" spans="1:9" ht="15" customHeight="1">
      <c r="A283" s="105"/>
      <c r="B283" s="15"/>
      <c r="C283" s="6">
        <v>4170</v>
      </c>
      <c r="D283" s="2" t="s">
        <v>583</v>
      </c>
      <c r="E283" s="55">
        <v>5848</v>
      </c>
      <c r="F283" s="112"/>
      <c r="G283" s="68">
        <v>5643.7</v>
      </c>
      <c r="H283" s="112"/>
      <c r="I283" s="338">
        <f t="shared" si="4"/>
        <v>96.50649794801642</v>
      </c>
    </row>
    <row r="284" spans="1:9" ht="15" customHeight="1">
      <c r="A284" s="105"/>
      <c r="B284" s="15"/>
      <c r="C284" s="6">
        <v>4210</v>
      </c>
      <c r="D284" s="2" t="s">
        <v>533</v>
      </c>
      <c r="E284" s="55">
        <v>60566</v>
      </c>
      <c r="F284" s="112"/>
      <c r="G284" s="68">
        <v>60369.52</v>
      </c>
      <c r="H284" s="112"/>
      <c r="I284" s="338">
        <f t="shared" si="4"/>
        <v>99.675593567348</v>
      </c>
    </row>
    <row r="285" spans="1:9" ht="15" customHeight="1">
      <c r="A285" s="105"/>
      <c r="B285" s="15"/>
      <c r="C285" s="6">
        <v>4220</v>
      </c>
      <c r="D285" s="2" t="s">
        <v>675</v>
      </c>
      <c r="E285" s="55">
        <v>1554475</v>
      </c>
      <c r="F285" s="112"/>
      <c r="G285" s="68">
        <v>1496376.06</v>
      </c>
      <c r="H285" s="112"/>
      <c r="I285" s="338">
        <f t="shared" si="4"/>
        <v>96.2624718956561</v>
      </c>
    </row>
    <row r="286" spans="1:9" ht="15" customHeight="1">
      <c r="A286" s="105"/>
      <c r="B286" s="15"/>
      <c r="C286" s="6">
        <v>4260</v>
      </c>
      <c r="D286" s="2" t="s">
        <v>591</v>
      </c>
      <c r="E286" s="55">
        <v>301999</v>
      </c>
      <c r="F286" s="112"/>
      <c r="G286" s="68">
        <v>290573.77</v>
      </c>
      <c r="H286" s="112"/>
      <c r="I286" s="338">
        <f t="shared" si="4"/>
        <v>96.21679873112163</v>
      </c>
    </row>
    <row r="287" spans="1:9" ht="15" customHeight="1">
      <c r="A287" s="105"/>
      <c r="B287" s="15"/>
      <c r="C287" s="6">
        <v>4270</v>
      </c>
      <c r="D287" s="2" t="s">
        <v>534</v>
      </c>
      <c r="E287" s="55">
        <v>51938</v>
      </c>
      <c r="F287" s="112"/>
      <c r="G287" s="68">
        <v>47103.42</v>
      </c>
      <c r="H287" s="112"/>
      <c r="I287" s="338">
        <f t="shared" si="4"/>
        <v>90.69163233085602</v>
      </c>
    </row>
    <row r="288" spans="1:9" ht="15" customHeight="1">
      <c r="A288" s="105"/>
      <c r="B288" s="15"/>
      <c r="C288" s="6">
        <v>4280</v>
      </c>
      <c r="D288" s="2" t="s">
        <v>723</v>
      </c>
      <c r="E288" s="55">
        <v>1225</v>
      </c>
      <c r="F288" s="112"/>
      <c r="G288" s="68">
        <v>464</v>
      </c>
      <c r="H288" s="112"/>
      <c r="I288" s="338">
        <f t="shared" si="4"/>
        <v>37.87755102040816</v>
      </c>
    </row>
    <row r="289" spans="1:9" ht="15" customHeight="1">
      <c r="A289" s="105"/>
      <c r="B289" s="15"/>
      <c r="C289" s="6">
        <v>4300</v>
      </c>
      <c r="D289" s="2" t="s">
        <v>530</v>
      </c>
      <c r="E289" s="55">
        <v>111448</v>
      </c>
      <c r="F289" s="112"/>
      <c r="G289" s="68">
        <v>100182.2</v>
      </c>
      <c r="H289" s="112"/>
      <c r="I289" s="338">
        <f t="shared" si="4"/>
        <v>89.8914291867059</v>
      </c>
    </row>
    <row r="290" spans="1:9" ht="25.5" customHeight="1">
      <c r="A290" s="105"/>
      <c r="B290" s="15"/>
      <c r="C290" s="6">
        <v>4390</v>
      </c>
      <c r="D290" s="2" t="s">
        <v>505</v>
      </c>
      <c r="E290" s="55">
        <v>600</v>
      </c>
      <c r="F290" s="112"/>
      <c r="G290" s="68">
        <v>0</v>
      </c>
      <c r="H290" s="112"/>
      <c r="I290" s="338"/>
    </row>
    <row r="291" spans="1:9" ht="15.75" customHeight="1">
      <c r="A291" s="105"/>
      <c r="B291" s="15"/>
      <c r="C291" s="6">
        <v>4410</v>
      </c>
      <c r="D291" s="2" t="s">
        <v>580</v>
      </c>
      <c r="E291" s="55">
        <v>270</v>
      </c>
      <c r="F291" s="112"/>
      <c r="G291" s="68">
        <v>64.6</v>
      </c>
      <c r="H291" s="112"/>
      <c r="I291" s="338">
        <f t="shared" si="4"/>
        <v>23.925925925925924</v>
      </c>
    </row>
    <row r="292" spans="1:9" ht="15.75" customHeight="1">
      <c r="A292" s="105"/>
      <c r="B292" s="15"/>
      <c r="C292" s="6">
        <v>4430</v>
      </c>
      <c r="D292" s="2" t="s">
        <v>288</v>
      </c>
      <c r="E292" s="55">
        <v>474</v>
      </c>
      <c r="F292" s="112"/>
      <c r="G292" s="68">
        <v>474</v>
      </c>
      <c r="H292" s="112"/>
      <c r="I292" s="338">
        <f t="shared" si="4"/>
        <v>100</v>
      </c>
    </row>
    <row r="293" spans="1:9" ht="24.75" customHeight="1">
      <c r="A293" s="105"/>
      <c r="B293" s="15"/>
      <c r="C293" s="6">
        <v>4440</v>
      </c>
      <c r="D293" s="2" t="s">
        <v>578</v>
      </c>
      <c r="E293" s="55">
        <v>54450</v>
      </c>
      <c r="F293" s="112"/>
      <c r="G293" s="68">
        <v>53647.17</v>
      </c>
      <c r="H293" s="112"/>
      <c r="I293" s="338">
        <f t="shared" si="4"/>
        <v>98.525564738292</v>
      </c>
    </row>
    <row r="294" spans="1:9" ht="28.5" customHeight="1">
      <c r="A294" s="105"/>
      <c r="B294" s="15"/>
      <c r="C294" s="6">
        <v>4700</v>
      </c>
      <c r="D294" s="2" t="s">
        <v>93</v>
      </c>
      <c r="E294" s="118">
        <v>1310</v>
      </c>
      <c r="F294" s="112"/>
      <c r="G294" s="94">
        <v>350</v>
      </c>
      <c r="H294" s="112"/>
      <c r="I294" s="338">
        <f t="shared" si="4"/>
        <v>26.717557251908396</v>
      </c>
    </row>
    <row r="295" spans="1:9" ht="24.75" customHeight="1">
      <c r="A295" s="105"/>
      <c r="B295" s="15"/>
      <c r="C295" s="6">
        <v>6060</v>
      </c>
      <c r="D295" s="2" t="s">
        <v>598</v>
      </c>
      <c r="E295" s="118">
        <v>24000</v>
      </c>
      <c r="F295" s="112"/>
      <c r="G295" s="94">
        <v>23808</v>
      </c>
      <c r="H295" s="112"/>
      <c r="I295" s="338">
        <f t="shared" si="4"/>
        <v>99.2</v>
      </c>
    </row>
    <row r="296" spans="1:9" ht="20.25" customHeight="1">
      <c r="A296" s="140"/>
      <c r="B296" s="128">
        <v>80195</v>
      </c>
      <c r="C296" s="32"/>
      <c r="D296" s="33" t="s">
        <v>494</v>
      </c>
      <c r="E296" s="235">
        <f>SUM(E297:E302)</f>
        <v>888257</v>
      </c>
      <c r="F296" s="112"/>
      <c r="G296" s="235">
        <f>SUM(G297:G302)</f>
        <v>813383.24</v>
      </c>
      <c r="H296" s="112"/>
      <c r="I296" s="338">
        <f t="shared" si="4"/>
        <v>91.57070982834922</v>
      </c>
    </row>
    <row r="297" spans="1:9" ht="19.5" customHeight="1">
      <c r="A297" s="142"/>
      <c r="B297" s="127"/>
      <c r="C297" s="6">
        <v>4110</v>
      </c>
      <c r="D297" s="2" t="s">
        <v>576</v>
      </c>
      <c r="E297" s="320">
        <v>51</v>
      </c>
      <c r="F297" s="112"/>
      <c r="G297" s="200">
        <v>48.39</v>
      </c>
      <c r="H297" s="112"/>
      <c r="I297" s="338">
        <f t="shared" si="4"/>
        <v>94.88235294117648</v>
      </c>
    </row>
    <row r="298" spans="1:9" ht="18.75" customHeight="1">
      <c r="A298" s="142"/>
      <c r="B298" s="127"/>
      <c r="C298" s="6">
        <v>4120</v>
      </c>
      <c r="D298" s="2" t="s">
        <v>577</v>
      </c>
      <c r="E298" s="320">
        <v>8</v>
      </c>
      <c r="F298" s="112"/>
      <c r="G298" s="200">
        <v>6.86</v>
      </c>
      <c r="H298" s="112"/>
      <c r="I298" s="338">
        <f t="shared" si="4"/>
        <v>85.75</v>
      </c>
    </row>
    <row r="299" spans="1:9" ht="18.75" customHeight="1">
      <c r="A299" s="142"/>
      <c r="B299" s="127"/>
      <c r="C299" s="6">
        <v>4170</v>
      </c>
      <c r="D299" s="2" t="s">
        <v>583</v>
      </c>
      <c r="E299" s="320">
        <v>6772</v>
      </c>
      <c r="F299" s="112"/>
      <c r="G299" s="200">
        <f>5040+1732</f>
        <v>6772</v>
      </c>
      <c r="H299" s="112"/>
      <c r="I299" s="338">
        <f t="shared" si="4"/>
        <v>100</v>
      </c>
    </row>
    <row r="300" spans="1:9" ht="18.75" customHeight="1">
      <c r="A300" s="142"/>
      <c r="B300" s="127"/>
      <c r="C300" s="6">
        <v>4300</v>
      </c>
      <c r="D300" s="2" t="s">
        <v>530</v>
      </c>
      <c r="E300" s="320">
        <v>113500</v>
      </c>
      <c r="F300" s="112"/>
      <c r="G300" s="200">
        <v>38629.99</v>
      </c>
      <c r="H300" s="112"/>
      <c r="I300" s="338">
        <f t="shared" si="4"/>
        <v>34.03523348017621</v>
      </c>
    </row>
    <row r="301" spans="1:9" ht="25.5" customHeight="1">
      <c r="A301" s="142"/>
      <c r="B301" s="127"/>
      <c r="C301" s="13">
        <v>4440</v>
      </c>
      <c r="D301" s="2" t="s">
        <v>578</v>
      </c>
      <c r="E301" s="320">
        <v>754642</v>
      </c>
      <c r="F301" s="112"/>
      <c r="G301" s="320">
        <v>754642</v>
      </c>
      <c r="H301" s="112"/>
      <c r="I301" s="338">
        <f t="shared" si="4"/>
        <v>100</v>
      </c>
    </row>
    <row r="302" spans="1:22" s="109" customFormat="1" ht="24" customHeight="1">
      <c r="A302" s="23"/>
      <c r="B302" s="5"/>
      <c r="C302" s="6">
        <v>6050</v>
      </c>
      <c r="D302" s="2" t="s">
        <v>812</v>
      </c>
      <c r="E302" s="96">
        <v>13284</v>
      </c>
      <c r="F302" s="115"/>
      <c r="G302" s="96">
        <v>13284</v>
      </c>
      <c r="H302" s="115"/>
      <c r="I302" s="338">
        <f t="shared" si="4"/>
        <v>100</v>
      </c>
      <c r="J302" s="448"/>
      <c r="K302" s="73"/>
      <c r="L302" s="73"/>
      <c r="M302" s="73"/>
      <c r="N302" s="73"/>
      <c r="O302" s="467"/>
      <c r="P302" s="73"/>
      <c r="Q302" s="73"/>
      <c r="R302" s="73"/>
      <c r="S302" s="73"/>
      <c r="T302" s="126"/>
      <c r="U302" s="126"/>
      <c r="V302" s="126"/>
    </row>
    <row r="303" spans="1:9" ht="21" customHeight="1">
      <c r="A303" s="79">
        <v>851</v>
      </c>
      <c r="B303" s="88"/>
      <c r="C303" s="17"/>
      <c r="D303" s="44" t="s">
        <v>82</v>
      </c>
      <c r="E303" s="184">
        <f>E304+E307+E311+E333+E353</f>
        <v>2934844.1</v>
      </c>
      <c r="F303" s="134"/>
      <c r="G303" s="45">
        <f>G304+G307+G311+G333+G353</f>
        <v>2904800.55</v>
      </c>
      <c r="H303" s="134"/>
      <c r="I303" s="339">
        <f t="shared" si="4"/>
        <v>98.97631530070029</v>
      </c>
    </row>
    <row r="304" spans="1:22" s="69" customFormat="1" ht="21" customHeight="1">
      <c r="A304" s="221"/>
      <c r="B304" s="145">
        <v>85111</v>
      </c>
      <c r="C304" s="31"/>
      <c r="D304" s="33" t="s">
        <v>343</v>
      </c>
      <c r="E304" s="52">
        <f>SUM(E305:E306)</f>
        <v>13000</v>
      </c>
      <c r="F304" s="132"/>
      <c r="G304" s="52">
        <f>SUM(G305:G306)</f>
        <v>13000</v>
      </c>
      <c r="H304" s="132"/>
      <c r="I304" s="338">
        <f t="shared" si="4"/>
        <v>100</v>
      </c>
      <c r="J304" s="447"/>
      <c r="K304" s="352"/>
      <c r="L304" s="352"/>
      <c r="M304" s="352"/>
      <c r="N304" s="352"/>
      <c r="O304" s="465"/>
      <c r="P304" s="352"/>
      <c r="Q304" s="352"/>
      <c r="R304" s="352"/>
      <c r="S304" s="352"/>
      <c r="T304" s="321"/>
      <c r="U304" s="321"/>
      <c r="V304" s="321"/>
    </row>
    <row r="305" spans="1:9" ht="39" customHeight="1">
      <c r="A305" s="90"/>
      <c r="B305" s="78"/>
      <c r="C305" s="13">
        <v>2800</v>
      </c>
      <c r="D305" s="39" t="s">
        <v>594</v>
      </c>
      <c r="E305" s="55">
        <v>3000</v>
      </c>
      <c r="F305" s="112"/>
      <c r="G305" s="68">
        <v>3000</v>
      </c>
      <c r="H305" s="112"/>
      <c r="I305" s="338">
        <f t="shared" si="4"/>
        <v>100</v>
      </c>
    </row>
    <row r="306" spans="1:9" ht="56.25" customHeight="1">
      <c r="A306" s="90"/>
      <c r="B306" s="88"/>
      <c r="C306" s="6">
        <v>6220</v>
      </c>
      <c r="D306" s="39" t="s">
        <v>289</v>
      </c>
      <c r="E306" s="55">
        <v>10000</v>
      </c>
      <c r="F306" s="112"/>
      <c r="G306" s="68">
        <v>10000</v>
      </c>
      <c r="H306" s="112"/>
      <c r="I306" s="338">
        <f t="shared" si="4"/>
        <v>100</v>
      </c>
    </row>
    <row r="307" spans="1:9" ht="21.75" customHeight="1">
      <c r="A307" s="127"/>
      <c r="B307" s="548">
        <v>85153</v>
      </c>
      <c r="C307" s="32"/>
      <c r="D307" s="33" t="s">
        <v>808</v>
      </c>
      <c r="E307" s="52">
        <f>SUM(E308:E310)</f>
        <v>107000</v>
      </c>
      <c r="F307" s="112"/>
      <c r="G307" s="124">
        <f>SUM(G308:G310)</f>
        <v>106125.49</v>
      </c>
      <c r="H307" s="112"/>
      <c r="I307" s="338">
        <f t="shared" si="4"/>
        <v>99.18270093457944</v>
      </c>
    </row>
    <row r="308" spans="1:9" ht="79.5" customHeight="1">
      <c r="A308" s="91"/>
      <c r="B308" s="82"/>
      <c r="C308" s="13">
        <v>2360</v>
      </c>
      <c r="D308" s="2" t="s">
        <v>427</v>
      </c>
      <c r="E308" s="120">
        <v>95000</v>
      </c>
      <c r="F308" s="112"/>
      <c r="G308" s="119">
        <v>95000</v>
      </c>
      <c r="H308" s="112"/>
      <c r="I308" s="338">
        <f aca="true" t="shared" si="5" ref="I308:I371">G308/E308*100</f>
        <v>100</v>
      </c>
    </row>
    <row r="309" spans="1:9" ht="15" customHeight="1">
      <c r="A309" s="91"/>
      <c r="B309" s="81"/>
      <c r="C309" s="13">
        <v>4210</v>
      </c>
      <c r="D309" s="2" t="s">
        <v>533</v>
      </c>
      <c r="E309" s="55">
        <v>7000</v>
      </c>
      <c r="F309" s="112"/>
      <c r="G309" s="68">
        <v>6125.49</v>
      </c>
      <c r="H309" s="112"/>
      <c r="I309" s="338">
        <f t="shared" si="5"/>
        <v>87.507</v>
      </c>
    </row>
    <row r="310" spans="1:9" ht="20.25" customHeight="1">
      <c r="A310" s="91"/>
      <c r="B310" s="89"/>
      <c r="C310" s="13">
        <v>4300</v>
      </c>
      <c r="D310" s="2" t="s">
        <v>530</v>
      </c>
      <c r="E310" s="118">
        <v>5000</v>
      </c>
      <c r="F310" s="112"/>
      <c r="G310" s="94">
        <v>5000</v>
      </c>
      <c r="H310" s="112"/>
      <c r="I310" s="338">
        <f t="shared" si="5"/>
        <v>100</v>
      </c>
    </row>
    <row r="311" spans="1:9" ht="21.75" customHeight="1">
      <c r="A311" s="81"/>
      <c r="B311" s="128">
        <v>85154</v>
      </c>
      <c r="C311" s="32"/>
      <c r="D311" s="33" t="s">
        <v>736</v>
      </c>
      <c r="E311" s="52">
        <f>SUM(E312:E332)</f>
        <v>1672844.1</v>
      </c>
      <c r="F311" s="112"/>
      <c r="G311" s="52">
        <f>SUM(G312:G332)</f>
        <v>1651359.5499999998</v>
      </c>
      <c r="H311" s="112"/>
      <c r="I311" s="338">
        <f t="shared" si="5"/>
        <v>98.71568725382119</v>
      </c>
    </row>
    <row r="312" spans="1:9" ht="80.25" customHeight="1">
      <c r="A312" s="105"/>
      <c r="B312" s="105"/>
      <c r="C312" s="13">
        <v>2360</v>
      </c>
      <c r="D312" s="2" t="s">
        <v>427</v>
      </c>
      <c r="E312" s="120">
        <v>710000</v>
      </c>
      <c r="F312" s="112"/>
      <c r="G312" s="119">
        <v>710000</v>
      </c>
      <c r="H312" s="112"/>
      <c r="I312" s="338">
        <f t="shared" si="5"/>
        <v>100</v>
      </c>
    </row>
    <row r="313" spans="1:9" ht="27.75" customHeight="1">
      <c r="A313" s="105"/>
      <c r="B313" s="105"/>
      <c r="C313" s="6">
        <v>3020</v>
      </c>
      <c r="D313" s="2" t="s">
        <v>677</v>
      </c>
      <c r="E313" s="55">
        <v>4000</v>
      </c>
      <c r="F313" s="112"/>
      <c r="G313" s="68">
        <v>2559.29</v>
      </c>
      <c r="H313" s="112"/>
      <c r="I313" s="338">
        <f t="shared" si="5"/>
        <v>63.98224999999999</v>
      </c>
    </row>
    <row r="314" spans="1:9" ht="22.5" customHeight="1">
      <c r="A314" s="105"/>
      <c r="B314" s="105"/>
      <c r="C314" s="13">
        <v>4010</v>
      </c>
      <c r="D314" s="2" t="s">
        <v>572</v>
      </c>
      <c r="E314" s="55">
        <v>297100</v>
      </c>
      <c r="F314" s="112"/>
      <c r="G314" s="68">
        <v>297012.14</v>
      </c>
      <c r="H314" s="112"/>
      <c r="I314" s="338">
        <f t="shared" si="5"/>
        <v>99.97042746549984</v>
      </c>
    </row>
    <row r="315" spans="1:9" ht="15" customHeight="1">
      <c r="A315" s="105"/>
      <c r="B315" s="105"/>
      <c r="C315" s="6">
        <v>4040</v>
      </c>
      <c r="D315" s="2" t="s">
        <v>575</v>
      </c>
      <c r="E315" s="55">
        <v>26000</v>
      </c>
      <c r="F315" s="112"/>
      <c r="G315" s="68">
        <v>26000</v>
      </c>
      <c r="H315" s="112"/>
      <c r="I315" s="338">
        <f t="shared" si="5"/>
        <v>100</v>
      </c>
    </row>
    <row r="316" spans="1:9" ht="15" customHeight="1">
      <c r="A316" s="105"/>
      <c r="B316" s="105"/>
      <c r="C316" s="13">
        <v>4110</v>
      </c>
      <c r="D316" s="2" t="s">
        <v>576</v>
      </c>
      <c r="E316" s="55">
        <v>60973</v>
      </c>
      <c r="F316" s="112"/>
      <c r="G316" s="68">
        <v>60968.81</v>
      </c>
      <c r="H316" s="112"/>
      <c r="I316" s="338">
        <f t="shared" si="5"/>
        <v>99.99312810588292</v>
      </c>
    </row>
    <row r="317" spans="1:9" ht="15" customHeight="1">
      <c r="A317" s="105"/>
      <c r="B317" s="105"/>
      <c r="C317" s="13">
        <v>4120</v>
      </c>
      <c r="D317" s="2" t="s">
        <v>577</v>
      </c>
      <c r="E317" s="55">
        <v>7322</v>
      </c>
      <c r="F317" s="112"/>
      <c r="G317" s="68">
        <v>6139.65</v>
      </c>
      <c r="H317" s="112"/>
      <c r="I317" s="338">
        <f t="shared" si="5"/>
        <v>83.85208959300738</v>
      </c>
    </row>
    <row r="318" spans="1:9" ht="15" customHeight="1">
      <c r="A318" s="105"/>
      <c r="B318" s="105"/>
      <c r="C318" s="6">
        <v>4170</v>
      </c>
      <c r="D318" s="2" t="s">
        <v>583</v>
      </c>
      <c r="E318" s="55">
        <v>172765</v>
      </c>
      <c r="F318" s="112"/>
      <c r="G318" s="68">
        <v>170861.5</v>
      </c>
      <c r="H318" s="112"/>
      <c r="I318" s="338">
        <f t="shared" si="5"/>
        <v>98.89821433739473</v>
      </c>
    </row>
    <row r="319" spans="1:13" ht="15" customHeight="1">
      <c r="A319" s="105"/>
      <c r="B319" s="105"/>
      <c r="C319" s="13">
        <v>4210</v>
      </c>
      <c r="D319" s="2" t="s">
        <v>533</v>
      </c>
      <c r="E319" s="55">
        <v>78880</v>
      </c>
      <c r="F319" s="112"/>
      <c r="G319" s="68">
        <v>71705.51</v>
      </c>
      <c r="H319" s="112"/>
      <c r="I319" s="338">
        <f t="shared" si="5"/>
        <v>90.90455121703853</v>
      </c>
      <c r="M319" s="449"/>
    </row>
    <row r="320" spans="1:13" ht="15" customHeight="1">
      <c r="A320" s="105"/>
      <c r="B320" s="105"/>
      <c r="C320" s="6">
        <v>4220</v>
      </c>
      <c r="D320" s="2" t="s">
        <v>675</v>
      </c>
      <c r="E320" s="55">
        <v>300</v>
      </c>
      <c r="F320" s="112"/>
      <c r="G320" s="68">
        <v>300</v>
      </c>
      <c r="H320" s="112"/>
      <c r="I320" s="338">
        <f t="shared" si="5"/>
        <v>100</v>
      </c>
      <c r="M320" s="449"/>
    </row>
    <row r="321" spans="1:9" ht="15" customHeight="1">
      <c r="A321" s="105"/>
      <c r="B321" s="105"/>
      <c r="C321" s="13">
        <v>4260</v>
      </c>
      <c r="D321" s="2" t="s">
        <v>591</v>
      </c>
      <c r="E321" s="55">
        <v>22700</v>
      </c>
      <c r="F321" s="112"/>
      <c r="G321" s="68">
        <v>21120.98</v>
      </c>
      <c r="H321" s="112"/>
      <c r="I321" s="338">
        <f t="shared" si="5"/>
        <v>93.04396475770925</v>
      </c>
    </row>
    <row r="322" spans="1:9" ht="15" customHeight="1">
      <c r="A322" s="105"/>
      <c r="B322" s="105"/>
      <c r="C322" s="13">
        <v>4270</v>
      </c>
      <c r="D322" s="2" t="s">
        <v>534</v>
      </c>
      <c r="E322" s="55">
        <v>900</v>
      </c>
      <c r="F322" s="112"/>
      <c r="G322" s="68">
        <v>870.4</v>
      </c>
      <c r="H322" s="112"/>
      <c r="I322" s="338">
        <f t="shared" si="5"/>
        <v>96.71111111111111</v>
      </c>
    </row>
    <row r="323" spans="1:13" ht="15" customHeight="1">
      <c r="A323" s="105"/>
      <c r="B323" s="105"/>
      <c r="C323" s="13">
        <v>4300</v>
      </c>
      <c r="D323" s="2" t="s">
        <v>530</v>
      </c>
      <c r="E323" s="55">
        <v>259183.1</v>
      </c>
      <c r="F323" s="112"/>
      <c r="G323" s="68">
        <v>252269.32</v>
      </c>
      <c r="H323" s="112"/>
      <c r="I323" s="338">
        <f t="shared" si="5"/>
        <v>97.33247268051042</v>
      </c>
      <c r="M323" s="449"/>
    </row>
    <row r="324" spans="1:9" ht="15" customHeight="1">
      <c r="A324" s="105"/>
      <c r="B324" s="105"/>
      <c r="C324" s="13">
        <v>4350</v>
      </c>
      <c r="D324" s="2" t="s">
        <v>586</v>
      </c>
      <c r="E324" s="55">
        <v>1200</v>
      </c>
      <c r="F324" s="112"/>
      <c r="G324" s="68">
        <v>1162.79</v>
      </c>
      <c r="H324" s="112"/>
      <c r="I324" s="338">
        <f t="shared" si="5"/>
        <v>96.89916666666666</v>
      </c>
    </row>
    <row r="325" spans="1:9" ht="42" customHeight="1">
      <c r="A325" s="105"/>
      <c r="B325" s="105"/>
      <c r="C325" s="6">
        <v>4360</v>
      </c>
      <c r="D325" s="2" t="s">
        <v>768</v>
      </c>
      <c r="E325" s="55">
        <v>1600</v>
      </c>
      <c r="F325" s="112"/>
      <c r="G325" s="68">
        <v>1600</v>
      </c>
      <c r="H325" s="112"/>
      <c r="I325" s="338">
        <f t="shared" si="5"/>
        <v>100</v>
      </c>
    </row>
    <row r="326" spans="1:9" ht="39" customHeight="1">
      <c r="A326" s="105"/>
      <c r="B326" s="105"/>
      <c r="C326" s="6">
        <v>4370</v>
      </c>
      <c r="D326" s="2" t="s">
        <v>767</v>
      </c>
      <c r="E326" s="55">
        <v>5500</v>
      </c>
      <c r="F326" s="112"/>
      <c r="G326" s="68">
        <v>4778.14</v>
      </c>
      <c r="H326" s="112"/>
      <c r="I326" s="338">
        <f t="shared" si="5"/>
        <v>86.87527272727273</v>
      </c>
    </row>
    <row r="327" spans="1:9" ht="15" customHeight="1">
      <c r="A327" s="105"/>
      <c r="B327" s="105"/>
      <c r="C327" s="13">
        <v>4410</v>
      </c>
      <c r="D327" s="2" t="s">
        <v>580</v>
      </c>
      <c r="E327" s="55">
        <v>2700</v>
      </c>
      <c r="F327" s="112"/>
      <c r="G327" s="68">
        <v>2613.1</v>
      </c>
      <c r="H327" s="112"/>
      <c r="I327" s="338">
        <f t="shared" si="5"/>
        <v>96.78148148148148</v>
      </c>
    </row>
    <row r="328" spans="1:9" ht="15" customHeight="1">
      <c r="A328" s="105"/>
      <c r="B328" s="105"/>
      <c r="C328" s="6">
        <v>4430</v>
      </c>
      <c r="D328" s="2" t="s">
        <v>288</v>
      </c>
      <c r="E328" s="55">
        <v>160</v>
      </c>
      <c r="F328" s="112"/>
      <c r="G328" s="68">
        <v>160</v>
      </c>
      <c r="H328" s="112"/>
      <c r="I328" s="338">
        <f t="shared" si="5"/>
        <v>100</v>
      </c>
    </row>
    <row r="329" spans="1:9" ht="24.75" customHeight="1">
      <c r="A329" s="105"/>
      <c r="B329" s="105"/>
      <c r="C329" s="6">
        <v>4440</v>
      </c>
      <c r="D329" s="2" t="s">
        <v>578</v>
      </c>
      <c r="E329" s="55">
        <v>12900</v>
      </c>
      <c r="F329" s="112"/>
      <c r="G329" s="68">
        <v>12900</v>
      </c>
      <c r="H329" s="112"/>
      <c r="I329" s="338">
        <f t="shared" si="5"/>
        <v>100</v>
      </c>
    </row>
    <row r="330" spans="1:9" ht="18" customHeight="1">
      <c r="A330" s="105"/>
      <c r="B330" s="105"/>
      <c r="C330" s="6">
        <v>4480</v>
      </c>
      <c r="D330" s="2" t="s">
        <v>306</v>
      </c>
      <c r="E330" s="55">
        <v>1661</v>
      </c>
      <c r="F330" s="112"/>
      <c r="G330" s="68">
        <v>1657.92</v>
      </c>
      <c r="H330" s="112"/>
      <c r="I330" s="338">
        <f t="shared" si="5"/>
        <v>99.81456953642385</v>
      </c>
    </row>
    <row r="331" spans="1:9" ht="27" customHeight="1">
      <c r="A331" s="105"/>
      <c r="B331" s="105"/>
      <c r="C331" s="6">
        <v>4610</v>
      </c>
      <c r="D331" s="2" t="s">
        <v>506</v>
      </c>
      <c r="E331" s="55">
        <v>1000</v>
      </c>
      <c r="F331" s="112"/>
      <c r="G331" s="68">
        <v>680</v>
      </c>
      <c r="H331" s="112"/>
      <c r="I331" s="338">
        <f t="shared" si="5"/>
        <v>68</v>
      </c>
    </row>
    <row r="332" spans="1:9" ht="51.75" customHeight="1">
      <c r="A332" s="105"/>
      <c r="B332" s="105"/>
      <c r="C332" s="6">
        <v>6220</v>
      </c>
      <c r="D332" s="39" t="s">
        <v>289</v>
      </c>
      <c r="E332" s="55">
        <v>6000</v>
      </c>
      <c r="F332" s="112"/>
      <c r="G332" s="68">
        <v>6000</v>
      </c>
      <c r="H332" s="112"/>
      <c r="I332" s="338">
        <f t="shared" si="5"/>
        <v>100</v>
      </c>
    </row>
    <row r="333" spans="1:9" ht="26.25" customHeight="1">
      <c r="A333" s="105"/>
      <c r="B333" s="32">
        <v>85158</v>
      </c>
      <c r="C333" s="32"/>
      <c r="D333" s="33" t="s">
        <v>305</v>
      </c>
      <c r="E333" s="37">
        <f>SUM(E334:E352)</f>
        <v>1133000</v>
      </c>
      <c r="F333" s="112"/>
      <c r="G333" s="124">
        <f>SUM(G334:G352)</f>
        <v>1128590.5100000002</v>
      </c>
      <c r="H333" s="112"/>
      <c r="I333" s="338">
        <f t="shared" si="5"/>
        <v>99.61081288614301</v>
      </c>
    </row>
    <row r="334" spans="1:9" ht="25.5" customHeight="1">
      <c r="A334" s="105"/>
      <c r="B334" s="22"/>
      <c r="C334" s="13">
        <v>3020</v>
      </c>
      <c r="D334" s="2" t="s">
        <v>677</v>
      </c>
      <c r="E334" s="120">
        <v>2820</v>
      </c>
      <c r="F334" s="112"/>
      <c r="G334" s="119">
        <v>2815.4</v>
      </c>
      <c r="H334" s="112"/>
      <c r="I334" s="338">
        <f t="shared" si="5"/>
        <v>99.83687943262412</v>
      </c>
    </row>
    <row r="335" spans="1:9" ht="19.5" customHeight="1">
      <c r="A335" s="105"/>
      <c r="B335" s="24"/>
      <c r="C335" s="13">
        <v>4010</v>
      </c>
      <c r="D335" s="2" t="s">
        <v>572</v>
      </c>
      <c r="E335" s="55">
        <v>666000</v>
      </c>
      <c r="F335" s="112"/>
      <c r="G335" s="68">
        <v>665996.57</v>
      </c>
      <c r="H335" s="112"/>
      <c r="I335" s="338">
        <f t="shared" si="5"/>
        <v>99.99948498498497</v>
      </c>
    </row>
    <row r="336" spans="1:9" ht="15" customHeight="1">
      <c r="A336" s="105"/>
      <c r="B336" s="24"/>
      <c r="C336" s="13">
        <v>4040</v>
      </c>
      <c r="D336" s="2" t="s">
        <v>575</v>
      </c>
      <c r="E336" s="55">
        <v>64302</v>
      </c>
      <c r="F336" s="112"/>
      <c r="G336" s="68">
        <v>64301.75</v>
      </c>
      <c r="H336" s="112"/>
      <c r="I336" s="338">
        <f t="shared" si="5"/>
        <v>99.99961120960468</v>
      </c>
    </row>
    <row r="337" spans="1:9" ht="15" customHeight="1">
      <c r="A337" s="105"/>
      <c r="B337" s="24"/>
      <c r="C337" s="13">
        <v>4110</v>
      </c>
      <c r="D337" s="2" t="s">
        <v>576</v>
      </c>
      <c r="E337" s="55">
        <v>114813</v>
      </c>
      <c r="F337" s="112"/>
      <c r="G337" s="68">
        <v>114510.1</v>
      </c>
      <c r="H337" s="112"/>
      <c r="I337" s="338">
        <f t="shared" si="5"/>
        <v>99.73617970090496</v>
      </c>
    </row>
    <row r="338" spans="1:9" ht="15" customHeight="1">
      <c r="A338" s="105"/>
      <c r="B338" s="24"/>
      <c r="C338" s="13">
        <v>4120</v>
      </c>
      <c r="D338" s="2" t="s">
        <v>577</v>
      </c>
      <c r="E338" s="55">
        <v>12660</v>
      </c>
      <c r="F338" s="112"/>
      <c r="G338" s="68">
        <v>12368.26</v>
      </c>
      <c r="H338" s="112"/>
      <c r="I338" s="338">
        <f t="shared" si="5"/>
        <v>97.69557661927331</v>
      </c>
    </row>
    <row r="339" spans="1:9" ht="15" customHeight="1">
      <c r="A339" s="105"/>
      <c r="B339" s="24"/>
      <c r="C339" s="6">
        <v>4170</v>
      </c>
      <c r="D339" s="2" t="s">
        <v>583</v>
      </c>
      <c r="E339" s="55">
        <v>20000</v>
      </c>
      <c r="F339" s="112"/>
      <c r="G339" s="68">
        <v>19083</v>
      </c>
      <c r="H339" s="112"/>
      <c r="I339" s="338">
        <f t="shared" si="5"/>
        <v>95.415</v>
      </c>
    </row>
    <row r="340" spans="1:9" ht="15" customHeight="1">
      <c r="A340" s="105"/>
      <c r="B340" s="24"/>
      <c r="C340" s="13">
        <v>4210</v>
      </c>
      <c r="D340" s="2" t="s">
        <v>533</v>
      </c>
      <c r="E340" s="55">
        <v>43072</v>
      </c>
      <c r="F340" s="112"/>
      <c r="G340" s="68">
        <v>43071.43</v>
      </c>
      <c r="H340" s="112"/>
      <c r="I340" s="338">
        <f t="shared" si="5"/>
        <v>99.99867663447252</v>
      </c>
    </row>
    <row r="341" spans="1:9" ht="24.75" customHeight="1">
      <c r="A341" s="105"/>
      <c r="B341" s="24"/>
      <c r="C341" s="13">
        <v>4230</v>
      </c>
      <c r="D341" s="2" t="s">
        <v>726</v>
      </c>
      <c r="E341" s="55">
        <v>1000</v>
      </c>
      <c r="F341" s="112"/>
      <c r="G341" s="68">
        <v>924.99</v>
      </c>
      <c r="H341" s="112"/>
      <c r="I341" s="338">
        <f t="shared" si="5"/>
        <v>92.499</v>
      </c>
    </row>
    <row r="342" spans="1:9" ht="15" customHeight="1">
      <c r="A342" s="105"/>
      <c r="B342" s="24"/>
      <c r="C342" s="13">
        <v>4260</v>
      </c>
      <c r="D342" s="2" t="s">
        <v>591</v>
      </c>
      <c r="E342" s="55">
        <v>61000</v>
      </c>
      <c r="F342" s="112"/>
      <c r="G342" s="68">
        <v>58445.03</v>
      </c>
      <c r="H342" s="112"/>
      <c r="I342" s="338">
        <f t="shared" si="5"/>
        <v>95.81152459016393</v>
      </c>
    </row>
    <row r="343" spans="1:9" ht="15" customHeight="1">
      <c r="A343" s="105"/>
      <c r="B343" s="24"/>
      <c r="C343" s="13">
        <v>4270</v>
      </c>
      <c r="D343" s="2" t="s">
        <v>534</v>
      </c>
      <c r="E343" s="55">
        <v>3840</v>
      </c>
      <c r="F343" s="112"/>
      <c r="G343" s="68">
        <v>3837.98</v>
      </c>
      <c r="H343" s="112"/>
      <c r="I343" s="338">
        <f t="shared" si="5"/>
        <v>99.94739583333333</v>
      </c>
    </row>
    <row r="344" spans="1:9" ht="15" customHeight="1">
      <c r="A344" s="105"/>
      <c r="B344" s="24"/>
      <c r="C344" s="13">
        <v>4280</v>
      </c>
      <c r="D344" s="2" t="s">
        <v>723</v>
      </c>
      <c r="E344" s="55">
        <v>980</v>
      </c>
      <c r="F344" s="112"/>
      <c r="G344" s="68">
        <v>974</v>
      </c>
      <c r="H344" s="112"/>
      <c r="I344" s="338">
        <f t="shared" si="5"/>
        <v>99.38775510204081</v>
      </c>
    </row>
    <row r="345" spans="1:9" ht="15" customHeight="1">
      <c r="A345" s="105"/>
      <c r="B345" s="24"/>
      <c r="C345" s="13">
        <v>4300</v>
      </c>
      <c r="D345" s="2" t="s">
        <v>530</v>
      </c>
      <c r="E345" s="55">
        <v>94000</v>
      </c>
      <c r="F345" s="112"/>
      <c r="G345" s="68">
        <v>93961.73</v>
      </c>
      <c r="H345" s="112"/>
      <c r="I345" s="338">
        <f t="shared" si="5"/>
        <v>99.95928723404255</v>
      </c>
    </row>
    <row r="346" spans="1:9" ht="15" customHeight="1">
      <c r="A346" s="105"/>
      <c r="B346" s="24"/>
      <c r="C346" s="13">
        <v>4350</v>
      </c>
      <c r="D346" s="2" t="s">
        <v>586</v>
      </c>
      <c r="E346" s="55">
        <v>707</v>
      </c>
      <c r="F346" s="112"/>
      <c r="G346" s="68">
        <v>699.83</v>
      </c>
      <c r="H346" s="112"/>
      <c r="I346" s="338">
        <f t="shared" si="5"/>
        <v>98.98585572843</v>
      </c>
    </row>
    <row r="347" spans="1:9" ht="39.75" customHeight="1">
      <c r="A347" s="105"/>
      <c r="B347" s="24"/>
      <c r="C347" s="6">
        <v>4360</v>
      </c>
      <c r="D347" s="2" t="s">
        <v>768</v>
      </c>
      <c r="E347" s="55">
        <v>650</v>
      </c>
      <c r="F347" s="112"/>
      <c r="G347" s="68">
        <v>602.08</v>
      </c>
      <c r="H347" s="112"/>
      <c r="I347" s="338">
        <f t="shared" si="5"/>
        <v>92.62769230769231</v>
      </c>
    </row>
    <row r="348" spans="1:9" ht="40.5" customHeight="1">
      <c r="A348" s="105"/>
      <c r="B348" s="24"/>
      <c r="C348" s="6">
        <v>4370</v>
      </c>
      <c r="D348" s="2" t="s">
        <v>767</v>
      </c>
      <c r="E348" s="55">
        <v>2800</v>
      </c>
      <c r="F348" s="112"/>
      <c r="G348" s="68">
        <v>2675.85</v>
      </c>
      <c r="H348" s="112"/>
      <c r="I348" s="338">
        <f t="shared" si="5"/>
        <v>95.56607142857143</v>
      </c>
    </row>
    <row r="349" spans="1:9" ht="17.25" customHeight="1">
      <c r="A349" s="105"/>
      <c r="B349" s="24"/>
      <c r="C349" s="13">
        <v>4410</v>
      </c>
      <c r="D349" s="2" t="s">
        <v>580</v>
      </c>
      <c r="E349" s="55">
        <v>3550</v>
      </c>
      <c r="F349" s="112"/>
      <c r="G349" s="68">
        <v>3516.51</v>
      </c>
      <c r="H349" s="112"/>
      <c r="I349" s="338">
        <f t="shared" si="5"/>
        <v>99.05661971830988</v>
      </c>
    </row>
    <row r="350" spans="1:9" ht="26.25" customHeight="1">
      <c r="A350" s="105"/>
      <c r="B350" s="24"/>
      <c r="C350" s="13">
        <v>4440</v>
      </c>
      <c r="D350" s="2" t="s">
        <v>578</v>
      </c>
      <c r="E350" s="55">
        <v>25434</v>
      </c>
      <c r="F350" s="112"/>
      <c r="G350" s="68">
        <v>25434</v>
      </c>
      <c r="H350" s="112"/>
      <c r="I350" s="338">
        <f t="shared" si="5"/>
        <v>100</v>
      </c>
    </row>
    <row r="351" spans="1:9" ht="15" customHeight="1">
      <c r="A351" s="105"/>
      <c r="B351" s="24"/>
      <c r="C351" s="13">
        <v>4480</v>
      </c>
      <c r="D351" s="2" t="s">
        <v>306</v>
      </c>
      <c r="E351" s="55">
        <v>9672</v>
      </c>
      <c r="F351" s="112"/>
      <c r="G351" s="68">
        <v>9672</v>
      </c>
      <c r="H351" s="112"/>
      <c r="I351" s="338">
        <f t="shared" si="5"/>
        <v>100</v>
      </c>
    </row>
    <row r="352" spans="1:9" ht="29.25" customHeight="1">
      <c r="A352" s="105"/>
      <c r="B352" s="24"/>
      <c r="C352" s="6">
        <v>4700</v>
      </c>
      <c r="D352" s="2" t="s">
        <v>93</v>
      </c>
      <c r="E352" s="55">
        <v>5700</v>
      </c>
      <c r="F352" s="112"/>
      <c r="G352" s="68">
        <v>5700</v>
      </c>
      <c r="H352" s="112"/>
      <c r="I352" s="338">
        <f t="shared" si="5"/>
        <v>100</v>
      </c>
    </row>
    <row r="353" spans="1:9" ht="21" customHeight="1">
      <c r="A353" s="140"/>
      <c r="B353" s="61">
        <v>85195</v>
      </c>
      <c r="C353" s="31"/>
      <c r="D353" s="33" t="s">
        <v>593</v>
      </c>
      <c r="E353" s="37">
        <f>SUM(E354:E355)</f>
        <v>9000</v>
      </c>
      <c r="F353" s="112"/>
      <c r="G353" s="124">
        <f>SUM(G354:G355)</f>
        <v>5725</v>
      </c>
      <c r="H353" s="112"/>
      <c r="I353" s="338">
        <f t="shared" si="5"/>
        <v>63.61111111111111</v>
      </c>
    </row>
    <row r="354" spans="1:9" ht="23.25" customHeight="1">
      <c r="A354" s="105"/>
      <c r="B354" s="97"/>
      <c r="C354" s="13">
        <v>4210</v>
      </c>
      <c r="D354" s="2" t="s">
        <v>529</v>
      </c>
      <c r="E354" s="120">
        <v>3000</v>
      </c>
      <c r="F354" s="112"/>
      <c r="G354" s="119">
        <v>0</v>
      </c>
      <c r="H354" s="112"/>
      <c r="I354" s="338">
        <f t="shared" si="5"/>
        <v>0</v>
      </c>
    </row>
    <row r="355" spans="1:9" ht="21.75" customHeight="1">
      <c r="A355" s="105"/>
      <c r="B355" s="97"/>
      <c r="C355" s="13">
        <v>4300</v>
      </c>
      <c r="D355" s="2" t="s">
        <v>530</v>
      </c>
      <c r="E355" s="120">
        <v>6000</v>
      </c>
      <c r="F355" s="112"/>
      <c r="G355" s="119">
        <v>5725</v>
      </c>
      <c r="H355" s="112"/>
      <c r="I355" s="338">
        <f t="shared" si="5"/>
        <v>95.41666666666667</v>
      </c>
    </row>
    <row r="356" spans="1:9" ht="21.75" customHeight="1">
      <c r="A356" s="77">
        <v>852</v>
      </c>
      <c r="B356" s="123"/>
      <c r="C356" s="17"/>
      <c r="D356" s="44" t="s">
        <v>279</v>
      </c>
      <c r="E356" s="108">
        <f>E357+E372+E382+E387+E404+E406+E408+E411+E413+E436+E443+E446</f>
        <v>43589173.55</v>
      </c>
      <c r="F356" s="178">
        <f>F357+F372+F382+F387+F404+F406+F408+F411+F413+F436+F443+F446</f>
        <v>21430994</v>
      </c>
      <c r="G356" s="108">
        <f>G357+G372+G382+G387+G404+G406+G408+G411+G413+G436+G443+G446</f>
        <v>42886326.92</v>
      </c>
      <c r="H356" s="178">
        <f>H357+H372+H382+H387+H404+H406+H408+H411+H413+H436+H443+H446</f>
        <v>21152160.68</v>
      </c>
      <c r="I356" s="339">
        <f t="shared" si="5"/>
        <v>98.38756605652598</v>
      </c>
    </row>
    <row r="357" spans="1:9" ht="24.75" customHeight="1">
      <c r="A357" s="87"/>
      <c r="B357" s="31">
        <v>85203</v>
      </c>
      <c r="C357" s="32"/>
      <c r="D357" s="33" t="s">
        <v>727</v>
      </c>
      <c r="E357" s="124">
        <f>SUM(E358:E371)</f>
        <v>288663.8</v>
      </c>
      <c r="F357" s="133">
        <f>SUM(F358:F371)</f>
        <v>236300.00000000003</v>
      </c>
      <c r="G357" s="124">
        <f>SUM(G358:G371)</f>
        <v>288663.8</v>
      </c>
      <c r="H357" s="133">
        <f>SUM(H358:H371)</f>
        <v>236300.00000000003</v>
      </c>
      <c r="I357" s="338">
        <f t="shared" si="5"/>
        <v>100</v>
      </c>
    </row>
    <row r="358" spans="1:9" ht="18" customHeight="1">
      <c r="A358" s="87"/>
      <c r="B358" s="19"/>
      <c r="C358" s="6">
        <v>4010</v>
      </c>
      <c r="D358" s="2" t="s">
        <v>572</v>
      </c>
      <c r="E358" s="68">
        <v>180919.69</v>
      </c>
      <c r="F358" s="134">
        <v>155100</v>
      </c>
      <c r="G358" s="68">
        <v>180919.69</v>
      </c>
      <c r="H358" s="134">
        <v>155100</v>
      </c>
      <c r="I358" s="338">
        <f t="shared" si="5"/>
        <v>100</v>
      </c>
    </row>
    <row r="359" spans="1:9" ht="15" customHeight="1">
      <c r="A359" s="87"/>
      <c r="B359" s="15"/>
      <c r="C359" s="6">
        <v>4040</v>
      </c>
      <c r="D359" s="2" t="s">
        <v>575</v>
      </c>
      <c r="E359" s="68">
        <v>13644.49</v>
      </c>
      <c r="F359" s="134">
        <v>11900</v>
      </c>
      <c r="G359" s="68">
        <v>13644.49</v>
      </c>
      <c r="H359" s="134">
        <v>11900</v>
      </c>
      <c r="I359" s="338">
        <f t="shared" si="5"/>
        <v>100</v>
      </c>
    </row>
    <row r="360" spans="1:9" ht="15" customHeight="1">
      <c r="A360" s="87"/>
      <c r="B360" s="15"/>
      <c r="C360" s="6">
        <v>4110</v>
      </c>
      <c r="D360" s="2" t="s">
        <v>576</v>
      </c>
      <c r="E360" s="68">
        <v>33744.53</v>
      </c>
      <c r="F360" s="134">
        <v>30380.73</v>
      </c>
      <c r="G360" s="68">
        <v>33744.53</v>
      </c>
      <c r="H360" s="134">
        <v>30380.73</v>
      </c>
      <c r="I360" s="338">
        <f t="shared" si="5"/>
        <v>100</v>
      </c>
    </row>
    <row r="361" spans="1:9" ht="15" customHeight="1">
      <c r="A361" s="87"/>
      <c r="B361" s="15"/>
      <c r="C361" s="6">
        <v>4120</v>
      </c>
      <c r="D361" s="2" t="s">
        <v>577</v>
      </c>
      <c r="E361" s="68">
        <v>3200.25</v>
      </c>
      <c r="F361" s="134">
        <v>3200.25</v>
      </c>
      <c r="G361" s="68">
        <v>3200.25</v>
      </c>
      <c r="H361" s="134">
        <v>3200.25</v>
      </c>
      <c r="I361" s="338">
        <f t="shared" si="5"/>
        <v>100</v>
      </c>
    </row>
    <row r="362" spans="1:9" ht="15" customHeight="1">
      <c r="A362" s="87"/>
      <c r="B362" s="15"/>
      <c r="C362" s="6">
        <v>4210</v>
      </c>
      <c r="D362" s="2" t="s">
        <v>533</v>
      </c>
      <c r="E362" s="68">
        <v>25620.83</v>
      </c>
      <c r="F362" s="134">
        <v>14770.59</v>
      </c>
      <c r="G362" s="68">
        <v>25620.83</v>
      </c>
      <c r="H362" s="134">
        <v>14770.59</v>
      </c>
      <c r="I362" s="338">
        <f t="shared" si="5"/>
        <v>100</v>
      </c>
    </row>
    <row r="363" spans="1:9" ht="15" customHeight="1">
      <c r="A363" s="87"/>
      <c r="B363" s="15"/>
      <c r="C363" s="6">
        <v>4260</v>
      </c>
      <c r="D363" s="2" t="s">
        <v>591</v>
      </c>
      <c r="E363" s="68">
        <v>8075.53</v>
      </c>
      <c r="F363" s="134">
        <v>4500</v>
      </c>
      <c r="G363" s="68">
        <v>8075.53</v>
      </c>
      <c r="H363" s="134">
        <v>4500</v>
      </c>
      <c r="I363" s="338">
        <f t="shared" si="5"/>
        <v>100</v>
      </c>
    </row>
    <row r="364" spans="1:9" ht="15" customHeight="1">
      <c r="A364" s="87"/>
      <c r="B364" s="15"/>
      <c r="C364" s="6">
        <v>4270</v>
      </c>
      <c r="D364" s="2" t="s">
        <v>534</v>
      </c>
      <c r="E364" s="68">
        <v>1070</v>
      </c>
      <c r="F364" s="134">
        <v>1070</v>
      </c>
      <c r="G364" s="68">
        <v>1070</v>
      </c>
      <c r="H364" s="134">
        <v>1070</v>
      </c>
      <c r="I364" s="338">
        <f t="shared" si="5"/>
        <v>100</v>
      </c>
    </row>
    <row r="365" spans="1:9" ht="15" customHeight="1">
      <c r="A365" s="87"/>
      <c r="B365" s="15"/>
      <c r="C365" s="6">
        <v>4300</v>
      </c>
      <c r="D365" s="2" t="s">
        <v>530</v>
      </c>
      <c r="E365" s="68">
        <v>328.32</v>
      </c>
      <c r="F365" s="134">
        <v>328.32</v>
      </c>
      <c r="G365" s="68">
        <v>328.32</v>
      </c>
      <c r="H365" s="134">
        <v>328.32</v>
      </c>
      <c r="I365" s="338">
        <f t="shared" si="5"/>
        <v>100</v>
      </c>
    </row>
    <row r="366" spans="1:9" ht="15" customHeight="1">
      <c r="A366" s="87"/>
      <c r="B366" s="15"/>
      <c r="C366" s="6">
        <v>4350</v>
      </c>
      <c r="D366" s="2" t="s">
        <v>586</v>
      </c>
      <c r="E366" s="68">
        <v>1148.82</v>
      </c>
      <c r="F366" s="134">
        <v>713</v>
      </c>
      <c r="G366" s="68">
        <v>1148.82</v>
      </c>
      <c r="H366" s="134">
        <v>713</v>
      </c>
      <c r="I366" s="338">
        <f t="shared" si="5"/>
        <v>100</v>
      </c>
    </row>
    <row r="367" spans="1:9" ht="42" customHeight="1">
      <c r="A367" s="87"/>
      <c r="B367" s="15"/>
      <c r="C367" s="6">
        <v>4360</v>
      </c>
      <c r="D367" s="2" t="s">
        <v>768</v>
      </c>
      <c r="E367" s="68">
        <v>2956.11</v>
      </c>
      <c r="F367" s="134">
        <v>2000</v>
      </c>
      <c r="G367" s="68">
        <v>2956.11</v>
      </c>
      <c r="H367" s="134">
        <v>2000</v>
      </c>
      <c r="I367" s="338">
        <f t="shared" si="5"/>
        <v>100</v>
      </c>
    </row>
    <row r="368" spans="1:9" ht="42" customHeight="1">
      <c r="A368" s="87"/>
      <c r="B368" s="15"/>
      <c r="C368" s="6">
        <v>4370</v>
      </c>
      <c r="D368" s="2" t="s">
        <v>767</v>
      </c>
      <c r="E368" s="68">
        <v>1009.91</v>
      </c>
      <c r="F368" s="134">
        <v>1009.91</v>
      </c>
      <c r="G368" s="68">
        <v>1009.91</v>
      </c>
      <c r="H368" s="134">
        <v>1009.91</v>
      </c>
      <c r="I368" s="338">
        <f t="shared" si="5"/>
        <v>100</v>
      </c>
    </row>
    <row r="369" spans="1:9" ht="30" customHeight="1">
      <c r="A369" s="87"/>
      <c r="B369" s="15"/>
      <c r="C369" s="6">
        <v>4400</v>
      </c>
      <c r="D369" s="2" t="s">
        <v>728</v>
      </c>
      <c r="E369" s="68">
        <v>12168.12</v>
      </c>
      <c r="F369" s="134">
        <v>6550</v>
      </c>
      <c r="G369" s="68">
        <v>12168.12</v>
      </c>
      <c r="H369" s="134">
        <v>6550</v>
      </c>
      <c r="I369" s="338">
        <f t="shared" si="5"/>
        <v>100</v>
      </c>
    </row>
    <row r="370" spans="1:9" ht="15" customHeight="1">
      <c r="A370" s="87"/>
      <c r="B370" s="15"/>
      <c r="C370" s="6">
        <v>4430</v>
      </c>
      <c r="D370" s="2" t="s">
        <v>288</v>
      </c>
      <c r="E370" s="68">
        <v>687.2</v>
      </c>
      <c r="F370" s="134">
        <v>687.2</v>
      </c>
      <c r="G370" s="68">
        <v>687.2</v>
      </c>
      <c r="H370" s="134">
        <v>687.2</v>
      </c>
      <c r="I370" s="338">
        <f t="shared" si="5"/>
        <v>100</v>
      </c>
    </row>
    <row r="371" spans="1:9" ht="27" customHeight="1">
      <c r="A371" s="87"/>
      <c r="B371" s="15"/>
      <c r="C371" s="6">
        <v>4440</v>
      </c>
      <c r="D371" s="2" t="s">
        <v>578</v>
      </c>
      <c r="E371" s="68">
        <v>4090</v>
      </c>
      <c r="F371" s="134">
        <v>4090</v>
      </c>
      <c r="G371" s="68">
        <v>4090</v>
      </c>
      <c r="H371" s="134">
        <v>4090</v>
      </c>
      <c r="I371" s="338">
        <f t="shared" si="5"/>
        <v>100</v>
      </c>
    </row>
    <row r="372" spans="1:22" s="69" customFormat="1" ht="28.5" customHeight="1">
      <c r="A372" s="107"/>
      <c r="B372" s="32">
        <v>85205</v>
      </c>
      <c r="C372" s="32"/>
      <c r="D372" s="33" t="s">
        <v>775</v>
      </c>
      <c r="E372" s="124">
        <f>SUM(E373:E381)</f>
        <v>63330</v>
      </c>
      <c r="F372" s="133"/>
      <c r="G372" s="124">
        <f>SUM(G373:G381)</f>
        <v>59925.99</v>
      </c>
      <c r="H372" s="133"/>
      <c r="I372" s="338">
        <f aca="true" t="shared" si="6" ref="I372:I446">G372/E372*100</f>
        <v>94.6249644718143</v>
      </c>
      <c r="J372" s="447"/>
      <c r="K372" s="352"/>
      <c r="L372" s="352"/>
      <c r="M372" s="352"/>
      <c r="N372" s="352"/>
      <c r="O372" s="465"/>
      <c r="P372" s="352"/>
      <c r="Q372" s="352"/>
      <c r="R372" s="352"/>
      <c r="S372" s="352"/>
      <c r="T372" s="321"/>
      <c r="U372" s="321"/>
      <c r="V372" s="321"/>
    </row>
    <row r="373" spans="1:9" ht="20.25" customHeight="1">
      <c r="A373" s="87"/>
      <c r="B373" s="15"/>
      <c r="C373" s="6">
        <v>4010</v>
      </c>
      <c r="D373" s="2" t="s">
        <v>572</v>
      </c>
      <c r="E373" s="68">
        <v>27130</v>
      </c>
      <c r="F373" s="134"/>
      <c r="G373" s="68">
        <v>27130</v>
      </c>
      <c r="H373" s="134"/>
      <c r="I373" s="338">
        <f t="shared" si="6"/>
        <v>100</v>
      </c>
    </row>
    <row r="374" spans="1:9" ht="20.25" customHeight="1">
      <c r="A374" s="87"/>
      <c r="B374" s="15"/>
      <c r="C374" s="6">
        <v>4040</v>
      </c>
      <c r="D374" s="2" t="s">
        <v>575</v>
      </c>
      <c r="E374" s="68">
        <v>2400</v>
      </c>
      <c r="F374" s="134"/>
      <c r="G374" s="68">
        <v>2400</v>
      </c>
      <c r="H374" s="134"/>
      <c r="I374" s="338">
        <f t="shared" si="6"/>
        <v>100</v>
      </c>
    </row>
    <row r="375" spans="1:9" ht="20.25" customHeight="1">
      <c r="A375" s="87"/>
      <c r="B375" s="15"/>
      <c r="C375" s="6">
        <v>4110</v>
      </c>
      <c r="D375" s="2" t="s">
        <v>576</v>
      </c>
      <c r="E375" s="68">
        <v>4560</v>
      </c>
      <c r="F375" s="134"/>
      <c r="G375" s="68">
        <v>4560</v>
      </c>
      <c r="H375" s="134"/>
      <c r="I375" s="338">
        <f t="shared" si="6"/>
        <v>100</v>
      </c>
    </row>
    <row r="376" spans="1:9" ht="20.25" customHeight="1">
      <c r="A376" s="87"/>
      <c r="B376" s="15"/>
      <c r="C376" s="6">
        <v>4120</v>
      </c>
      <c r="D376" s="2" t="s">
        <v>577</v>
      </c>
      <c r="E376" s="68">
        <v>730</v>
      </c>
      <c r="F376" s="134"/>
      <c r="G376" s="68">
        <v>730</v>
      </c>
      <c r="H376" s="134"/>
      <c r="I376" s="338">
        <f t="shared" si="6"/>
        <v>100</v>
      </c>
    </row>
    <row r="377" spans="1:9" ht="20.25" customHeight="1">
      <c r="A377" s="87"/>
      <c r="B377" s="15"/>
      <c r="C377" s="6">
        <v>4210</v>
      </c>
      <c r="D377" s="2" t="s">
        <v>533</v>
      </c>
      <c r="E377" s="68">
        <v>5350</v>
      </c>
      <c r="F377" s="134"/>
      <c r="G377" s="68">
        <v>4859.24</v>
      </c>
      <c r="H377" s="134"/>
      <c r="I377" s="338">
        <f t="shared" si="6"/>
        <v>90.82691588785046</v>
      </c>
    </row>
    <row r="378" spans="1:9" ht="20.25" customHeight="1">
      <c r="A378" s="87"/>
      <c r="B378" s="15"/>
      <c r="C378" s="6">
        <v>4260</v>
      </c>
      <c r="D378" s="2" t="s">
        <v>591</v>
      </c>
      <c r="E378" s="68">
        <v>5000</v>
      </c>
      <c r="F378" s="134"/>
      <c r="G378" s="68">
        <v>4086.75</v>
      </c>
      <c r="H378" s="134"/>
      <c r="I378" s="338">
        <f t="shared" si="6"/>
        <v>81.735</v>
      </c>
    </row>
    <row r="379" spans="1:9" ht="20.25" customHeight="1">
      <c r="A379" s="87"/>
      <c r="B379" s="15"/>
      <c r="C379" s="6">
        <v>4300</v>
      </c>
      <c r="D379" s="2" t="s">
        <v>530</v>
      </c>
      <c r="E379" s="68">
        <v>15000</v>
      </c>
      <c r="F379" s="134"/>
      <c r="G379" s="68">
        <v>15000</v>
      </c>
      <c r="H379" s="134"/>
      <c r="I379" s="338">
        <f t="shared" si="6"/>
        <v>100</v>
      </c>
    </row>
    <row r="380" spans="1:9" ht="32.25" customHeight="1">
      <c r="A380" s="87"/>
      <c r="B380" s="15"/>
      <c r="C380" s="6">
        <v>4440</v>
      </c>
      <c r="D380" s="2" t="s">
        <v>578</v>
      </c>
      <c r="E380" s="68">
        <v>1160</v>
      </c>
      <c r="F380" s="134"/>
      <c r="G380" s="68">
        <v>1160</v>
      </c>
      <c r="H380" s="134"/>
      <c r="I380" s="338">
        <f t="shared" si="6"/>
        <v>100</v>
      </c>
    </row>
    <row r="381" spans="1:9" ht="27.75" customHeight="1">
      <c r="A381" s="87"/>
      <c r="B381" s="15"/>
      <c r="C381" s="6">
        <v>4700</v>
      </c>
      <c r="D381" s="2" t="s">
        <v>93</v>
      </c>
      <c r="E381" s="68">
        <v>2000</v>
      </c>
      <c r="F381" s="134"/>
      <c r="G381" s="68">
        <v>0</v>
      </c>
      <c r="H381" s="134"/>
      <c r="I381" s="338">
        <f t="shared" si="6"/>
        <v>0</v>
      </c>
    </row>
    <row r="382" spans="1:22" s="69" customFormat="1" ht="27.75" customHeight="1">
      <c r="A382" s="107"/>
      <c r="B382" s="32">
        <v>85206</v>
      </c>
      <c r="C382" s="32"/>
      <c r="D382" s="33" t="s">
        <v>595</v>
      </c>
      <c r="E382" s="124">
        <f>SUM(E383:E386)</f>
        <v>169186</v>
      </c>
      <c r="F382" s="133"/>
      <c r="G382" s="124">
        <f>SUM(G383:G386)</f>
        <v>169185.6</v>
      </c>
      <c r="H382" s="133"/>
      <c r="I382" s="338">
        <f t="shared" si="6"/>
        <v>99.99976357381817</v>
      </c>
      <c r="J382" s="447"/>
      <c r="K382" s="352"/>
      <c r="L382" s="352"/>
      <c r="M382" s="352"/>
      <c r="N382" s="352"/>
      <c r="O382" s="465"/>
      <c r="P382" s="352"/>
      <c r="Q382" s="352"/>
      <c r="R382" s="352"/>
      <c r="S382" s="352"/>
      <c r="T382" s="321"/>
      <c r="U382" s="321"/>
      <c r="V382" s="321"/>
    </row>
    <row r="383" spans="1:9" ht="21" customHeight="1">
      <c r="A383" s="87"/>
      <c r="B383" s="15"/>
      <c r="C383" s="6">
        <v>4010</v>
      </c>
      <c r="D383" s="2" t="s">
        <v>572</v>
      </c>
      <c r="E383" s="68">
        <v>127250</v>
      </c>
      <c r="F383" s="134"/>
      <c r="G383" s="68">
        <v>127250</v>
      </c>
      <c r="H383" s="134"/>
      <c r="I383" s="338">
        <f t="shared" si="6"/>
        <v>100</v>
      </c>
    </row>
    <row r="384" spans="1:9" ht="19.5" customHeight="1">
      <c r="A384" s="87"/>
      <c r="B384" s="15"/>
      <c r="C384" s="6">
        <v>4110</v>
      </c>
      <c r="D384" s="2" t="s">
        <v>576</v>
      </c>
      <c r="E384" s="68">
        <v>22424</v>
      </c>
      <c r="F384" s="134"/>
      <c r="G384" s="68">
        <v>22423.6</v>
      </c>
      <c r="H384" s="134"/>
      <c r="I384" s="338">
        <f t="shared" si="6"/>
        <v>99.99821619693185</v>
      </c>
    </row>
    <row r="385" spans="1:9" ht="18" customHeight="1">
      <c r="A385" s="87"/>
      <c r="B385" s="15"/>
      <c r="C385" s="6">
        <v>4120</v>
      </c>
      <c r="D385" s="2" t="s">
        <v>577</v>
      </c>
      <c r="E385" s="68">
        <v>3512</v>
      </c>
      <c r="F385" s="134"/>
      <c r="G385" s="68">
        <v>3512</v>
      </c>
      <c r="H385" s="134"/>
      <c r="I385" s="338">
        <f t="shared" si="6"/>
        <v>100</v>
      </c>
    </row>
    <row r="386" spans="1:9" ht="18" customHeight="1">
      <c r="A386" s="87"/>
      <c r="B386" s="15"/>
      <c r="C386" s="6">
        <v>4170</v>
      </c>
      <c r="D386" s="2" t="s">
        <v>583</v>
      </c>
      <c r="E386" s="68">
        <v>16000</v>
      </c>
      <c r="F386" s="134"/>
      <c r="G386" s="68">
        <v>16000</v>
      </c>
      <c r="H386" s="134"/>
      <c r="I386" s="338">
        <f t="shared" si="6"/>
        <v>100</v>
      </c>
    </row>
    <row r="387" spans="1:9" ht="55.5" customHeight="1">
      <c r="A387" s="87"/>
      <c r="B387" s="32">
        <v>85212</v>
      </c>
      <c r="C387" s="32"/>
      <c r="D387" s="33" t="s">
        <v>674</v>
      </c>
      <c r="E387" s="124">
        <f>SUM(E388:E403)</f>
        <v>21073526</v>
      </c>
      <c r="F387" s="133">
        <f>SUM(F388:F403)</f>
        <v>20400000</v>
      </c>
      <c r="G387" s="124">
        <f>SUM(G388:G403)</f>
        <v>20783831.73</v>
      </c>
      <c r="H387" s="133">
        <f>SUM(H388:H403)</f>
        <v>20143898</v>
      </c>
      <c r="I387" s="338">
        <f t="shared" si="6"/>
        <v>98.62531657018384</v>
      </c>
    </row>
    <row r="388" spans="1:9" ht="27" customHeight="1">
      <c r="A388" s="87"/>
      <c r="B388" s="38"/>
      <c r="C388" s="6">
        <v>3020</v>
      </c>
      <c r="D388" s="2" t="s">
        <v>677</v>
      </c>
      <c r="E388" s="68">
        <v>7000</v>
      </c>
      <c r="F388" s="134"/>
      <c r="G388" s="68">
        <v>5664.17</v>
      </c>
      <c r="H388" s="68"/>
      <c r="I388" s="338">
        <f t="shared" si="6"/>
        <v>80.91671428571429</v>
      </c>
    </row>
    <row r="389" spans="1:9" ht="15.75" customHeight="1">
      <c r="A389" s="87"/>
      <c r="B389" s="15"/>
      <c r="C389" s="6">
        <v>3110</v>
      </c>
      <c r="D389" s="2" t="s">
        <v>737</v>
      </c>
      <c r="E389" s="68">
        <v>19210400</v>
      </c>
      <c r="F389" s="134">
        <v>19112400</v>
      </c>
      <c r="G389" s="68">
        <v>18966069.88</v>
      </c>
      <c r="H389" s="134">
        <v>18870569.88</v>
      </c>
      <c r="I389" s="338">
        <f t="shared" si="6"/>
        <v>98.72813621788198</v>
      </c>
    </row>
    <row r="390" spans="1:9" ht="18.75" customHeight="1">
      <c r="A390" s="87"/>
      <c r="B390" s="15"/>
      <c r="C390" s="6">
        <v>4010</v>
      </c>
      <c r="D390" s="2" t="s">
        <v>572</v>
      </c>
      <c r="E390" s="68">
        <v>774480</v>
      </c>
      <c r="F390" s="134">
        <v>455760</v>
      </c>
      <c r="G390" s="68">
        <v>774480</v>
      </c>
      <c r="H390" s="134">
        <v>455760</v>
      </c>
      <c r="I390" s="338">
        <f t="shared" si="6"/>
        <v>100</v>
      </c>
    </row>
    <row r="391" spans="1:9" ht="15" customHeight="1">
      <c r="A391" s="87"/>
      <c r="B391" s="15"/>
      <c r="C391" s="6">
        <v>4040</v>
      </c>
      <c r="D391" s="2" t="s">
        <v>575</v>
      </c>
      <c r="E391" s="68">
        <v>60406</v>
      </c>
      <c r="F391" s="134">
        <v>34300</v>
      </c>
      <c r="G391" s="68">
        <v>60406</v>
      </c>
      <c r="H391" s="134">
        <v>34300</v>
      </c>
      <c r="I391" s="338">
        <f t="shared" si="6"/>
        <v>100</v>
      </c>
    </row>
    <row r="392" spans="1:9" ht="15" customHeight="1">
      <c r="A392" s="87"/>
      <c r="B392" s="15"/>
      <c r="C392" s="6">
        <v>4110</v>
      </c>
      <c r="D392" s="2" t="s">
        <v>576</v>
      </c>
      <c r="E392" s="68">
        <v>840300</v>
      </c>
      <c r="F392" s="134">
        <v>773176</v>
      </c>
      <c r="G392" s="68">
        <v>827348.45</v>
      </c>
      <c r="H392" s="134">
        <v>760224.45</v>
      </c>
      <c r="I392" s="338">
        <f t="shared" si="6"/>
        <v>98.45869927406878</v>
      </c>
    </row>
    <row r="393" spans="1:9" ht="15" customHeight="1">
      <c r="A393" s="87"/>
      <c r="B393" s="15"/>
      <c r="C393" s="6">
        <v>4120</v>
      </c>
      <c r="D393" s="2" t="s">
        <v>577</v>
      </c>
      <c r="E393" s="68">
        <v>18680</v>
      </c>
      <c r="F393" s="134">
        <v>11164</v>
      </c>
      <c r="G393" s="68">
        <v>15769.2</v>
      </c>
      <c r="H393" s="134">
        <v>9843.67</v>
      </c>
      <c r="I393" s="338">
        <f t="shared" si="6"/>
        <v>84.41755888650964</v>
      </c>
    </row>
    <row r="394" spans="1:9" ht="15" customHeight="1">
      <c r="A394" s="87"/>
      <c r="B394" s="15"/>
      <c r="C394" s="6">
        <v>4170</v>
      </c>
      <c r="D394" s="2" t="s">
        <v>583</v>
      </c>
      <c r="E394" s="68">
        <v>1000</v>
      </c>
      <c r="F394" s="134"/>
      <c r="G394" s="68">
        <v>0</v>
      </c>
      <c r="H394" s="134"/>
      <c r="I394" s="338">
        <f t="shared" si="6"/>
        <v>0</v>
      </c>
    </row>
    <row r="395" spans="1:9" ht="15" customHeight="1">
      <c r="A395" s="87"/>
      <c r="B395" s="15"/>
      <c r="C395" s="6">
        <v>4210</v>
      </c>
      <c r="D395" s="2" t="s">
        <v>533</v>
      </c>
      <c r="E395" s="68">
        <v>36000</v>
      </c>
      <c r="F395" s="134"/>
      <c r="G395" s="68">
        <v>35920.82</v>
      </c>
      <c r="H395" s="134"/>
      <c r="I395" s="338">
        <f t="shared" si="6"/>
        <v>99.78005555555556</v>
      </c>
    </row>
    <row r="396" spans="1:9" ht="15" customHeight="1">
      <c r="A396" s="87"/>
      <c r="B396" s="15"/>
      <c r="C396" s="6">
        <v>4260</v>
      </c>
      <c r="D396" s="2" t="s">
        <v>591</v>
      </c>
      <c r="E396" s="68">
        <v>27000</v>
      </c>
      <c r="F396" s="134"/>
      <c r="G396" s="68">
        <v>23025.25</v>
      </c>
      <c r="H396" s="134"/>
      <c r="I396" s="338">
        <f t="shared" si="6"/>
        <v>85.27870370370371</v>
      </c>
    </row>
    <row r="397" spans="1:9" ht="15" customHeight="1">
      <c r="A397" s="87"/>
      <c r="B397" s="15"/>
      <c r="C397" s="6">
        <v>4270</v>
      </c>
      <c r="D397" s="2" t="s">
        <v>534</v>
      </c>
      <c r="E397" s="68">
        <v>4000</v>
      </c>
      <c r="F397" s="134"/>
      <c r="G397" s="68">
        <v>2976.96</v>
      </c>
      <c r="H397" s="134"/>
      <c r="I397" s="338">
        <f t="shared" si="6"/>
        <v>74.424</v>
      </c>
    </row>
    <row r="398" spans="1:9" ht="15" customHeight="1">
      <c r="A398" s="87"/>
      <c r="B398" s="15"/>
      <c r="C398" s="6">
        <v>4300</v>
      </c>
      <c r="D398" s="2" t="s">
        <v>530</v>
      </c>
      <c r="E398" s="68">
        <v>63000</v>
      </c>
      <c r="F398" s="134"/>
      <c r="G398" s="68">
        <v>43063.79</v>
      </c>
      <c r="H398" s="134"/>
      <c r="I398" s="338">
        <f t="shared" si="6"/>
        <v>68.35522222222222</v>
      </c>
    </row>
    <row r="399" spans="1:9" ht="15" customHeight="1">
      <c r="A399" s="87"/>
      <c r="B399" s="15"/>
      <c r="C399" s="6">
        <v>4380</v>
      </c>
      <c r="D399" s="2" t="s">
        <v>280</v>
      </c>
      <c r="E399" s="68">
        <v>500</v>
      </c>
      <c r="F399" s="134"/>
      <c r="G399" s="68">
        <v>0</v>
      </c>
      <c r="H399" s="134"/>
      <c r="I399" s="338">
        <f t="shared" si="6"/>
        <v>0</v>
      </c>
    </row>
    <row r="400" spans="1:9" ht="15" customHeight="1">
      <c r="A400" s="87"/>
      <c r="B400" s="15"/>
      <c r="C400" s="6">
        <v>4410</v>
      </c>
      <c r="D400" s="2" t="s">
        <v>580</v>
      </c>
      <c r="E400" s="68">
        <v>400</v>
      </c>
      <c r="F400" s="134"/>
      <c r="G400" s="68">
        <v>145</v>
      </c>
      <c r="H400" s="134"/>
      <c r="I400" s="338">
        <f t="shared" si="6"/>
        <v>36.25</v>
      </c>
    </row>
    <row r="401" spans="1:9" ht="27.75" customHeight="1">
      <c r="A401" s="87"/>
      <c r="B401" s="15"/>
      <c r="C401" s="6">
        <v>4440</v>
      </c>
      <c r="D401" s="2" t="s">
        <v>578</v>
      </c>
      <c r="E401" s="68">
        <v>24360</v>
      </c>
      <c r="F401" s="134">
        <v>13200</v>
      </c>
      <c r="G401" s="68">
        <v>24360</v>
      </c>
      <c r="H401" s="134">
        <v>13200</v>
      </c>
      <c r="I401" s="338">
        <f t="shared" si="6"/>
        <v>100</v>
      </c>
    </row>
    <row r="402" spans="1:9" ht="27" customHeight="1">
      <c r="A402" s="87"/>
      <c r="B402" s="15"/>
      <c r="C402" s="6">
        <v>4610</v>
      </c>
      <c r="D402" s="2" t="s">
        <v>506</v>
      </c>
      <c r="E402" s="68">
        <v>5000</v>
      </c>
      <c r="F402" s="134"/>
      <c r="G402" s="68">
        <v>4219.16</v>
      </c>
      <c r="H402" s="134"/>
      <c r="I402" s="338">
        <f t="shared" si="6"/>
        <v>84.38319999999999</v>
      </c>
    </row>
    <row r="403" spans="1:9" ht="29.25" customHeight="1">
      <c r="A403" s="87"/>
      <c r="B403" s="15"/>
      <c r="C403" s="6">
        <v>4700</v>
      </c>
      <c r="D403" s="2" t="s">
        <v>93</v>
      </c>
      <c r="E403" s="68">
        <v>1000</v>
      </c>
      <c r="F403" s="134"/>
      <c r="G403" s="68">
        <v>383.05</v>
      </c>
      <c r="H403" s="134"/>
      <c r="I403" s="338">
        <f t="shared" si="6"/>
        <v>38.305</v>
      </c>
    </row>
    <row r="404" spans="1:9" ht="81" customHeight="1">
      <c r="A404" s="87"/>
      <c r="B404" s="32">
        <v>85213</v>
      </c>
      <c r="C404" s="32"/>
      <c r="D404" s="46" t="s">
        <v>702</v>
      </c>
      <c r="E404" s="124">
        <f>E405</f>
        <v>302840</v>
      </c>
      <c r="F404" s="124">
        <f>F405</f>
        <v>121200</v>
      </c>
      <c r="G404" s="124">
        <f>G405</f>
        <v>259320.56</v>
      </c>
      <c r="H404" s="124">
        <f>H405</f>
        <v>120629.04</v>
      </c>
      <c r="I404" s="338">
        <f t="shared" si="6"/>
        <v>85.62956016378286</v>
      </c>
    </row>
    <row r="405" spans="1:9" ht="19.5" customHeight="1">
      <c r="A405" s="87"/>
      <c r="B405" s="15"/>
      <c r="C405" s="6">
        <v>4130</v>
      </c>
      <c r="D405" s="2" t="s">
        <v>729</v>
      </c>
      <c r="E405" s="94">
        <v>302840</v>
      </c>
      <c r="F405" s="112">
        <v>121200</v>
      </c>
      <c r="G405" s="94">
        <v>259320.56</v>
      </c>
      <c r="H405" s="112">
        <v>120629.04</v>
      </c>
      <c r="I405" s="338">
        <f t="shared" si="6"/>
        <v>85.62956016378286</v>
      </c>
    </row>
    <row r="406" spans="1:9" ht="31.5" customHeight="1">
      <c r="A406" s="87"/>
      <c r="B406" s="31">
        <v>85214</v>
      </c>
      <c r="C406" s="32"/>
      <c r="D406" s="33" t="s">
        <v>307</v>
      </c>
      <c r="E406" s="37">
        <f>E407</f>
        <v>5204526.75</v>
      </c>
      <c r="F406" s="134"/>
      <c r="G406" s="124">
        <f>G407</f>
        <v>5102458.17</v>
      </c>
      <c r="H406" s="134"/>
      <c r="I406" s="338">
        <f t="shared" si="6"/>
        <v>98.03884993001525</v>
      </c>
    </row>
    <row r="407" spans="1:9" ht="20.25" customHeight="1">
      <c r="A407" s="87"/>
      <c r="B407" s="38"/>
      <c r="C407" s="6">
        <v>3110</v>
      </c>
      <c r="D407" s="2" t="s">
        <v>737</v>
      </c>
      <c r="E407" s="119">
        <v>5204526.75</v>
      </c>
      <c r="F407" s="112"/>
      <c r="G407" s="119">
        <v>5102458.17</v>
      </c>
      <c r="H407" s="112"/>
      <c r="I407" s="338">
        <f t="shared" si="6"/>
        <v>98.03884993001525</v>
      </c>
    </row>
    <row r="408" spans="1:9" ht="21.75" customHeight="1">
      <c r="A408" s="140"/>
      <c r="B408" s="99">
        <v>85215</v>
      </c>
      <c r="C408" s="32"/>
      <c r="D408" s="33" t="s">
        <v>738</v>
      </c>
      <c r="E408" s="124">
        <f>E409+E410</f>
        <v>2986000</v>
      </c>
      <c r="F408" s="134"/>
      <c r="G408" s="124">
        <f>G409+G410</f>
        <v>2982881.05</v>
      </c>
      <c r="H408" s="134"/>
      <c r="I408" s="338">
        <f t="shared" si="6"/>
        <v>99.89554755525786</v>
      </c>
    </row>
    <row r="409" spans="1:9" ht="16.5" customHeight="1">
      <c r="A409" s="105"/>
      <c r="B409" s="117"/>
      <c r="C409" s="6">
        <v>3110</v>
      </c>
      <c r="D409" s="2" t="s">
        <v>737</v>
      </c>
      <c r="E409" s="119">
        <v>2985000</v>
      </c>
      <c r="F409" s="112"/>
      <c r="G409" s="119">
        <v>2982397.57</v>
      </c>
      <c r="H409" s="112"/>
      <c r="I409" s="338">
        <f t="shared" si="6"/>
        <v>99.91281641541038</v>
      </c>
    </row>
    <row r="410" spans="1:9" ht="15" customHeight="1">
      <c r="A410" s="105"/>
      <c r="B410" s="117"/>
      <c r="C410" s="6">
        <v>4300</v>
      </c>
      <c r="D410" s="2" t="s">
        <v>530</v>
      </c>
      <c r="E410" s="68">
        <v>1000</v>
      </c>
      <c r="F410" s="112"/>
      <c r="G410" s="68">
        <v>483.48</v>
      </c>
      <c r="H410" s="112"/>
      <c r="I410" s="338">
        <f t="shared" si="6"/>
        <v>48.348</v>
      </c>
    </row>
    <row r="411" spans="1:22" s="69" customFormat="1" ht="18.75" customHeight="1">
      <c r="A411" s="140"/>
      <c r="B411" s="61">
        <v>85216</v>
      </c>
      <c r="C411" s="32"/>
      <c r="D411" s="33" t="s">
        <v>339</v>
      </c>
      <c r="E411" s="124">
        <f>E412</f>
        <v>1725000</v>
      </c>
      <c r="F411" s="132"/>
      <c r="G411" s="124">
        <f>G412</f>
        <v>1614502.05</v>
      </c>
      <c r="H411" s="132"/>
      <c r="I411" s="338">
        <f t="shared" si="6"/>
        <v>93.59432173913044</v>
      </c>
      <c r="J411" s="447"/>
      <c r="K411" s="352"/>
      <c r="L411" s="352"/>
      <c r="M411" s="352"/>
      <c r="N411" s="352"/>
      <c r="O411" s="465"/>
      <c r="P411" s="352"/>
      <c r="Q411" s="352"/>
      <c r="R411" s="352"/>
      <c r="S411" s="352"/>
      <c r="T411" s="321"/>
      <c r="U411" s="321"/>
      <c r="V411" s="321"/>
    </row>
    <row r="412" spans="1:9" ht="17.25" customHeight="1">
      <c r="A412" s="105"/>
      <c r="B412" s="117"/>
      <c r="C412" s="6">
        <v>3110</v>
      </c>
      <c r="D412" s="2" t="s">
        <v>737</v>
      </c>
      <c r="E412" s="68">
        <v>1725000</v>
      </c>
      <c r="F412" s="112"/>
      <c r="G412" s="68">
        <v>1614502.05</v>
      </c>
      <c r="H412" s="112"/>
      <c r="I412" s="338">
        <f t="shared" si="6"/>
        <v>93.59432173913044</v>
      </c>
    </row>
    <row r="413" spans="1:9" ht="22.5" customHeight="1">
      <c r="A413" s="105"/>
      <c r="B413" s="36">
        <v>85219</v>
      </c>
      <c r="C413" s="32"/>
      <c r="D413" s="33" t="s">
        <v>308</v>
      </c>
      <c r="E413" s="124">
        <f>SUM(E414:E435)</f>
        <v>5946404</v>
      </c>
      <c r="F413" s="133">
        <f>SUM(F414:F435)</f>
        <v>54094</v>
      </c>
      <c r="G413" s="124">
        <f>SUM(G414:G435)</f>
        <v>5895307.080000002</v>
      </c>
      <c r="H413" s="133">
        <f>SUM(H414:H435)</f>
        <v>54092.840000000004</v>
      </c>
      <c r="I413" s="338">
        <f t="shared" si="6"/>
        <v>99.14070890575215</v>
      </c>
    </row>
    <row r="414" spans="1:9" ht="27" customHeight="1">
      <c r="A414" s="105"/>
      <c r="B414" s="20"/>
      <c r="C414" s="13">
        <v>3020</v>
      </c>
      <c r="D414" s="2" t="s">
        <v>677</v>
      </c>
      <c r="E414" s="94">
        <v>25850</v>
      </c>
      <c r="F414" s="112"/>
      <c r="G414" s="68">
        <v>25850</v>
      </c>
      <c r="H414" s="112"/>
      <c r="I414" s="338">
        <f t="shared" si="6"/>
        <v>100</v>
      </c>
    </row>
    <row r="415" spans="1:9" ht="20.25" customHeight="1">
      <c r="A415" s="105"/>
      <c r="B415" s="12"/>
      <c r="C415" s="6">
        <v>3110</v>
      </c>
      <c r="D415" s="2" t="s">
        <v>737</v>
      </c>
      <c r="E415" s="68">
        <v>53294</v>
      </c>
      <c r="F415" s="134">
        <v>53294</v>
      </c>
      <c r="G415" s="68">
        <v>53293.44</v>
      </c>
      <c r="H415" s="134">
        <v>53293.44</v>
      </c>
      <c r="I415" s="338">
        <f t="shared" si="6"/>
        <v>99.99894922505348</v>
      </c>
    </row>
    <row r="416" spans="1:9" ht="16.5" customHeight="1">
      <c r="A416" s="105"/>
      <c r="B416" s="12"/>
      <c r="C416" s="13">
        <v>4010</v>
      </c>
      <c r="D416" s="2" t="s">
        <v>572</v>
      </c>
      <c r="E416" s="119">
        <v>4225260</v>
      </c>
      <c r="F416" s="112"/>
      <c r="G416" s="119">
        <v>4225260</v>
      </c>
      <c r="H416" s="112"/>
      <c r="I416" s="338">
        <f t="shared" si="6"/>
        <v>100</v>
      </c>
    </row>
    <row r="417" spans="1:9" ht="15" customHeight="1">
      <c r="A417" s="105"/>
      <c r="B417" s="12"/>
      <c r="C417" s="13">
        <v>4040</v>
      </c>
      <c r="D417" s="2" t="s">
        <v>575</v>
      </c>
      <c r="E417" s="68">
        <v>315000</v>
      </c>
      <c r="F417" s="112"/>
      <c r="G417" s="68">
        <v>314999.02</v>
      </c>
      <c r="H417" s="112"/>
      <c r="I417" s="338">
        <f t="shared" si="6"/>
        <v>99.9996888888889</v>
      </c>
    </row>
    <row r="418" spans="1:9" ht="15" customHeight="1">
      <c r="A418" s="105"/>
      <c r="B418" s="12"/>
      <c r="C418" s="13">
        <v>4110</v>
      </c>
      <c r="D418" s="2" t="s">
        <v>576</v>
      </c>
      <c r="E418" s="68">
        <v>745720</v>
      </c>
      <c r="F418" s="112"/>
      <c r="G418" s="68">
        <v>745325.31</v>
      </c>
      <c r="H418" s="112"/>
      <c r="I418" s="338">
        <f t="shared" si="6"/>
        <v>99.94707262779596</v>
      </c>
    </row>
    <row r="419" spans="1:9" ht="15" customHeight="1">
      <c r="A419" s="105"/>
      <c r="B419" s="12"/>
      <c r="C419" s="13">
        <v>4120</v>
      </c>
      <c r="D419" s="2" t="s">
        <v>577</v>
      </c>
      <c r="E419" s="68">
        <v>80230</v>
      </c>
      <c r="F419" s="112"/>
      <c r="G419" s="68">
        <v>78869.69</v>
      </c>
      <c r="H419" s="112"/>
      <c r="I419" s="338">
        <f t="shared" si="6"/>
        <v>98.30448709958868</v>
      </c>
    </row>
    <row r="420" spans="1:9" ht="15" customHeight="1">
      <c r="A420" s="105"/>
      <c r="B420" s="12"/>
      <c r="C420" s="6">
        <v>4170</v>
      </c>
      <c r="D420" s="2" t="s">
        <v>583</v>
      </c>
      <c r="E420" s="68">
        <v>17200</v>
      </c>
      <c r="F420" s="112"/>
      <c r="G420" s="68">
        <v>17000</v>
      </c>
      <c r="H420" s="112"/>
      <c r="I420" s="338">
        <f t="shared" si="6"/>
        <v>98.83720930232558</v>
      </c>
    </row>
    <row r="421" spans="1:9" ht="15" customHeight="1">
      <c r="A421" s="105"/>
      <c r="B421" s="12"/>
      <c r="C421" s="22">
        <v>4210</v>
      </c>
      <c r="D421" s="39" t="s">
        <v>533</v>
      </c>
      <c r="E421" s="68">
        <v>91000</v>
      </c>
      <c r="F421" s="112"/>
      <c r="G421" s="68">
        <v>90495.56</v>
      </c>
      <c r="H421" s="112"/>
      <c r="I421" s="338">
        <f t="shared" si="6"/>
        <v>99.44567032967034</v>
      </c>
    </row>
    <row r="422" spans="1:9" ht="15" customHeight="1">
      <c r="A422" s="105"/>
      <c r="B422" s="12"/>
      <c r="C422" s="13">
        <v>4260</v>
      </c>
      <c r="D422" s="2" t="s">
        <v>591</v>
      </c>
      <c r="E422" s="68">
        <v>72600</v>
      </c>
      <c r="F422" s="112"/>
      <c r="G422" s="68">
        <v>50647.46</v>
      </c>
      <c r="H422" s="112"/>
      <c r="I422" s="338">
        <f t="shared" si="6"/>
        <v>69.76234159779614</v>
      </c>
    </row>
    <row r="423" spans="1:9" ht="15" customHeight="1">
      <c r="A423" s="105"/>
      <c r="B423" s="12"/>
      <c r="C423" s="13">
        <v>4270</v>
      </c>
      <c r="D423" s="2" t="s">
        <v>534</v>
      </c>
      <c r="E423" s="68">
        <v>7650</v>
      </c>
      <c r="F423" s="112"/>
      <c r="G423" s="68">
        <v>4181.23</v>
      </c>
      <c r="H423" s="112"/>
      <c r="I423" s="338">
        <f t="shared" si="6"/>
        <v>54.65660130718953</v>
      </c>
    </row>
    <row r="424" spans="1:9" ht="15" customHeight="1">
      <c r="A424" s="105"/>
      <c r="B424" s="12"/>
      <c r="C424" s="13">
        <v>4280</v>
      </c>
      <c r="D424" s="2" t="s">
        <v>723</v>
      </c>
      <c r="E424" s="68">
        <v>7190</v>
      </c>
      <c r="F424" s="112"/>
      <c r="G424" s="68">
        <v>6937</v>
      </c>
      <c r="H424" s="112"/>
      <c r="I424" s="338">
        <f t="shared" si="6"/>
        <v>96.48122392211404</v>
      </c>
    </row>
    <row r="425" spans="1:9" ht="15" customHeight="1">
      <c r="A425" s="105"/>
      <c r="B425" s="12"/>
      <c r="C425" s="13">
        <v>4300</v>
      </c>
      <c r="D425" s="2" t="s">
        <v>530</v>
      </c>
      <c r="E425" s="68">
        <v>91750</v>
      </c>
      <c r="F425" s="134">
        <v>800</v>
      </c>
      <c r="G425" s="68">
        <v>80139.93</v>
      </c>
      <c r="H425" s="134">
        <v>799.4</v>
      </c>
      <c r="I425" s="338">
        <f t="shared" si="6"/>
        <v>87.3459727520436</v>
      </c>
    </row>
    <row r="426" spans="1:9" ht="18.75" customHeight="1">
      <c r="A426" s="105"/>
      <c r="B426" s="12"/>
      <c r="C426" s="13">
        <v>4350</v>
      </c>
      <c r="D426" s="2" t="s">
        <v>586</v>
      </c>
      <c r="E426" s="68">
        <v>200</v>
      </c>
      <c r="F426" s="112"/>
      <c r="G426" s="68">
        <v>0</v>
      </c>
      <c r="H426" s="112"/>
      <c r="I426" s="338">
        <f t="shared" si="6"/>
        <v>0</v>
      </c>
    </row>
    <row r="427" spans="1:9" ht="41.25" customHeight="1">
      <c r="A427" s="105"/>
      <c r="B427" s="12"/>
      <c r="C427" s="6">
        <v>4360</v>
      </c>
      <c r="D427" s="2" t="s">
        <v>768</v>
      </c>
      <c r="E427" s="68">
        <v>18000</v>
      </c>
      <c r="F427" s="112"/>
      <c r="G427" s="68">
        <v>16063.47</v>
      </c>
      <c r="H427" s="112"/>
      <c r="I427" s="338">
        <f t="shared" si="6"/>
        <v>89.2415</v>
      </c>
    </row>
    <row r="428" spans="1:9" ht="40.5" customHeight="1">
      <c r="A428" s="105"/>
      <c r="B428" s="12"/>
      <c r="C428" s="6">
        <v>4370</v>
      </c>
      <c r="D428" s="2" t="s">
        <v>767</v>
      </c>
      <c r="E428" s="68">
        <v>15152.14</v>
      </c>
      <c r="F428" s="112"/>
      <c r="G428" s="68">
        <v>11113.94</v>
      </c>
      <c r="H428" s="112"/>
      <c r="I428" s="338">
        <f t="shared" si="6"/>
        <v>73.34897908810241</v>
      </c>
    </row>
    <row r="429" spans="1:9" ht="15" customHeight="1">
      <c r="A429" s="105"/>
      <c r="B429" s="12"/>
      <c r="C429" s="13">
        <v>4410</v>
      </c>
      <c r="D429" s="2" t="s">
        <v>580</v>
      </c>
      <c r="E429" s="68">
        <v>18500</v>
      </c>
      <c r="F429" s="112"/>
      <c r="G429" s="68">
        <v>18000.11</v>
      </c>
      <c r="H429" s="112"/>
      <c r="I429" s="338">
        <f t="shared" si="6"/>
        <v>97.2978918918919</v>
      </c>
    </row>
    <row r="430" spans="1:9" ht="15" customHeight="1">
      <c r="A430" s="105"/>
      <c r="B430" s="12"/>
      <c r="C430" s="13">
        <v>4430</v>
      </c>
      <c r="D430" s="2" t="s">
        <v>288</v>
      </c>
      <c r="E430" s="68">
        <v>12650</v>
      </c>
      <c r="F430" s="112"/>
      <c r="G430" s="68">
        <v>12014</v>
      </c>
      <c r="H430" s="112"/>
      <c r="I430" s="338">
        <f t="shared" si="6"/>
        <v>94.97233201581028</v>
      </c>
    </row>
    <row r="431" spans="1:9" ht="24.75" customHeight="1">
      <c r="A431" s="105"/>
      <c r="B431" s="12"/>
      <c r="C431" s="13">
        <v>4440</v>
      </c>
      <c r="D431" s="2" t="s">
        <v>578</v>
      </c>
      <c r="E431" s="68">
        <v>129457.86</v>
      </c>
      <c r="F431" s="112"/>
      <c r="G431" s="68">
        <v>129251.16</v>
      </c>
      <c r="H431" s="112"/>
      <c r="I431" s="338">
        <f t="shared" si="6"/>
        <v>99.84033414425359</v>
      </c>
    </row>
    <row r="432" spans="1:9" ht="24.75" customHeight="1">
      <c r="A432" s="105"/>
      <c r="B432" s="12"/>
      <c r="C432" s="13">
        <v>4480</v>
      </c>
      <c r="D432" s="2" t="s">
        <v>306</v>
      </c>
      <c r="E432" s="68">
        <v>6435</v>
      </c>
      <c r="F432" s="112"/>
      <c r="G432" s="68">
        <v>6432.25</v>
      </c>
      <c r="H432" s="112"/>
      <c r="I432" s="338">
        <f t="shared" si="6"/>
        <v>99.95726495726495</v>
      </c>
    </row>
    <row r="433" spans="1:9" ht="21" customHeight="1">
      <c r="A433" s="105"/>
      <c r="B433" s="12"/>
      <c r="C433" s="13">
        <v>4510</v>
      </c>
      <c r="D433" s="2" t="s">
        <v>678</v>
      </c>
      <c r="E433" s="68">
        <v>250</v>
      </c>
      <c r="F433" s="112"/>
      <c r="G433" s="68">
        <v>250</v>
      </c>
      <c r="H433" s="112"/>
      <c r="I433" s="338">
        <f t="shared" si="6"/>
        <v>100</v>
      </c>
    </row>
    <row r="434" spans="1:9" ht="27" customHeight="1">
      <c r="A434" s="105"/>
      <c r="B434" s="12"/>
      <c r="C434" s="13">
        <v>4610</v>
      </c>
      <c r="D434" s="2" t="s">
        <v>506</v>
      </c>
      <c r="E434" s="68">
        <v>4350</v>
      </c>
      <c r="F434" s="112"/>
      <c r="G434" s="68">
        <v>3492.46</v>
      </c>
      <c r="H434" s="112"/>
      <c r="I434" s="338">
        <f t="shared" si="6"/>
        <v>80.2864367816092</v>
      </c>
    </row>
    <row r="435" spans="1:9" ht="30" customHeight="1">
      <c r="A435" s="105"/>
      <c r="B435" s="12"/>
      <c r="C435" s="13">
        <v>4700</v>
      </c>
      <c r="D435" s="2" t="s">
        <v>93</v>
      </c>
      <c r="E435" s="68">
        <v>8665</v>
      </c>
      <c r="F435" s="112"/>
      <c r="G435" s="68">
        <v>5691.05</v>
      </c>
      <c r="H435" s="112"/>
      <c r="I435" s="338">
        <f t="shared" si="6"/>
        <v>65.67859203693018</v>
      </c>
    </row>
    <row r="436" spans="1:22" s="69" customFormat="1" ht="42.75" customHeight="1">
      <c r="A436" s="140"/>
      <c r="B436" s="32">
        <v>85220</v>
      </c>
      <c r="C436" s="32"/>
      <c r="D436" s="33" t="s">
        <v>604</v>
      </c>
      <c r="E436" s="124">
        <f>SUM(E437:E442)</f>
        <v>56500</v>
      </c>
      <c r="F436" s="132"/>
      <c r="G436" s="124">
        <f>SUM(G437:G442)</f>
        <v>38423.55</v>
      </c>
      <c r="H436" s="132"/>
      <c r="I436" s="338">
        <f t="shared" si="6"/>
        <v>68.00628318584072</v>
      </c>
      <c r="J436" s="447"/>
      <c r="K436" s="352"/>
      <c r="L436" s="352"/>
      <c r="M436" s="352"/>
      <c r="N436" s="352"/>
      <c r="O436" s="465"/>
      <c r="P436" s="352"/>
      <c r="Q436" s="352"/>
      <c r="R436" s="352"/>
      <c r="S436" s="352"/>
      <c r="T436" s="321"/>
      <c r="U436" s="321"/>
      <c r="V436" s="321"/>
    </row>
    <row r="437" spans="1:9" ht="19.5" customHeight="1">
      <c r="A437" s="105"/>
      <c r="B437" s="12"/>
      <c r="C437" s="22">
        <v>4210</v>
      </c>
      <c r="D437" s="39" t="s">
        <v>533</v>
      </c>
      <c r="E437" s="68">
        <v>1000</v>
      </c>
      <c r="F437" s="112"/>
      <c r="G437" s="68">
        <v>347.52</v>
      </c>
      <c r="H437" s="112"/>
      <c r="I437" s="338">
        <f t="shared" si="6"/>
        <v>34.752</v>
      </c>
    </row>
    <row r="438" spans="1:9" ht="19.5" customHeight="1">
      <c r="A438" s="105"/>
      <c r="B438" s="12"/>
      <c r="C438" s="13">
        <v>4260</v>
      </c>
      <c r="D438" s="2" t="s">
        <v>591</v>
      </c>
      <c r="E438" s="68">
        <v>31832</v>
      </c>
      <c r="F438" s="112"/>
      <c r="G438" s="68">
        <v>16853.57</v>
      </c>
      <c r="H438" s="112"/>
      <c r="I438" s="338">
        <f t="shared" si="6"/>
        <v>52.94536943955768</v>
      </c>
    </row>
    <row r="439" spans="1:9" ht="19.5" customHeight="1">
      <c r="A439" s="105"/>
      <c r="B439" s="12"/>
      <c r="C439" s="13">
        <v>4270</v>
      </c>
      <c r="D439" s="2" t="s">
        <v>534</v>
      </c>
      <c r="E439" s="68">
        <v>1000</v>
      </c>
      <c r="F439" s="112"/>
      <c r="G439" s="68">
        <v>0</v>
      </c>
      <c r="H439" s="112"/>
      <c r="I439" s="338"/>
    </row>
    <row r="440" spans="1:9" ht="18.75" customHeight="1">
      <c r="A440" s="105"/>
      <c r="B440" s="12"/>
      <c r="C440" s="13">
        <v>4300</v>
      </c>
      <c r="D440" s="2" t="s">
        <v>530</v>
      </c>
      <c r="E440" s="68">
        <v>8000</v>
      </c>
      <c r="F440" s="112"/>
      <c r="G440" s="68">
        <v>7812.24</v>
      </c>
      <c r="H440" s="112"/>
      <c r="I440" s="338">
        <f t="shared" si="6"/>
        <v>97.653</v>
      </c>
    </row>
    <row r="441" spans="1:9" ht="31.5" customHeight="1">
      <c r="A441" s="105"/>
      <c r="B441" s="12"/>
      <c r="C441" s="6">
        <v>4400</v>
      </c>
      <c r="D441" s="2" t="s">
        <v>728</v>
      </c>
      <c r="E441" s="68">
        <v>14500</v>
      </c>
      <c r="F441" s="112"/>
      <c r="G441" s="68">
        <v>13244.22</v>
      </c>
      <c r="H441" s="112"/>
      <c r="I441" s="338">
        <f t="shared" si="6"/>
        <v>91.33944827586207</v>
      </c>
    </row>
    <row r="442" spans="1:9" ht="24" customHeight="1">
      <c r="A442" s="105"/>
      <c r="B442" s="12"/>
      <c r="C442" s="13">
        <v>4480</v>
      </c>
      <c r="D442" s="2" t="s">
        <v>306</v>
      </c>
      <c r="E442" s="68">
        <v>168</v>
      </c>
      <c r="F442" s="112"/>
      <c r="G442" s="68">
        <v>166</v>
      </c>
      <c r="H442" s="112"/>
      <c r="I442" s="338">
        <f t="shared" si="6"/>
        <v>98.80952380952381</v>
      </c>
    </row>
    <row r="443" spans="1:9" ht="28.5" customHeight="1">
      <c r="A443" s="140"/>
      <c r="B443" s="61">
        <v>85228</v>
      </c>
      <c r="C443" s="32" t="s">
        <v>83</v>
      </c>
      <c r="D443" s="33" t="s">
        <v>739</v>
      </c>
      <c r="E443" s="124">
        <f>SUM(E444:E445)</f>
        <v>1647000</v>
      </c>
      <c r="F443" s="133">
        <f>SUM(F444:F445)</f>
        <v>357000</v>
      </c>
      <c r="G443" s="124">
        <f>SUM(G444:G445)</f>
        <v>1637674</v>
      </c>
      <c r="H443" s="133">
        <f>SUM(H444:H445)</f>
        <v>348840.8</v>
      </c>
      <c r="I443" s="338">
        <f t="shared" si="6"/>
        <v>99.43375834851244</v>
      </c>
    </row>
    <row r="444" spans="1:9" ht="39.75" customHeight="1">
      <c r="A444" s="105"/>
      <c r="B444" s="117"/>
      <c r="C444" s="6">
        <v>2820</v>
      </c>
      <c r="D444" s="2" t="s">
        <v>735</v>
      </c>
      <c r="E444" s="68">
        <v>1250000</v>
      </c>
      <c r="F444" s="112"/>
      <c r="G444" s="68">
        <v>1250000</v>
      </c>
      <c r="H444" s="112"/>
      <c r="I444" s="338">
        <f t="shared" si="6"/>
        <v>100</v>
      </c>
    </row>
    <row r="445" spans="1:9" ht="16.5" customHeight="1">
      <c r="A445" s="105"/>
      <c r="B445" s="117"/>
      <c r="C445" s="6">
        <v>4300</v>
      </c>
      <c r="D445" s="2" t="s">
        <v>530</v>
      </c>
      <c r="E445" s="68">
        <v>397000</v>
      </c>
      <c r="F445" s="134">
        <v>357000</v>
      </c>
      <c r="G445" s="68">
        <v>387674</v>
      </c>
      <c r="H445" s="134">
        <v>348840.8</v>
      </c>
      <c r="I445" s="338">
        <f t="shared" si="6"/>
        <v>97.65088161209067</v>
      </c>
    </row>
    <row r="446" spans="1:13" ht="24" customHeight="1">
      <c r="A446" s="140" t="s">
        <v>83</v>
      </c>
      <c r="B446" s="99">
        <v>85295</v>
      </c>
      <c r="C446" s="32"/>
      <c r="D446" s="33" t="s">
        <v>494</v>
      </c>
      <c r="E446" s="124">
        <f>SUM(E447:E452)</f>
        <v>4126197</v>
      </c>
      <c r="F446" s="124">
        <f>SUM(F447:F452)</f>
        <v>262400</v>
      </c>
      <c r="G446" s="124">
        <f>SUM(G447:G452)</f>
        <v>4054153.34</v>
      </c>
      <c r="H446" s="124">
        <f>SUM(H447:H452)</f>
        <v>248400</v>
      </c>
      <c r="I446" s="338">
        <f t="shared" si="6"/>
        <v>98.25399368958874</v>
      </c>
      <c r="K446" s="352"/>
      <c r="L446" s="352"/>
      <c r="M446" s="352"/>
    </row>
    <row r="447" spans="1:9" ht="78.75" customHeight="1">
      <c r="A447" s="140"/>
      <c r="B447" s="102"/>
      <c r="C447" s="6">
        <v>2360</v>
      </c>
      <c r="D447" s="2" t="s">
        <v>428</v>
      </c>
      <c r="E447" s="68">
        <v>85000</v>
      </c>
      <c r="F447" s="112"/>
      <c r="G447" s="68">
        <v>85000</v>
      </c>
      <c r="H447" s="112"/>
      <c r="I447" s="338">
        <f aca="true" t="shared" si="7" ref="I447:I510">G447/E447*100</f>
        <v>100</v>
      </c>
    </row>
    <row r="448" spans="1:9" ht="42" customHeight="1">
      <c r="A448" s="105"/>
      <c r="B448" s="117"/>
      <c r="C448" s="6">
        <v>2820</v>
      </c>
      <c r="D448" s="2" t="s">
        <v>748</v>
      </c>
      <c r="E448" s="68">
        <v>190000</v>
      </c>
      <c r="F448" s="112"/>
      <c r="G448" s="94">
        <v>190000</v>
      </c>
      <c r="H448" s="112"/>
      <c r="I448" s="338">
        <f t="shared" si="7"/>
        <v>100</v>
      </c>
    </row>
    <row r="449" spans="1:9" ht="16.5" customHeight="1">
      <c r="A449" s="105"/>
      <c r="B449" s="117"/>
      <c r="C449" s="6">
        <v>3110</v>
      </c>
      <c r="D449" s="2" t="s">
        <v>737</v>
      </c>
      <c r="E449" s="68">
        <v>3691197</v>
      </c>
      <c r="F449" s="134">
        <v>262400</v>
      </c>
      <c r="G449" s="68">
        <v>3620269.81</v>
      </c>
      <c r="H449" s="134">
        <v>248400</v>
      </c>
      <c r="I449" s="338">
        <f t="shared" si="7"/>
        <v>98.07847725277193</v>
      </c>
    </row>
    <row r="450" spans="1:9" ht="15" customHeight="1">
      <c r="A450" s="105"/>
      <c r="B450" s="117"/>
      <c r="C450" s="6">
        <v>4210</v>
      </c>
      <c r="D450" s="2" t="s">
        <v>529</v>
      </c>
      <c r="E450" s="68">
        <v>11000</v>
      </c>
      <c r="F450" s="112"/>
      <c r="G450" s="68">
        <v>10984.84</v>
      </c>
      <c r="H450" s="112"/>
      <c r="I450" s="338">
        <f t="shared" si="7"/>
        <v>99.86218181818181</v>
      </c>
    </row>
    <row r="451" spans="1:9" ht="15" customHeight="1">
      <c r="A451" s="105"/>
      <c r="B451" s="117"/>
      <c r="C451" s="6">
        <v>4220</v>
      </c>
      <c r="D451" s="2" t="s">
        <v>675</v>
      </c>
      <c r="E451" s="68">
        <v>117000</v>
      </c>
      <c r="F451" s="112"/>
      <c r="G451" s="68">
        <v>115988.69</v>
      </c>
      <c r="H451" s="112"/>
      <c r="I451" s="338">
        <f t="shared" si="7"/>
        <v>99.13563247863249</v>
      </c>
    </row>
    <row r="452" spans="1:9" ht="15" customHeight="1">
      <c r="A452" s="105"/>
      <c r="B452" s="117"/>
      <c r="C452" s="6">
        <v>4300</v>
      </c>
      <c r="D452" s="2" t="s">
        <v>730</v>
      </c>
      <c r="E452" s="68">
        <v>32000</v>
      </c>
      <c r="F452" s="112"/>
      <c r="G452" s="68">
        <v>31910</v>
      </c>
      <c r="H452" s="112"/>
      <c r="I452" s="338">
        <f t="shared" si="7"/>
        <v>99.71875</v>
      </c>
    </row>
    <row r="453" spans="1:11" ht="33" customHeight="1">
      <c r="A453" s="77">
        <v>853</v>
      </c>
      <c r="B453" s="77"/>
      <c r="C453" s="16"/>
      <c r="D453" s="44" t="s">
        <v>523</v>
      </c>
      <c r="E453" s="45">
        <f>E454+E477</f>
        <v>8831837.23</v>
      </c>
      <c r="F453" s="130"/>
      <c r="G453" s="45">
        <f>G454+G477</f>
        <v>7832481.449999998</v>
      </c>
      <c r="H453" s="130"/>
      <c r="I453" s="339">
        <f t="shared" si="7"/>
        <v>88.6846218518907</v>
      </c>
      <c r="K453" s="449"/>
    </row>
    <row r="454" spans="1:22" s="69" customFormat="1" ht="21.75" customHeight="1">
      <c r="A454" s="140"/>
      <c r="B454" s="99">
        <v>85305</v>
      </c>
      <c r="C454" s="32"/>
      <c r="D454" s="33" t="s">
        <v>749</v>
      </c>
      <c r="E454" s="52">
        <f>SUM(E455:E476)</f>
        <v>1808231</v>
      </c>
      <c r="F454" s="131"/>
      <c r="G454" s="52">
        <f>SUM(G455:G476)</f>
        <v>1646292.4800000002</v>
      </c>
      <c r="H454" s="131"/>
      <c r="I454" s="338">
        <f t="shared" si="7"/>
        <v>91.04436767205077</v>
      </c>
      <c r="J454" s="447"/>
      <c r="K454" s="352"/>
      <c r="L454" s="352"/>
      <c r="M454" s="352"/>
      <c r="N454" s="352"/>
      <c r="O454" s="465"/>
      <c r="P454" s="352"/>
      <c r="Q454" s="352"/>
      <c r="R454" s="352"/>
      <c r="S454" s="352"/>
      <c r="T454" s="321"/>
      <c r="U454" s="321"/>
      <c r="V454" s="321"/>
    </row>
    <row r="455" spans="1:22" s="69" customFormat="1" ht="64.5" customHeight="1">
      <c r="A455" s="140"/>
      <c r="B455" s="102"/>
      <c r="C455" s="6">
        <v>2830</v>
      </c>
      <c r="D455" s="2" t="s">
        <v>485</v>
      </c>
      <c r="E455" s="55">
        <v>76000</v>
      </c>
      <c r="F455" s="112"/>
      <c r="G455" s="55">
        <v>0</v>
      </c>
      <c r="H455" s="132"/>
      <c r="I455" s="338"/>
      <c r="J455" s="447"/>
      <c r="K455" s="352"/>
      <c r="L455" s="352"/>
      <c r="M455" s="352"/>
      <c r="N455" s="352"/>
      <c r="O455" s="465"/>
      <c r="P455" s="352"/>
      <c r="Q455" s="352"/>
      <c r="R455" s="352"/>
      <c r="S455" s="352"/>
      <c r="T455" s="321"/>
      <c r="U455" s="321"/>
      <c r="V455" s="321"/>
    </row>
    <row r="456" spans="1:9" ht="25.5" customHeight="1">
      <c r="A456" s="149"/>
      <c r="B456" s="117"/>
      <c r="C456" s="20">
        <v>3020</v>
      </c>
      <c r="D456" s="2" t="s">
        <v>582</v>
      </c>
      <c r="E456" s="55">
        <v>5200</v>
      </c>
      <c r="F456" s="112"/>
      <c r="G456" s="68">
        <v>5186.37</v>
      </c>
      <c r="H456" s="112"/>
      <c r="I456" s="338">
        <f t="shared" si="7"/>
        <v>99.73788461538462</v>
      </c>
    </row>
    <row r="457" spans="1:9" ht="15.75" customHeight="1">
      <c r="A457" s="149"/>
      <c r="B457" s="117"/>
      <c r="C457" s="6">
        <v>4010</v>
      </c>
      <c r="D457" s="2" t="s">
        <v>572</v>
      </c>
      <c r="E457" s="55">
        <v>1070600</v>
      </c>
      <c r="F457" s="112"/>
      <c r="G457" s="68">
        <v>1062629.03</v>
      </c>
      <c r="H457" s="112"/>
      <c r="I457" s="338">
        <f t="shared" si="7"/>
        <v>99.25546702783487</v>
      </c>
    </row>
    <row r="458" spans="1:9" ht="15" customHeight="1">
      <c r="A458" s="149"/>
      <c r="B458" s="117"/>
      <c r="C458" s="6">
        <v>4040</v>
      </c>
      <c r="D458" s="2" t="s">
        <v>575</v>
      </c>
      <c r="E458" s="55">
        <v>75800</v>
      </c>
      <c r="F458" s="112"/>
      <c r="G458" s="68">
        <v>75441.77</v>
      </c>
      <c r="H458" s="112"/>
      <c r="I458" s="338">
        <f t="shared" si="7"/>
        <v>99.52740105540899</v>
      </c>
    </row>
    <row r="459" spans="1:9" ht="18.75" customHeight="1">
      <c r="A459" s="149"/>
      <c r="B459" s="117"/>
      <c r="C459" s="6">
        <v>4110</v>
      </c>
      <c r="D459" s="2" t="s">
        <v>576</v>
      </c>
      <c r="E459" s="55">
        <v>187100</v>
      </c>
      <c r="F459" s="112"/>
      <c r="G459" s="68">
        <v>187068.19</v>
      </c>
      <c r="H459" s="112"/>
      <c r="I459" s="338">
        <f t="shared" si="7"/>
        <v>99.98299839657938</v>
      </c>
    </row>
    <row r="460" spans="1:9" ht="16.5" customHeight="1">
      <c r="A460" s="149"/>
      <c r="B460" s="117"/>
      <c r="C460" s="6">
        <v>4120</v>
      </c>
      <c r="D460" s="2" t="s">
        <v>577</v>
      </c>
      <c r="E460" s="55">
        <v>22300</v>
      </c>
      <c r="F460" s="112"/>
      <c r="G460" s="68">
        <v>18436.83</v>
      </c>
      <c r="H460" s="112"/>
      <c r="I460" s="338">
        <f t="shared" si="7"/>
        <v>82.6763677130045</v>
      </c>
    </row>
    <row r="461" spans="1:9" ht="19.5" customHeight="1">
      <c r="A461" s="149"/>
      <c r="B461" s="117"/>
      <c r="C461" s="6">
        <v>4210</v>
      </c>
      <c r="D461" s="2" t="s">
        <v>584</v>
      </c>
      <c r="E461" s="55">
        <v>26746</v>
      </c>
      <c r="F461" s="112"/>
      <c r="G461" s="68">
        <v>22320.62</v>
      </c>
      <c r="H461" s="112"/>
      <c r="I461" s="338">
        <f t="shared" si="7"/>
        <v>83.45404920361923</v>
      </c>
    </row>
    <row r="462" spans="1:9" ht="18.75" customHeight="1">
      <c r="A462" s="149"/>
      <c r="B462" s="117"/>
      <c r="C462" s="6">
        <v>4220</v>
      </c>
      <c r="D462" s="2" t="s">
        <v>675</v>
      </c>
      <c r="E462" s="55">
        <v>110643</v>
      </c>
      <c r="F462" s="112"/>
      <c r="G462" s="68">
        <v>78171.43</v>
      </c>
      <c r="H462" s="112"/>
      <c r="I462" s="338">
        <f t="shared" si="7"/>
        <v>70.6519436385492</v>
      </c>
    </row>
    <row r="463" spans="1:9" ht="23.25" customHeight="1">
      <c r="A463" s="149"/>
      <c r="B463" s="117"/>
      <c r="C463" s="6">
        <v>4240</v>
      </c>
      <c r="D463" s="2" t="s">
        <v>759</v>
      </c>
      <c r="E463" s="55">
        <v>2436</v>
      </c>
      <c r="F463" s="112"/>
      <c r="G463" s="68">
        <v>2429.95</v>
      </c>
      <c r="H463" s="112"/>
      <c r="I463" s="338">
        <f t="shared" si="7"/>
        <v>99.75164203612479</v>
      </c>
    </row>
    <row r="464" spans="1:9" ht="18.75" customHeight="1">
      <c r="A464" s="149"/>
      <c r="B464" s="117"/>
      <c r="C464" s="6">
        <v>4260</v>
      </c>
      <c r="D464" s="2" t="s">
        <v>591</v>
      </c>
      <c r="E464" s="55">
        <v>105000</v>
      </c>
      <c r="F464" s="112"/>
      <c r="G464" s="68">
        <v>99129.44</v>
      </c>
      <c r="H464" s="112"/>
      <c r="I464" s="338">
        <f t="shared" si="7"/>
        <v>94.40899047619048</v>
      </c>
    </row>
    <row r="465" spans="1:9" ht="17.25" customHeight="1">
      <c r="A465" s="149"/>
      <c r="B465" s="117"/>
      <c r="C465" s="6">
        <v>4270</v>
      </c>
      <c r="D465" s="2" t="s">
        <v>534</v>
      </c>
      <c r="E465" s="55">
        <v>38230</v>
      </c>
      <c r="F465" s="112"/>
      <c r="G465" s="68">
        <v>12886.8</v>
      </c>
      <c r="H465" s="112"/>
      <c r="I465" s="338">
        <f t="shared" si="7"/>
        <v>33.708605806957884</v>
      </c>
    </row>
    <row r="466" spans="1:9" ht="18.75" customHeight="1">
      <c r="A466" s="149"/>
      <c r="B466" s="117"/>
      <c r="C466" s="6">
        <v>4280</v>
      </c>
      <c r="D466" s="40" t="s">
        <v>723</v>
      </c>
      <c r="E466" s="55">
        <v>1200</v>
      </c>
      <c r="F466" s="112"/>
      <c r="G466" s="68">
        <v>911</v>
      </c>
      <c r="H466" s="112"/>
      <c r="I466" s="338">
        <f t="shared" si="7"/>
        <v>75.91666666666667</v>
      </c>
    </row>
    <row r="467" spans="1:9" ht="19.5" customHeight="1">
      <c r="A467" s="149"/>
      <c r="B467" s="117"/>
      <c r="C467" s="6">
        <v>4300</v>
      </c>
      <c r="D467" s="2" t="s">
        <v>569</v>
      </c>
      <c r="E467" s="55">
        <v>33000</v>
      </c>
      <c r="F467" s="112"/>
      <c r="G467" s="68">
        <v>29863.55</v>
      </c>
      <c r="H467" s="112"/>
      <c r="I467" s="338">
        <f t="shared" si="7"/>
        <v>90.49560606060606</v>
      </c>
    </row>
    <row r="468" spans="1:9" ht="18.75" customHeight="1">
      <c r="A468" s="149"/>
      <c r="B468" s="117"/>
      <c r="C468" s="6">
        <v>4350</v>
      </c>
      <c r="D468" s="2" t="s">
        <v>586</v>
      </c>
      <c r="E468" s="55">
        <v>701</v>
      </c>
      <c r="F468" s="112"/>
      <c r="G468" s="68">
        <v>653.26</v>
      </c>
      <c r="H468" s="112"/>
      <c r="I468" s="338">
        <f t="shared" si="7"/>
        <v>93.18972895863052</v>
      </c>
    </row>
    <row r="469" spans="1:9" ht="38.25" customHeight="1">
      <c r="A469" s="149"/>
      <c r="B469" s="117"/>
      <c r="C469" s="6">
        <v>4370</v>
      </c>
      <c r="D469" s="2" t="s">
        <v>767</v>
      </c>
      <c r="E469" s="55">
        <v>2537</v>
      </c>
      <c r="F469" s="112"/>
      <c r="G469" s="68">
        <v>2074.66</v>
      </c>
      <c r="H469" s="112"/>
      <c r="I469" s="338">
        <f t="shared" si="7"/>
        <v>81.7761135199054</v>
      </c>
    </row>
    <row r="470" spans="1:9" ht="28.5" customHeight="1">
      <c r="A470" s="149"/>
      <c r="B470" s="117"/>
      <c r="C470" s="6">
        <v>4390</v>
      </c>
      <c r="D470" s="2" t="s">
        <v>505</v>
      </c>
      <c r="E470" s="55">
        <v>883</v>
      </c>
      <c r="F470" s="112"/>
      <c r="G470" s="68">
        <v>534.76</v>
      </c>
      <c r="H470" s="112"/>
      <c r="I470" s="338">
        <f t="shared" si="7"/>
        <v>60.56172140430351</v>
      </c>
    </row>
    <row r="471" spans="1:9" ht="18.75" customHeight="1">
      <c r="A471" s="149"/>
      <c r="B471" s="117"/>
      <c r="C471" s="6">
        <v>4410</v>
      </c>
      <c r="D471" s="2" t="s">
        <v>580</v>
      </c>
      <c r="E471" s="55">
        <v>1553</v>
      </c>
      <c r="F471" s="112"/>
      <c r="G471" s="68">
        <v>1528.9</v>
      </c>
      <c r="H471" s="112"/>
      <c r="I471" s="338">
        <f t="shared" si="7"/>
        <v>98.44816484224083</v>
      </c>
    </row>
    <row r="472" spans="1:9" ht="19.5" customHeight="1">
      <c r="A472" s="149"/>
      <c r="B472" s="117"/>
      <c r="C472" s="6">
        <v>4430</v>
      </c>
      <c r="D472" s="2" t="s">
        <v>288</v>
      </c>
      <c r="E472" s="55">
        <v>922</v>
      </c>
      <c r="F472" s="112"/>
      <c r="G472" s="68">
        <v>900</v>
      </c>
      <c r="H472" s="112"/>
      <c r="I472" s="338">
        <f t="shared" si="7"/>
        <v>97.61388286334056</v>
      </c>
    </row>
    <row r="473" spans="1:9" ht="24.75" customHeight="1">
      <c r="A473" s="149"/>
      <c r="B473" s="117"/>
      <c r="C473" s="6">
        <v>4440</v>
      </c>
      <c r="D473" s="2" t="s">
        <v>578</v>
      </c>
      <c r="E473" s="55">
        <v>38650</v>
      </c>
      <c r="F473" s="112"/>
      <c r="G473" s="68">
        <v>37784.34</v>
      </c>
      <c r="H473" s="112"/>
      <c r="I473" s="338">
        <f t="shared" si="7"/>
        <v>97.76025873221215</v>
      </c>
    </row>
    <row r="474" spans="1:9" ht="20.25" customHeight="1">
      <c r="A474" s="149"/>
      <c r="B474" s="117"/>
      <c r="C474" s="6">
        <v>4480</v>
      </c>
      <c r="D474" s="2" t="s">
        <v>306</v>
      </c>
      <c r="E474" s="55">
        <v>8415</v>
      </c>
      <c r="F474" s="112"/>
      <c r="G474" s="68">
        <v>8326.08</v>
      </c>
      <c r="H474" s="112"/>
      <c r="I474" s="338">
        <f t="shared" si="7"/>
        <v>98.94331550802139</v>
      </c>
    </row>
    <row r="475" spans="1:9" ht="28.5" customHeight="1">
      <c r="A475" s="149"/>
      <c r="B475" s="117"/>
      <c r="C475" s="6">
        <v>4520</v>
      </c>
      <c r="D475" s="2" t="s">
        <v>92</v>
      </c>
      <c r="E475" s="55">
        <v>16</v>
      </c>
      <c r="F475" s="112"/>
      <c r="G475" s="68">
        <v>15.5</v>
      </c>
      <c r="H475" s="112"/>
      <c r="I475" s="338">
        <f t="shared" si="7"/>
        <v>96.875</v>
      </c>
    </row>
    <row r="476" spans="1:14" ht="28.5" customHeight="1">
      <c r="A476" s="149"/>
      <c r="B476" s="117"/>
      <c r="C476" s="6">
        <v>4700</v>
      </c>
      <c r="D476" s="2" t="s">
        <v>93</v>
      </c>
      <c r="E476" s="55">
        <v>299</v>
      </c>
      <c r="F476" s="112"/>
      <c r="G476" s="68">
        <v>0</v>
      </c>
      <c r="H476" s="112"/>
      <c r="I476" s="338"/>
      <c r="N476" s="73"/>
    </row>
    <row r="477" spans="1:23" s="69" customFormat="1" ht="24.75" customHeight="1">
      <c r="A477" s="150"/>
      <c r="B477" s="61">
        <v>85395</v>
      </c>
      <c r="C477" s="32"/>
      <c r="D477" s="33" t="s">
        <v>593</v>
      </c>
      <c r="E477" s="151">
        <f>SUM(E478:E521)</f>
        <v>7023606.2299999995</v>
      </c>
      <c r="F477" s="132"/>
      <c r="G477" s="151">
        <f>SUM(G478:G521)</f>
        <v>6186188.969999998</v>
      </c>
      <c r="H477" s="132"/>
      <c r="I477" s="338">
        <f t="shared" si="7"/>
        <v>88.07710408902007</v>
      </c>
      <c r="J477" s="447"/>
      <c r="K477" s="635"/>
      <c r="L477" s="635"/>
      <c r="M477" s="635"/>
      <c r="N477" s="635"/>
      <c r="O477" s="636"/>
      <c r="P477" s="636"/>
      <c r="Q477" s="352"/>
      <c r="R477" s="352"/>
      <c r="S477" s="352"/>
      <c r="T477" s="352"/>
      <c r="U477" s="352"/>
      <c r="V477" s="352"/>
      <c r="W477" s="447"/>
    </row>
    <row r="478" spans="1:23" ht="47.25" customHeight="1">
      <c r="A478" s="149"/>
      <c r="B478" s="117"/>
      <c r="C478" s="6">
        <v>2827</v>
      </c>
      <c r="D478" s="2" t="s">
        <v>735</v>
      </c>
      <c r="E478" s="266">
        <v>137396.12</v>
      </c>
      <c r="F478" s="112"/>
      <c r="G478" s="84">
        <v>131562.51</v>
      </c>
      <c r="H478" s="112"/>
      <c r="I478" s="338">
        <f t="shared" si="7"/>
        <v>95.75416685711359</v>
      </c>
      <c r="L478" s="637"/>
      <c r="T478" s="72"/>
      <c r="U478" s="72"/>
      <c r="V478" s="72"/>
      <c r="W478" s="365"/>
    </row>
    <row r="479" spans="1:23" ht="42" customHeight="1">
      <c r="A479" s="149"/>
      <c r="B479" s="117"/>
      <c r="C479" s="6">
        <v>2829</v>
      </c>
      <c r="D479" s="2" t="s">
        <v>735</v>
      </c>
      <c r="E479" s="266">
        <v>24246.38</v>
      </c>
      <c r="F479" s="112"/>
      <c r="G479" s="84">
        <v>23216.92</v>
      </c>
      <c r="H479" s="112"/>
      <c r="I479" s="338">
        <f t="shared" si="7"/>
        <v>95.75417031325912</v>
      </c>
      <c r="L479" s="637"/>
      <c r="T479" s="72"/>
      <c r="U479" s="72"/>
      <c r="V479" s="72"/>
      <c r="W479" s="365"/>
    </row>
    <row r="480" spans="1:23" ht="51.75" customHeight="1">
      <c r="A480" s="149"/>
      <c r="B480" s="117"/>
      <c r="C480" s="6">
        <v>2830</v>
      </c>
      <c r="D480" s="2" t="s">
        <v>485</v>
      </c>
      <c r="E480" s="266">
        <v>13900</v>
      </c>
      <c r="F480" s="112"/>
      <c r="G480" s="84">
        <v>0</v>
      </c>
      <c r="H480" s="112"/>
      <c r="I480" s="338"/>
      <c r="T480" s="72"/>
      <c r="U480" s="72"/>
      <c r="V480" s="72"/>
      <c r="W480" s="365"/>
    </row>
    <row r="481" spans="1:23" ht="29.25" customHeight="1">
      <c r="A481" s="149"/>
      <c r="B481" s="117"/>
      <c r="C481" s="6">
        <v>3027</v>
      </c>
      <c r="D481" s="2" t="s">
        <v>721</v>
      </c>
      <c r="E481" s="55">
        <v>664.8</v>
      </c>
      <c r="F481" s="112"/>
      <c r="G481" s="68">
        <v>135.3</v>
      </c>
      <c r="H481" s="112"/>
      <c r="I481" s="338">
        <f t="shared" si="7"/>
        <v>20.351985559566792</v>
      </c>
      <c r="T481" s="72"/>
      <c r="U481" s="72"/>
      <c r="V481" s="72"/>
      <c r="W481" s="365"/>
    </row>
    <row r="482" spans="1:9" ht="27.75" customHeight="1">
      <c r="A482" s="149"/>
      <c r="B482" s="117"/>
      <c r="C482" s="6">
        <v>3029</v>
      </c>
      <c r="D482" s="2" t="s">
        <v>721</v>
      </c>
      <c r="E482" s="55">
        <v>35.2</v>
      </c>
      <c r="F482" s="112"/>
      <c r="G482" s="68">
        <v>7.16</v>
      </c>
      <c r="H482" s="112"/>
      <c r="I482" s="338">
        <f t="shared" si="7"/>
        <v>20.34090909090909</v>
      </c>
    </row>
    <row r="483" spans="1:9" ht="27.75" customHeight="1">
      <c r="A483" s="149"/>
      <c r="B483" s="117"/>
      <c r="C483" s="6">
        <v>3117</v>
      </c>
      <c r="D483" s="2" t="s">
        <v>737</v>
      </c>
      <c r="E483" s="55">
        <v>225311.11</v>
      </c>
      <c r="F483" s="112"/>
      <c r="G483" s="68">
        <v>222932.86</v>
      </c>
      <c r="H483" s="112"/>
      <c r="I483" s="338">
        <f t="shared" si="7"/>
        <v>98.94445950756712</v>
      </c>
    </row>
    <row r="484" spans="1:9" ht="21" customHeight="1">
      <c r="A484" s="149"/>
      <c r="B484" s="117"/>
      <c r="C484" s="6">
        <v>3119</v>
      </c>
      <c r="D484" s="2" t="s">
        <v>737</v>
      </c>
      <c r="E484" s="55">
        <v>209984.04</v>
      </c>
      <c r="F484" s="112"/>
      <c r="G484" s="68">
        <v>182661.02</v>
      </c>
      <c r="H484" s="112"/>
      <c r="I484" s="338">
        <f t="shared" si="7"/>
        <v>86.9880491869763</v>
      </c>
    </row>
    <row r="485" spans="1:9" ht="19.5" customHeight="1">
      <c r="A485" s="149"/>
      <c r="B485" s="117"/>
      <c r="C485" s="6">
        <v>4017</v>
      </c>
      <c r="D485" s="2" t="s">
        <v>572</v>
      </c>
      <c r="E485" s="55">
        <f>1070996.29-1200</f>
        <v>1069796.29</v>
      </c>
      <c r="F485" s="112"/>
      <c r="G485" s="68">
        <v>1001633.91</v>
      </c>
      <c r="H485" s="112"/>
      <c r="I485" s="338">
        <f t="shared" si="7"/>
        <v>93.6284710802278</v>
      </c>
    </row>
    <row r="486" spans="1:9" ht="19.5" customHeight="1">
      <c r="A486" s="149"/>
      <c r="B486" s="117"/>
      <c r="C486" s="6">
        <v>4019</v>
      </c>
      <c r="D486" s="2" t="s">
        <v>572</v>
      </c>
      <c r="E486" s="55">
        <f>93280.64-300</f>
        <v>92980.64</v>
      </c>
      <c r="F486" s="112"/>
      <c r="G486" s="68">
        <v>88219.33</v>
      </c>
      <c r="H486" s="112"/>
      <c r="I486" s="338">
        <f t="shared" si="7"/>
        <v>94.87924583009969</v>
      </c>
    </row>
    <row r="487" spans="1:9" ht="16.5" customHeight="1">
      <c r="A487" s="149"/>
      <c r="B487" s="117"/>
      <c r="C487" s="6">
        <v>4117</v>
      </c>
      <c r="D487" s="2" t="s">
        <v>576</v>
      </c>
      <c r="E487" s="55">
        <f>238405.74+1500</f>
        <v>239905.74</v>
      </c>
      <c r="F487" s="112"/>
      <c r="G487" s="68">
        <v>225031.03</v>
      </c>
      <c r="H487" s="112"/>
      <c r="I487" s="338">
        <f t="shared" si="7"/>
        <v>93.7997690259516</v>
      </c>
    </row>
    <row r="488" spans="1:9" ht="16.5" customHeight="1">
      <c r="A488" s="149"/>
      <c r="B488" s="117"/>
      <c r="C488" s="6">
        <v>4119</v>
      </c>
      <c r="D488" s="2" t="s">
        <v>576</v>
      </c>
      <c r="E488" s="55">
        <v>15440.38</v>
      </c>
      <c r="F488" s="112"/>
      <c r="G488" s="68">
        <v>13563.55</v>
      </c>
      <c r="H488" s="112"/>
      <c r="I488" s="338">
        <f t="shared" si="7"/>
        <v>87.84466444478699</v>
      </c>
    </row>
    <row r="489" spans="1:9" ht="15" customHeight="1">
      <c r="A489" s="149"/>
      <c r="B489" s="117"/>
      <c r="C489" s="6">
        <v>4127</v>
      </c>
      <c r="D489" s="2" t="s">
        <v>577</v>
      </c>
      <c r="E489" s="55">
        <v>32429.18</v>
      </c>
      <c r="F489" s="112"/>
      <c r="G489" s="68">
        <v>26328.22</v>
      </c>
      <c r="H489" s="112"/>
      <c r="I489" s="338">
        <f t="shared" si="7"/>
        <v>81.1868200182675</v>
      </c>
    </row>
    <row r="490" spans="1:9" ht="15" customHeight="1">
      <c r="A490" s="149"/>
      <c r="B490" s="117"/>
      <c r="C490" s="6">
        <v>4129</v>
      </c>
      <c r="D490" s="2" t="s">
        <v>577</v>
      </c>
      <c r="E490" s="55">
        <v>2236.38</v>
      </c>
      <c r="F490" s="112"/>
      <c r="G490" s="68">
        <v>1636.17</v>
      </c>
      <c r="H490" s="112"/>
      <c r="I490" s="338">
        <f t="shared" si="7"/>
        <v>73.16153784240603</v>
      </c>
    </row>
    <row r="491" spans="1:9" ht="14.25" customHeight="1">
      <c r="A491" s="149"/>
      <c r="B491" s="117"/>
      <c r="C491" s="6">
        <v>4177</v>
      </c>
      <c r="D491" s="2" t="s">
        <v>583</v>
      </c>
      <c r="E491" s="55">
        <v>679702.3</v>
      </c>
      <c r="F491" s="112"/>
      <c r="G491" s="68">
        <v>635269.07</v>
      </c>
      <c r="H491" s="112"/>
      <c r="I491" s="338">
        <f t="shared" si="7"/>
        <v>93.4628395401928</v>
      </c>
    </row>
    <row r="492" spans="1:9" ht="17.25" customHeight="1">
      <c r="A492" s="149"/>
      <c r="B492" s="117"/>
      <c r="C492" s="6">
        <v>4179</v>
      </c>
      <c r="D492" s="2" t="s">
        <v>583</v>
      </c>
      <c r="E492" s="55">
        <v>24982.31</v>
      </c>
      <c r="F492" s="112"/>
      <c r="G492" s="68">
        <v>23496.01</v>
      </c>
      <c r="H492" s="112"/>
      <c r="I492" s="338">
        <f t="shared" si="7"/>
        <v>94.05059019762383</v>
      </c>
    </row>
    <row r="493" spans="1:9" ht="16.5" customHeight="1">
      <c r="A493" s="149"/>
      <c r="B493" s="117"/>
      <c r="C493" s="6">
        <v>4210</v>
      </c>
      <c r="D493" s="2" t="s">
        <v>584</v>
      </c>
      <c r="E493" s="55">
        <v>20000</v>
      </c>
      <c r="F493" s="112"/>
      <c r="G493" s="68">
        <v>18359.13</v>
      </c>
      <c r="H493" s="112"/>
      <c r="I493" s="338">
        <f t="shared" si="7"/>
        <v>91.79565000000001</v>
      </c>
    </row>
    <row r="494" spans="1:9" ht="15.75" customHeight="1">
      <c r="A494" s="149"/>
      <c r="B494" s="117"/>
      <c r="C494" s="6">
        <v>4217</v>
      </c>
      <c r="D494" s="2" t="s">
        <v>584</v>
      </c>
      <c r="E494" s="55">
        <f>289884.89-1500</f>
        <v>288384.89</v>
      </c>
      <c r="F494" s="112"/>
      <c r="G494" s="68">
        <v>229112.39</v>
      </c>
      <c r="H494" s="112"/>
      <c r="I494" s="338">
        <f t="shared" si="7"/>
        <v>79.44673869702396</v>
      </c>
    </row>
    <row r="495" spans="1:9" ht="14.25" customHeight="1">
      <c r="A495" s="149"/>
      <c r="B495" s="117"/>
      <c r="C495" s="6">
        <v>4219</v>
      </c>
      <c r="D495" s="2" t="s">
        <v>584</v>
      </c>
      <c r="E495" s="55">
        <v>24168.95</v>
      </c>
      <c r="F495" s="112"/>
      <c r="G495" s="68">
        <v>19938.13</v>
      </c>
      <c r="H495" s="112"/>
      <c r="I495" s="338">
        <f t="shared" si="7"/>
        <v>82.49481255908925</v>
      </c>
    </row>
    <row r="496" spans="1:9" ht="28.5" customHeight="1">
      <c r="A496" s="149"/>
      <c r="B496" s="117"/>
      <c r="C496" s="6">
        <v>4247</v>
      </c>
      <c r="D496" s="2" t="s">
        <v>759</v>
      </c>
      <c r="E496" s="55">
        <v>264970.21</v>
      </c>
      <c r="F496" s="112"/>
      <c r="G496" s="68">
        <v>213334.73</v>
      </c>
      <c r="H496" s="112"/>
      <c r="I496" s="338">
        <f t="shared" si="7"/>
        <v>80.51272254341346</v>
      </c>
    </row>
    <row r="497" spans="1:9" ht="27.75" customHeight="1">
      <c r="A497" s="149"/>
      <c r="B497" s="117"/>
      <c r="C497" s="6">
        <v>4249</v>
      </c>
      <c r="D497" s="2" t="s">
        <v>759</v>
      </c>
      <c r="E497" s="55">
        <v>33098.16</v>
      </c>
      <c r="F497" s="112"/>
      <c r="G497" s="68">
        <v>27335.84</v>
      </c>
      <c r="H497" s="112"/>
      <c r="I497" s="338">
        <f t="shared" si="7"/>
        <v>82.5902104527865</v>
      </c>
    </row>
    <row r="498" spans="1:9" ht="14.25" customHeight="1">
      <c r="A498" s="149"/>
      <c r="B498" s="117"/>
      <c r="C498" s="6">
        <v>4267</v>
      </c>
      <c r="D498" s="2" t="s">
        <v>591</v>
      </c>
      <c r="E498" s="55">
        <v>23743.03</v>
      </c>
      <c r="F498" s="112"/>
      <c r="G498" s="68">
        <v>19617.53</v>
      </c>
      <c r="H498" s="112"/>
      <c r="I498" s="338">
        <f t="shared" si="7"/>
        <v>82.62437439534887</v>
      </c>
    </row>
    <row r="499" spans="1:9" ht="14.25" customHeight="1">
      <c r="A499" s="149"/>
      <c r="B499" s="117"/>
      <c r="C499" s="6">
        <v>4269</v>
      </c>
      <c r="D499" s="2" t="s">
        <v>591</v>
      </c>
      <c r="E499" s="55">
        <v>1256.98</v>
      </c>
      <c r="F499" s="112"/>
      <c r="G499" s="68">
        <v>1038.56</v>
      </c>
      <c r="H499" s="112"/>
      <c r="I499" s="338">
        <f t="shared" si="7"/>
        <v>82.62343076262152</v>
      </c>
    </row>
    <row r="500" spans="1:9" ht="14.25" customHeight="1">
      <c r="A500" s="149"/>
      <c r="B500" s="117"/>
      <c r="C500" s="6">
        <v>4277</v>
      </c>
      <c r="D500" s="2" t="s">
        <v>534</v>
      </c>
      <c r="E500" s="55">
        <v>65698.33</v>
      </c>
      <c r="F500" s="112"/>
      <c r="G500" s="68">
        <v>5698.33</v>
      </c>
      <c r="H500" s="112"/>
      <c r="I500" s="338">
        <f t="shared" si="7"/>
        <v>8.673477697226094</v>
      </c>
    </row>
    <row r="501" spans="1:9" ht="14.25" customHeight="1">
      <c r="A501" s="149"/>
      <c r="B501" s="117"/>
      <c r="C501" s="6">
        <v>4279</v>
      </c>
      <c r="D501" s="2" t="s">
        <v>534</v>
      </c>
      <c r="E501" s="55">
        <v>301.67</v>
      </c>
      <c r="F501" s="112"/>
      <c r="G501" s="68">
        <v>301.67</v>
      </c>
      <c r="H501" s="112"/>
      <c r="I501" s="338">
        <f t="shared" si="7"/>
        <v>100</v>
      </c>
    </row>
    <row r="502" spans="1:9" ht="14.25" customHeight="1">
      <c r="A502" s="149"/>
      <c r="B502" s="117"/>
      <c r="C502" s="6">
        <v>4287</v>
      </c>
      <c r="D502" s="2" t="s">
        <v>723</v>
      </c>
      <c r="E502" s="55">
        <v>18373.3</v>
      </c>
      <c r="F502" s="112"/>
      <c r="G502" s="68">
        <v>16173.75</v>
      </c>
      <c r="H502" s="112"/>
      <c r="I502" s="338">
        <f t="shared" si="7"/>
        <v>88.02855230143741</v>
      </c>
    </row>
    <row r="503" spans="1:9" ht="14.25" customHeight="1">
      <c r="A503" s="149"/>
      <c r="B503" s="117"/>
      <c r="C503" s="6">
        <v>4289</v>
      </c>
      <c r="D503" s="2" t="s">
        <v>723</v>
      </c>
      <c r="E503" s="55">
        <v>972.7</v>
      </c>
      <c r="F503" s="112"/>
      <c r="G503" s="68">
        <v>856.25</v>
      </c>
      <c r="H503" s="112"/>
      <c r="I503" s="338">
        <f t="shared" si="7"/>
        <v>88.0281690140845</v>
      </c>
    </row>
    <row r="504" spans="1:9" ht="15.75" customHeight="1">
      <c r="A504" s="149"/>
      <c r="B504" s="117"/>
      <c r="C504" s="6">
        <v>4300</v>
      </c>
      <c r="D504" s="2" t="s">
        <v>287</v>
      </c>
      <c r="E504" s="55">
        <v>23000</v>
      </c>
      <c r="F504" s="112"/>
      <c r="G504" s="68">
        <v>21356</v>
      </c>
      <c r="H504" s="112"/>
      <c r="I504" s="338">
        <f t="shared" si="7"/>
        <v>92.85217391304347</v>
      </c>
    </row>
    <row r="505" spans="1:9" ht="15.75" customHeight="1">
      <c r="A505" s="149"/>
      <c r="B505" s="117"/>
      <c r="C505" s="6">
        <v>4307</v>
      </c>
      <c r="D505" s="2" t="s">
        <v>730</v>
      </c>
      <c r="E505" s="55">
        <f>1476955.6+1200</f>
        <v>1478155.6</v>
      </c>
      <c r="F505" s="112"/>
      <c r="G505" s="68">
        <v>1133091.95</v>
      </c>
      <c r="H505" s="112"/>
      <c r="I505" s="338">
        <f t="shared" si="7"/>
        <v>76.65579658866766</v>
      </c>
    </row>
    <row r="506" spans="1:9" ht="15.75" customHeight="1">
      <c r="A506" s="149"/>
      <c r="B506" s="117"/>
      <c r="C506" s="6">
        <v>4309</v>
      </c>
      <c r="D506" s="2" t="s">
        <v>730</v>
      </c>
      <c r="E506" s="55">
        <f>209940.32+300</f>
        <v>210240.32</v>
      </c>
      <c r="F506" s="112"/>
      <c r="G506" s="68">
        <v>169332.49</v>
      </c>
      <c r="H506" s="112"/>
      <c r="I506" s="338">
        <f t="shared" si="7"/>
        <v>80.54234791880073</v>
      </c>
    </row>
    <row r="507" spans="1:9" ht="42.75" customHeight="1">
      <c r="A507" s="149"/>
      <c r="B507" s="117"/>
      <c r="C507" s="6">
        <v>4367</v>
      </c>
      <c r="D507" s="2" t="s">
        <v>768</v>
      </c>
      <c r="E507" s="55">
        <v>2167.04</v>
      </c>
      <c r="F507" s="112"/>
      <c r="G507" s="68">
        <v>1867.04</v>
      </c>
      <c r="H507" s="112"/>
      <c r="I507" s="338">
        <f t="shared" si="7"/>
        <v>86.15623154164206</v>
      </c>
    </row>
    <row r="508" spans="1:9" ht="40.5" customHeight="1">
      <c r="A508" s="149"/>
      <c r="B508" s="117"/>
      <c r="C508" s="6">
        <v>4369</v>
      </c>
      <c r="D508" s="2" t="s">
        <v>768</v>
      </c>
      <c r="E508" s="55">
        <v>82.96</v>
      </c>
      <c r="F508" s="112"/>
      <c r="G508" s="68">
        <v>82.96</v>
      </c>
      <c r="H508" s="112"/>
      <c r="I508" s="338">
        <f t="shared" si="7"/>
        <v>100</v>
      </c>
    </row>
    <row r="509" spans="1:9" ht="42" customHeight="1">
      <c r="A509" s="149"/>
      <c r="B509" s="117"/>
      <c r="C509" s="6">
        <v>4377</v>
      </c>
      <c r="D509" s="2" t="s">
        <v>767</v>
      </c>
      <c r="E509" s="55">
        <v>4748.6</v>
      </c>
      <c r="F509" s="112"/>
      <c r="G509" s="68">
        <v>2739.22</v>
      </c>
      <c r="H509" s="112"/>
      <c r="I509" s="338">
        <f t="shared" si="7"/>
        <v>57.6847913069115</v>
      </c>
    </row>
    <row r="510" spans="1:9" ht="42.75" customHeight="1">
      <c r="A510" s="149"/>
      <c r="B510" s="117"/>
      <c r="C510" s="6">
        <v>4379</v>
      </c>
      <c r="D510" s="2" t="s">
        <v>767</v>
      </c>
      <c r="E510" s="55">
        <v>251.4</v>
      </c>
      <c r="F510" s="112"/>
      <c r="G510" s="68">
        <v>145.02</v>
      </c>
      <c r="H510" s="112"/>
      <c r="I510" s="338">
        <f t="shared" si="7"/>
        <v>57.68496420047733</v>
      </c>
    </row>
    <row r="511" spans="1:9" ht="14.25" customHeight="1">
      <c r="A511" s="149"/>
      <c r="B511" s="117"/>
      <c r="C511" s="6">
        <v>4417</v>
      </c>
      <c r="D511" s="2" t="s">
        <v>580</v>
      </c>
      <c r="E511" s="55">
        <v>13149.93</v>
      </c>
      <c r="F511" s="112"/>
      <c r="G511" s="68">
        <v>6932.18</v>
      </c>
      <c r="H511" s="112"/>
      <c r="I511" s="338">
        <f aca="true" t="shared" si="8" ref="I511:I516">G511/E511*100</f>
        <v>52.71647833866796</v>
      </c>
    </row>
    <row r="512" spans="1:9" ht="14.25" customHeight="1">
      <c r="A512" s="149"/>
      <c r="B512" s="117"/>
      <c r="C512" s="6">
        <v>4419</v>
      </c>
      <c r="D512" s="2" t="s">
        <v>580</v>
      </c>
      <c r="E512" s="55">
        <v>246.37</v>
      </c>
      <c r="F512" s="112"/>
      <c r="G512" s="68">
        <v>88.35</v>
      </c>
      <c r="H512" s="112"/>
      <c r="I512" s="338">
        <f t="shared" si="8"/>
        <v>35.86069732516134</v>
      </c>
    </row>
    <row r="513" spans="1:9" ht="14.25" customHeight="1">
      <c r="A513" s="149"/>
      <c r="B513" s="117"/>
      <c r="C513" s="6">
        <v>4437</v>
      </c>
      <c r="D513" s="2" t="s">
        <v>288</v>
      </c>
      <c r="E513" s="55">
        <v>20233.81</v>
      </c>
      <c r="F513" s="112"/>
      <c r="G513" s="68">
        <v>14194.89</v>
      </c>
      <c r="H513" s="112"/>
      <c r="I513" s="338">
        <f t="shared" si="8"/>
        <v>70.15431102693955</v>
      </c>
    </row>
    <row r="514" spans="1:9" ht="14.25" customHeight="1">
      <c r="A514" s="149"/>
      <c r="B514" s="117"/>
      <c r="C514" s="6">
        <v>4439</v>
      </c>
      <c r="D514" s="2" t="s">
        <v>288</v>
      </c>
      <c r="E514" s="55">
        <v>1071.19</v>
      </c>
      <c r="F514" s="112"/>
      <c r="G514" s="68">
        <v>750.69</v>
      </c>
      <c r="H514" s="112"/>
      <c r="I514" s="338">
        <f t="shared" si="8"/>
        <v>70.08000448099777</v>
      </c>
    </row>
    <row r="515" spans="1:9" ht="27.75" customHeight="1">
      <c r="A515" s="149"/>
      <c r="B515" s="117"/>
      <c r="C515" s="6">
        <v>4447</v>
      </c>
      <c r="D515" s="2" t="s">
        <v>578</v>
      </c>
      <c r="E515" s="55">
        <v>5223.47</v>
      </c>
      <c r="F515" s="112"/>
      <c r="G515" s="68">
        <v>3895.98</v>
      </c>
      <c r="H515" s="112"/>
      <c r="I515" s="338">
        <f t="shared" si="8"/>
        <v>74.58605103503993</v>
      </c>
    </row>
    <row r="516" spans="1:9" ht="31.5" customHeight="1">
      <c r="A516" s="149"/>
      <c r="B516" s="117"/>
      <c r="C516" s="6">
        <v>4449</v>
      </c>
      <c r="D516" s="2" t="s">
        <v>578</v>
      </c>
      <c r="E516" s="55">
        <v>276.53</v>
      </c>
      <c r="F516" s="112"/>
      <c r="G516" s="68">
        <v>206.26</v>
      </c>
      <c r="H516" s="112"/>
      <c r="I516" s="338">
        <f t="shared" si="8"/>
        <v>74.58865222579828</v>
      </c>
    </row>
    <row r="517" spans="1:9" ht="28.5" customHeight="1">
      <c r="A517" s="149"/>
      <c r="B517" s="117"/>
      <c r="C517" s="6">
        <v>4707</v>
      </c>
      <c r="D517" s="2" t="s">
        <v>93</v>
      </c>
      <c r="E517" s="55">
        <v>67000</v>
      </c>
      <c r="F517" s="112"/>
      <c r="G517" s="68">
        <v>65943</v>
      </c>
      <c r="H517" s="112"/>
      <c r="I517" s="338">
        <f aca="true" t="shared" si="9" ref="I517:I574">G517/E517*100</f>
        <v>98.42238805970149</v>
      </c>
    </row>
    <row r="518" spans="1:9" ht="30" customHeight="1">
      <c r="A518" s="149"/>
      <c r="B518" s="117"/>
      <c r="C518" s="6">
        <v>6067</v>
      </c>
      <c r="D518" s="2" t="s">
        <v>598</v>
      </c>
      <c r="E518" s="55">
        <v>118345.98</v>
      </c>
      <c r="F518" s="112"/>
      <c r="G518" s="68">
        <v>79064.97</v>
      </c>
      <c r="H518" s="112"/>
      <c r="I518" s="338">
        <f t="shared" si="9"/>
        <v>66.80832758324364</v>
      </c>
    </row>
    <row r="519" spans="1:9" ht="27.75" customHeight="1">
      <c r="A519" s="149"/>
      <c r="B519" s="117"/>
      <c r="C519" s="6">
        <v>6069</v>
      </c>
      <c r="D519" s="2" t="s">
        <v>598</v>
      </c>
      <c r="E519" s="55">
        <v>6064.02</v>
      </c>
      <c r="F519" s="112"/>
      <c r="G519" s="68">
        <v>5841.14</v>
      </c>
      <c r="H519" s="112"/>
      <c r="I519" s="338">
        <f t="shared" si="9"/>
        <v>96.32455038077052</v>
      </c>
    </row>
    <row r="520" spans="1:9" ht="66" customHeight="1">
      <c r="A520" s="149"/>
      <c r="B520" s="117"/>
      <c r="C520" s="6">
        <v>6237</v>
      </c>
      <c r="D520" s="39" t="s">
        <v>635</v>
      </c>
      <c r="E520" s="55">
        <v>1328864.43</v>
      </c>
      <c r="F520" s="112"/>
      <c r="G520" s="68">
        <v>1320217.83</v>
      </c>
      <c r="H520" s="112"/>
      <c r="I520" s="338">
        <f t="shared" si="9"/>
        <v>99.34932414437492</v>
      </c>
    </row>
    <row r="521" spans="1:9" ht="66" customHeight="1">
      <c r="A521" s="149"/>
      <c r="B521" s="117"/>
      <c r="C521" s="6">
        <v>6239</v>
      </c>
      <c r="D521" s="39" t="s">
        <v>635</v>
      </c>
      <c r="E521" s="55">
        <v>234505.49</v>
      </c>
      <c r="F521" s="112"/>
      <c r="G521" s="68">
        <v>232979.63</v>
      </c>
      <c r="H521" s="112"/>
      <c r="I521" s="338">
        <f t="shared" si="9"/>
        <v>99.34932866603678</v>
      </c>
    </row>
    <row r="522" spans="1:9" ht="24.75" customHeight="1">
      <c r="A522" s="56">
        <v>854</v>
      </c>
      <c r="B522" s="17"/>
      <c r="C522" s="16"/>
      <c r="D522" s="44" t="s">
        <v>309</v>
      </c>
      <c r="E522" s="45">
        <f>E523+E538+E543</f>
        <v>3033556.95</v>
      </c>
      <c r="F522" s="134"/>
      <c r="G522" s="45">
        <f>G523+G538+G543</f>
        <v>2751023.52</v>
      </c>
      <c r="H522" s="134"/>
      <c r="I522" s="339">
        <f t="shared" si="9"/>
        <v>90.68639769561602</v>
      </c>
    </row>
    <row r="523" spans="1:9" ht="21.75" customHeight="1">
      <c r="A523" s="57"/>
      <c r="B523" s="31">
        <v>85401</v>
      </c>
      <c r="C523" s="32"/>
      <c r="D523" s="33" t="s">
        <v>682</v>
      </c>
      <c r="E523" s="52">
        <f>SUM(E524:E537)</f>
        <v>1901937</v>
      </c>
      <c r="F523" s="130"/>
      <c r="G523" s="124">
        <f>SUM(G524:G537)</f>
        <v>1873250.4400000002</v>
      </c>
      <c r="H523" s="130"/>
      <c r="I523" s="338">
        <f t="shared" si="9"/>
        <v>98.49171870571949</v>
      </c>
    </row>
    <row r="524" spans="1:9" ht="28.5" customHeight="1">
      <c r="A524" s="58"/>
      <c r="B524" s="15"/>
      <c r="C524" s="6">
        <v>3020</v>
      </c>
      <c r="D524" s="2" t="s">
        <v>721</v>
      </c>
      <c r="E524" s="120">
        <v>27099</v>
      </c>
      <c r="F524" s="112"/>
      <c r="G524" s="119">
        <v>26040.32</v>
      </c>
      <c r="H524" s="112"/>
      <c r="I524" s="338">
        <f t="shared" si="9"/>
        <v>96.09328757518728</v>
      </c>
    </row>
    <row r="525" spans="1:9" ht="18" customHeight="1">
      <c r="A525" s="58"/>
      <c r="B525" s="15"/>
      <c r="C525" s="6">
        <v>4010</v>
      </c>
      <c r="D525" s="2" t="s">
        <v>572</v>
      </c>
      <c r="E525" s="55">
        <v>1360238</v>
      </c>
      <c r="F525" s="112"/>
      <c r="G525" s="68">
        <v>1344550.33</v>
      </c>
      <c r="H525" s="112"/>
      <c r="I525" s="338">
        <f t="shared" si="9"/>
        <v>98.84669668102201</v>
      </c>
    </row>
    <row r="526" spans="1:9" ht="15" customHeight="1">
      <c r="A526" s="58"/>
      <c r="B526" s="15"/>
      <c r="C526" s="6">
        <v>4040</v>
      </c>
      <c r="D526" s="2" t="s">
        <v>575</v>
      </c>
      <c r="E526" s="55">
        <v>99953</v>
      </c>
      <c r="F526" s="112"/>
      <c r="G526" s="68">
        <v>99947.36</v>
      </c>
      <c r="H526" s="112"/>
      <c r="I526" s="338">
        <f t="shared" si="9"/>
        <v>99.99435734795354</v>
      </c>
    </row>
    <row r="527" spans="1:9" ht="15" customHeight="1">
      <c r="A527" s="58"/>
      <c r="B527" s="15"/>
      <c r="C527" s="6">
        <v>4110</v>
      </c>
      <c r="D527" s="2" t="s">
        <v>576</v>
      </c>
      <c r="E527" s="55">
        <v>228258</v>
      </c>
      <c r="F527" s="112"/>
      <c r="G527" s="68">
        <v>225106.72</v>
      </c>
      <c r="H527" s="112"/>
      <c r="I527" s="338">
        <f t="shared" si="9"/>
        <v>98.61942188225605</v>
      </c>
    </row>
    <row r="528" spans="1:9" ht="15" customHeight="1">
      <c r="A528" s="58"/>
      <c r="B528" s="15"/>
      <c r="C528" s="6">
        <v>4120</v>
      </c>
      <c r="D528" s="2" t="s">
        <v>577</v>
      </c>
      <c r="E528" s="55">
        <v>30986</v>
      </c>
      <c r="F528" s="112"/>
      <c r="G528" s="68">
        <v>29060.9</v>
      </c>
      <c r="H528" s="112"/>
      <c r="I528" s="338">
        <f t="shared" si="9"/>
        <v>93.78719421674305</v>
      </c>
    </row>
    <row r="529" spans="1:9" ht="15" customHeight="1">
      <c r="A529" s="58"/>
      <c r="B529" s="15"/>
      <c r="C529" s="6">
        <v>4170</v>
      </c>
      <c r="D529" s="2" t="s">
        <v>583</v>
      </c>
      <c r="E529" s="55">
        <v>300</v>
      </c>
      <c r="F529" s="112"/>
      <c r="G529" s="68">
        <v>47.85</v>
      </c>
      <c r="H529" s="112"/>
      <c r="I529" s="338">
        <f t="shared" si="9"/>
        <v>15.950000000000001</v>
      </c>
    </row>
    <row r="530" spans="1:9" ht="15" customHeight="1">
      <c r="A530" s="58"/>
      <c r="B530" s="15"/>
      <c r="C530" s="20">
        <v>4210</v>
      </c>
      <c r="D530" s="2" t="s">
        <v>584</v>
      </c>
      <c r="E530" s="55">
        <v>9625</v>
      </c>
      <c r="F530" s="112"/>
      <c r="G530" s="68">
        <v>9000.48</v>
      </c>
      <c r="H530" s="112"/>
      <c r="I530" s="338">
        <f t="shared" si="9"/>
        <v>93.51148051948051</v>
      </c>
    </row>
    <row r="531" spans="1:9" ht="25.5" customHeight="1">
      <c r="A531" s="58"/>
      <c r="B531" s="15"/>
      <c r="C531" s="6">
        <v>4240</v>
      </c>
      <c r="D531" s="2" t="s">
        <v>759</v>
      </c>
      <c r="E531" s="55">
        <v>2832</v>
      </c>
      <c r="F531" s="112"/>
      <c r="G531" s="68">
        <v>2647.63</v>
      </c>
      <c r="H531" s="112"/>
      <c r="I531" s="338">
        <f t="shared" si="9"/>
        <v>93.48975988700565</v>
      </c>
    </row>
    <row r="532" spans="1:9" ht="15" customHeight="1">
      <c r="A532" s="58"/>
      <c r="B532" s="15"/>
      <c r="C532" s="6">
        <v>4260</v>
      </c>
      <c r="D532" s="2" t="s">
        <v>591</v>
      </c>
      <c r="E532" s="55">
        <v>40077</v>
      </c>
      <c r="F532" s="112"/>
      <c r="G532" s="68">
        <v>38295.6</v>
      </c>
      <c r="H532" s="112"/>
      <c r="I532" s="338">
        <f t="shared" si="9"/>
        <v>95.55505651620629</v>
      </c>
    </row>
    <row r="533" spans="1:9" ht="15" customHeight="1">
      <c r="A533" s="58"/>
      <c r="B533" s="15"/>
      <c r="C533" s="6">
        <v>4280</v>
      </c>
      <c r="D533" s="2" t="s">
        <v>723</v>
      </c>
      <c r="E533" s="55">
        <v>1045</v>
      </c>
      <c r="F533" s="112"/>
      <c r="G533" s="68">
        <v>642.5</v>
      </c>
      <c r="H533" s="112"/>
      <c r="I533" s="338">
        <f t="shared" si="9"/>
        <v>61.48325358851675</v>
      </c>
    </row>
    <row r="534" spans="1:9" ht="15" customHeight="1">
      <c r="A534" s="58"/>
      <c r="B534" s="15"/>
      <c r="C534" s="6">
        <v>4300</v>
      </c>
      <c r="D534" s="2" t="s">
        <v>730</v>
      </c>
      <c r="E534" s="55">
        <v>2460</v>
      </c>
      <c r="F534" s="112"/>
      <c r="G534" s="68">
        <v>967.52</v>
      </c>
      <c r="H534" s="112"/>
      <c r="I534" s="338">
        <f t="shared" si="9"/>
        <v>39.330081300813006</v>
      </c>
    </row>
    <row r="535" spans="1:9" ht="15" customHeight="1">
      <c r="A535" s="58"/>
      <c r="B535" s="15"/>
      <c r="C535" s="6">
        <v>4410</v>
      </c>
      <c r="D535" s="2" t="s">
        <v>580</v>
      </c>
      <c r="E535" s="55">
        <v>100</v>
      </c>
      <c r="F535" s="112"/>
      <c r="G535" s="68">
        <v>0</v>
      </c>
      <c r="H535" s="112"/>
      <c r="I535" s="338">
        <f t="shared" si="9"/>
        <v>0</v>
      </c>
    </row>
    <row r="536" spans="1:9" ht="15" customHeight="1">
      <c r="A536" s="58"/>
      <c r="B536" s="15"/>
      <c r="C536" s="6">
        <v>4430</v>
      </c>
      <c r="D536" s="2" t="s">
        <v>288</v>
      </c>
      <c r="E536" s="55">
        <v>162</v>
      </c>
      <c r="F536" s="112"/>
      <c r="G536" s="68">
        <v>0</v>
      </c>
      <c r="H536" s="112"/>
      <c r="I536" s="338">
        <f t="shared" si="9"/>
        <v>0</v>
      </c>
    </row>
    <row r="537" spans="1:9" ht="27" customHeight="1">
      <c r="A537" s="58"/>
      <c r="B537" s="15"/>
      <c r="C537" s="6">
        <v>4440</v>
      </c>
      <c r="D537" s="2" t="s">
        <v>578</v>
      </c>
      <c r="E537" s="55">
        <v>98802</v>
      </c>
      <c r="F537" s="112"/>
      <c r="G537" s="68">
        <v>96943.23</v>
      </c>
      <c r="H537" s="112"/>
      <c r="I537" s="338">
        <f t="shared" si="9"/>
        <v>98.11869192931317</v>
      </c>
    </row>
    <row r="538" spans="1:9" ht="25.5" customHeight="1">
      <c r="A538" s="58"/>
      <c r="B538" s="36">
        <v>85415</v>
      </c>
      <c r="C538" s="13"/>
      <c r="D538" s="33" t="s">
        <v>444</v>
      </c>
      <c r="E538" s="52">
        <f>SUM(E539:E542)</f>
        <v>1120613.95</v>
      </c>
      <c r="F538" s="112"/>
      <c r="G538" s="52">
        <f>SUM(G539:G542)</f>
        <v>872427.51</v>
      </c>
      <c r="H538" s="112"/>
      <c r="I538" s="338">
        <f t="shared" si="9"/>
        <v>77.8526369406699</v>
      </c>
    </row>
    <row r="539" spans="1:9" ht="29.25" customHeight="1">
      <c r="A539" s="59"/>
      <c r="B539" s="42"/>
      <c r="C539" s="13">
        <v>2540</v>
      </c>
      <c r="D539" s="2" t="s">
        <v>725</v>
      </c>
      <c r="E539" s="120">
        <v>634.14</v>
      </c>
      <c r="F539" s="112"/>
      <c r="G539" s="119">
        <v>634.14</v>
      </c>
      <c r="H539" s="112"/>
      <c r="I539" s="338">
        <f t="shared" si="9"/>
        <v>100</v>
      </c>
    </row>
    <row r="540" spans="1:9" ht="81" customHeight="1">
      <c r="A540" s="59"/>
      <c r="B540" s="43"/>
      <c r="C540" s="13">
        <v>2910</v>
      </c>
      <c r="D540" s="2" t="s">
        <v>440</v>
      </c>
      <c r="E540" s="120">
        <v>0.95</v>
      </c>
      <c r="F540" s="112"/>
      <c r="G540" s="119">
        <v>0.95</v>
      </c>
      <c r="H540" s="112"/>
      <c r="I540" s="338">
        <f t="shared" si="9"/>
        <v>100</v>
      </c>
    </row>
    <row r="541" spans="1:9" ht="18.75" customHeight="1">
      <c r="A541" s="59"/>
      <c r="B541" s="43"/>
      <c r="C541" s="13">
        <v>3240</v>
      </c>
      <c r="D541" s="2" t="s">
        <v>683</v>
      </c>
      <c r="E541" s="120">
        <v>940620</v>
      </c>
      <c r="F541" s="112"/>
      <c r="G541" s="119">
        <f>743857.8-49996</f>
        <v>693861.8</v>
      </c>
      <c r="H541" s="112"/>
      <c r="I541" s="338">
        <f t="shared" si="9"/>
        <v>73.76643065212308</v>
      </c>
    </row>
    <row r="542" spans="1:9" ht="18.75" customHeight="1">
      <c r="A542" s="59"/>
      <c r="B542" s="48"/>
      <c r="C542" s="13">
        <v>3260</v>
      </c>
      <c r="D542" s="2" t="s">
        <v>799</v>
      </c>
      <c r="E542" s="120">
        <v>179358.86</v>
      </c>
      <c r="F542" s="112"/>
      <c r="G542" s="119">
        <v>177930.62</v>
      </c>
      <c r="H542" s="112"/>
      <c r="I542" s="338">
        <f t="shared" si="9"/>
        <v>99.20369699049158</v>
      </c>
    </row>
    <row r="543" spans="1:22" s="69" customFormat="1" ht="24.75" customHeight="1">
      <c r="A543" s="62"/>
      <c r="B543" s="48">
        <v>85446</v>
      </c>
      <c r="C543" s="31"/>
      <c r="D543" s="33" t="s">
        <v>522</v>
      </c>
      <c r="E543" s="52">
        <f>SUM(E544:E546)</f>
        <v>11006</v>
      </c>
      <c r="F543" s="132"/>
      <c r="G543" s="52">
        <f>SUM(G544:G546)</f>
        <v>5345.57</v>
      </c>
      <c r="H543" s="132"/>
      <c r="I543" s="338">
        <f t="shared" si="9"/>
        <v>48.56959840087225</v>
      </c>
      <c r="J543" s="447"/>
      <c r="K543" s="352"/>
      <c r="L543" s="352"/>
      <c r="M543" s="352"/>
      <c r="N543" s="352"/>
      <c r="O543" s="465"/>
      <c r="P543" s="352"/>
      <c r="Q543" s="352"/>
      <c r="R543" s="352"/>
      <c r="S543" s="352"/>
      <c r="T543" s="321"/>
      <c r="U543" s="321"/>
      <c r="V543" s="321"/>
    </row>
    <row r="544" spans="1:22" s="69" customFormat="1" ht="24.75" customHeight="1">
      <c r="A544" s="549"/>
      <c r="B544" s="43"/>
      <c r="C544" s="6">
        <v>4300</v>
      </c>
      <c r="D544" s="2" t="s">
        <v>530</v>
      </c>
      <c r="E544" s="55">
        <v>900</v>
      </c>
      <c r="F544" s="112"/>
      <c r="G544" s="68">
        <v>900</v>
      </c>
      <c r="H544" s="132"/>
      <c r="I544" s="338">
        <f t="shared" si="9"/>
        <v>100</v>
      </c>
      <c r="J544" s="447"/>
      <c r="K544" s="352"/>
      <c r="L544" s="352"/>
      <c r="M544" s="352"/>
      <c r="N544" s="352"/>
      <c r="O544" s="465"/>
      <c r="P544" s="352"/>
      <c r="Q544" s="352"/>
      <c r="R544" s="352"/>
      <c r="S544" s="352"/>
      <c r="T544" s="321"/>
      <c r="U544" s="321"/>
      <c r="V544" s="321"/>
    </row>
    <row r="545" spans="1:9" ht="18.75" customHeight="1">
      <c r="A545" s="59"/>
      <c r="B545" s="12"/>
      <c r="C545" s="13">
        <v>4410</v>
      </c>
      <c r="D545" s="2" t="s">
        <v>580</v>
      </c>
      <c r="E545" s="55">
        <v>465</v>
      </c>
      <c r="F545" s="112"/>
      <c r="G545" s="68">
        <v>0</v>
      </c>
      <c r="H545" s="112"/>
      <c r="I545" s="338">
        <f t="shared" si="9"/>
        <v>0</v>
      </c>
    </row>
    <row r="546" spans="1:9" ht="30.75" customHeight="1">
      <c r="A546" s="59"/>
      <c r="B546" s="43"/>
      <c r="C546" s="13">
        <v>4700</v>
      </c>
      <c r="D546" s="2" t="s">
        <v>93</v>
      </c>
      <c r="E546" s="118">
        <v>9641</v>
      </c>
      <c r="F546" s="115"/>
      <c r="G546" s="94">
        <v>4445.57</v>
      </c>
      <c r="H546" s="115"/>
      <c r="I546" s="338">
        <f t="shared" si="9"/>
        <v>46.111088061404416</v>
      </c>
    </row>
    <row r="547" spans="1:9" ht="31.5" customHeight="1">
      <c r="A547" s="80">
        <v>900</v>
      </c>
      <c r="B547" s="77"/>
      <c r="C547" s="16"/>
      <c r="D547" s="44" t="s">
        <v>502</v>
      </c>
      <c r="E547" s="45">
        <f>E548+E552+E555+E559+E562+E568</f>
        <v>13795485</v>
      </c>
      <c r="F547" s="134"/>
      <c r="G547" s="45">
        <f>G548+G552+G555+G559+G562+G568</f>
        <v>12403689.58</v>
      </c>
      <c r="H547" s="134"/>
      <c r="I547" s="339">
        <f t="shared" si="9"/>
        <v>89.91122515808614</v>
      </c>
    </row>
    <row r="548" spans="1:22" s="163" customFormat="1" ht="22.5" customHeight="1">
      <c r="A548" s="62"/>
      <c r="B548" s="43">
        <v>90002</v>
      </c>
      <c r="C548" s="32"/>
      <c r="D548" s="33" t="s">
        <v>312</v>
      </c>
      <c r="E548" s="177">
        <f>SUM(E549:E551)</f>
        <v>601000</v>
      </c>
      <c r="F548" s="132"/>
      <c r="G548" s="177">
        <f>SUM(G549:G551)</f>
        <v>581914.06</v>
      </c>
      <c r="H548" s="132"/>
      <c r="I548" s="338">
        <f t="shared" si="9"/>
        <v>96.82430282861898</v>
      </c>
      <c r="J548" s="450"/>
      <c r="K548" s="451"/>
      <c r="L548" s="451"/>
      <c r="M548" s="451"/>
      <c r="N548" s="451"/>
      <c r="O548" s="468"/>
      <c r="P548" s="451"/>
      <c r="Q548" s="451"/>
      <c r="R548" s="451"/>
      <c r="S548" s="451"/>
      <c r="T548" s="322"/>
      <c r="U548" s="322"/>
      <c r="V548" s="322"/>
    </row>
    <row r="549" spans="1:9" ht="23.25" customHeight="1">
      <c r="A549" s="364"/>
      <c r="B549" s="82"/>
      <c r="C549" s="13">
        <v>4300</v>
      </c>
      <c r="D549" s="2" t="s">
        <v>530</v>
      </c>
      <c r="E549" s="35">
        <v>575000</v>
      </c>
      <c r="F549" s="112"/>
      <c r="G549" s="68">
        <v>572124.14</v>
      </c>
      <c r="H549" s="112"/>
      <c r="I549" s="338">
        <f t="shared" si="9"/>
        <v>99.49985043478262</v>
      </c>
    </row>
    <row r="550" spans="1:9" ht="49.5" customHeight="1">
      <c r="A550" s="364"/>
      <c r="B550" s="81"/>
      <c r="C550" s="6">
        <v>6220</v>
      </c>
      <c r="D550" s="39" t="s">
        <v>289</v>
      </c>
      <c r="E550" s="35">
        <v>6000</v>
      </c>
      <c r="F550" s="112"/>
      <c r="G550" s="68">
        <v>0</v>
      </c>
      <c r="H550" s="112"/>
      <c r="I550" s="338"/>
    </row>
    <row r="551" spans="1:9" ht="66" customHeight="1">
      <c r="A551" s="364"/>
      <c r="B551" s="89"/>
      <c r="C551" s="22">
        <v>6230</v>
      </c>
      <c r="D551" s="39" t="s">
        <v>635</v>
      </c>
      <c r="E551" s="35">
        <v>20000</v>
      </c>
      <c r="F551" s="112"/>
      <c r="G551" s="68">
        <v>9789.92</v>
      </c>
      <c r="H551" s="112"/>
      <c r="I551" s="338">
        <f t="shared" si="9"/>
        <v>48.9496</v>
      </c>
    </row>
    <row r="552" spans="1:9" ht="21.75" customHeight="1">
      <c r="A552" s="150"/>
      <c r="B552" s="101">
        <v>90003</v>
      </c>
      <c r="C552" s="32"/>
      <c r="D552" s="33" t="s">
        <v>809</v>
      </c>
      <c r="E552" s="37">
        <f>SUM(E553:E554)</f>
        <v>1080000</v>
      </c>
      <c r="F552" s="112"/>
      <c r="G552" s="124">
        <f>SUM(G553:G554)</f>
        <v>1054704.31</v>
      </c>
      <c r="H552" s="112"/>
      <c r="I552" s="338">
        <f t="shared" si="9"/>
        <v>97.65780648148149</v>
      </c>
    </row>
    <row r="553" spans="1:9" ht="21.75" customHeight="1">
      <c r="A553" s="150"/>
      <c r="B553" s="102"/>
      <c r="C553" s="20">
        <v>4210</v>
      </c>
      <c r="D553" s="39" t="s">
        <v>533</v>
      </c>
      <c r="E553" s="120">
        <v>30000</v>
      </c>
      <c r="F553" s="112"/>
      <c r="G553" s="119">
        <v>27785.7</v>
      </c>
      <c r="H553" s="112"/>
      <c r="I553" s="338">
        <f t="shared" si="9"/>
        <v>92.619</v>
      </c>
    </row>
    <row r="554" spans="1:9" ht="20.25" customHeight="1">
      <c r="A554" s="149"/>
      <c r="B554" s="117"/>
      <c r="C554" s="6">
        <v>4300</v>
      </c>
      <c r="D554" s="2" t="s">
        <v>530</v>
      </c>
      <c r="E554" s="120">
        <v>1050000</v>
      </c>
      <c r="F554" s="112"/>
      <c r="G554" s="119">
        <v>1026918.61</v>
      </c>
      <c r="H554" s="112"/>
      <c r="I554" s="338">
        <f t="shared" si="9"/>
        <v>97.80177238095237</v>
      </c>
    </row>
    <row r="555" spans="1:22" s="163" customFormat="1" ht="21.75" customHeight="1">
      <c r="A555" s="62"/>
      <c r="B555" s="32">
        <v>90004</v>
      </c>
      <c r="C555" s="32"/>
      <c r="D555" s="33" t="s">
        <v>313</v>
      </c>
      <c r="E555" s="267">
        <f>SUM(E556:E558)</f>
        <v>2205000</v>
      </c>
      <c r="F555" s="132"/>
      <c r="G555" s="267">
        <f>SUM(G556:G558)</f>
        <v>2183421.27</v>
      </c>
      <c r="H555" s="132"/>
      <c r="I555" s="338">
        <f t="shared" si="9"/>
        <v>99.02137278911565</v>
      </c>
      <c r="J555" s="450"/>
      <c r="K555" s="451"/>
      <c r="L555" s="451"/>
      <c r="M555" s="451"/>
      <c r="N555" s="451"/>
      <c r="O555" s="468"/>
      <c r="P555" s="451"/>
      <c r="Q555" s="451"/>
      <c r="R555" s="451"/>
      <c r="S555" s="451"/>
      <c r="T555" s="322"/>
      <c r="U555" s="322"/>
      <c r="V555" s="322"/>
    </row>
    <row r="556" spans="1:9" ht="20.25" customHeight="1">
      <c r="A556" s="149"/>
      <c r="B556" s="117"/>
      <c r="C556" s="6">
        <v>3050</v>
      </c>
      <c r="D556" s="2" t="s">
        <v>722</v>
      </c>
      <c r="E556" s="120">
        <v>6000</v>
      </c>
      <c r="F556" s="112"/>
      <c r="G556" s="119">
        <v>6000</v>
      </c>
      <c r="H556" s="112"/>
      <c r="I556" s="338">
        <f t="shared" si="9"/>
        <v>100</v>
      </c>
    </row>
    <row r="557" spans="1:9" ht="32.25" customHeight="1">
      <c r="A557" s="149"/>
      <c r="B557" s="117"/>
      <c r="C557" s="6">
        <v>4300</v>
      </c>
      <c r="D557" s="2" t="s">
        <v>530</v>
      </c>
      <c r="E557" s="120">
        <v>2160000</v>
      </c>
      <c r="F557" s="112"/>
      <c r="G557" s="119">
        <v>2138461.6</v>
      </c>
      <c r="H557" s="112"/>
      <c r="I557" s="338">
        <f t="shared" si="9"/>
        <v>99.00285185185186</v>
      </c>
    </row>
    <row r="558" spans="1:9" ht="32.25" customHeight="1">
      <c r="A558" s="149"/>
      <c r="B558" s="117"/>
      <c r="C558" s="6">
        <v>6050</v>
      </c>
      <c r="D558" s="2" t="s">
        <v>750</v>
      </c>
      <c r="E558" s="120">
        <v>39000</v>
      </c>
      <c r="F558" s="112"/>
      <c r="G558" s="120">
        <v>38959.67</v>
      </c>
      <c r="H558" s="112"/>
      <c r="I558" s="338">
        <f t="shared" si="9"/>
        <v>99.89658974358974</v>
      </c>
    </row>
    <row r="559" spans="1:9" ht="21.75" customHeight="1">
      <c r="A559" s="150"/>
      <c r="B559" s="99">
        <v>90013</v>
      </c>
      <c r="C559" s="32"/>
      <c r="D559" s="33" t="s">
        <v>810</v>
      </c>
      <c r="E559" s="52">
        <f>SUM(E560:E561)</f>
        <v>270000</v>
      </c>
      <c r="F559" s="112"/>
      <c r="G559" s="52">
        <f>SUM(G560:G561)</f>
        <v>267988</v>
      </c>
      <c r="H559" s="112"/>
      <c r="I559" s="338">
        <f t="shared" si="9"/>
        <v>99.25481481481482</v>
      </c>
    </row>
    <row r="560" spans="1:9" ht="75" customHeight="1">
      <c r="A560" s="149"/>
      <c r="B560" s="117"/>
      <c r="C560" s="6">
        <v>2360</v>
      </c>
      <c r="D560" s="2" t="s">
        <v>428</v>
      </c>
      <c r="E560" s="68">
        <v>262000</v>
      </c>
      <c r="F560" s="112"/>
      <c r="G560" s="225">
        <v>260000</v>
      </c>
      <c r="H560" s="112"/>
      <c r="I560" s="338">
        <f t="shared" si="9"/>
        <v>99.23664122137404</v>
      </c>
    </row>
    <row r="561" spans="1:9" ht="28.5" customHeight="1">
      <c r="A561" s="149"/>
      <c r="B561" s="117"/>
      <c r="C561" s="6">
        <v>4300</v>
      </c>
      <c r="D561" s="2" t="s">
        <v>530</v>
      </c>
      <c r="E561" s="72">
        <v>8000</v>
      </c>
      <c r="F561" s="112"/>
      <c r="G561" s="68">
        <v>7988</v>
      </c>
      <c r="H561" s="112"/>
      <c r="I561" s="338">
        <f t="shared" si="9"/>
        <v>99.85000000000001</v>
      </c>
    </row>
    <row r="562" spans="1:13" ht="24" customHeight="1">
      <c r="A562" s="150"/>
      <c r="B562" s="99">
        <v>90015</v>
      </c>
      <c r="C562" s="32"/>
      <c r="D562" s="33" t="s">
        <v>486</v>
      </c>
      <c r="E562" s="52">
        <f>SUM(E563:E567)</f>
        <v>5964500</v>
      </c>
      <c r="F562" s="112"/>
      <c r="G562" s="124">
        <f>SUM(G563:G567)</f>
        <v>4924961.67</v>
      </c>
      <c r="H562" s="112"/>
      <c r="I562" s="338">
        <f t="shared" si="9"/>
        <v>82.57124100930506</v>
      </c>
      <c r="M562" s="452"/>
    </row>
    <row r="563" spans="1:9" ht="18" customHeight="1">
      <c r="A563" s="150"/>
      <c r="B563" s="102"/>
      <c r="C563" s="6">
        <v>4210</v>
      </c>
      <c r="D563" s="2" t="s">
        <v>533</v>
      </c>
      <c r="E563" s="120">
        <v>2211.1</v>
      </c>
      <c r="F563" s="112"/>
      <c r="G563" s="119">
        <v>0</v>
      </c>
      <c r="H563" s="112"/>
      <c r="I563" s="338"/>
    </row>
    <row r="564" spans="1:9" ht="17.25" customHeight="1">
      <c r="A564" s="149"/>
      <c r="B564" s="117"/>
      <c r="C564" s="6">
        <v>4260</v>
      </c>
      <c r="D564" s="2" t="s">
        <v>591</v>
      </c>
      <c r="E564" s="120">
        <v>3523000</v>
      </c>
      <c r="F564" s="112"/>
      <c r="G564" s="119">
        <v>2729408.6</v>
      </c>
      <c r="H564" s="112"/>
      <c r="I564" s="338">
        <f t="shared" si="9"/>
        <v>77.47398807834233</v>
      </c>
    </row>
    <row r="565" spans="1:9" ht="15" customHeight="1">
      <c r="A565" s="149"/>
      <c r="B565" s="117"/>
      <c r="C565" s="6">
        <v>4300</v>
      </c>
      <c r="D565" s="2" t="s">
        <v>530</v>
      </c>
      <c r="E565" s="55">
        <v>1760682</v>
      </c>
      <c r="F565" s="112"/>
      <c r="G565" s="68">
        <v>1754792.36</v>
      </c>
      <c r="H565" s="112"/>
      <c r="I565" s="338">
        <f t="shared" si="9"/>
        <v>99.66549098587934</v>
      </c>
    </row>
    <row r="566" spans="1:9" ht="25.5" customHeight="1">
      <c r="A566" s="149"/>
      <c r="B566" s="117"/>
      <c r="C566" s="6">
        <v>6050</v>
      </c>
      <c r="D566" s="2" t="s">
        <v>750</v>
      </c>
      <c r="E566" s="118">
        <v>647500</v>
      </c>
      <c r="F566" s="112"/>
      <c r="G566" s="94">
        <v>409653.81</v>
      </c>
      <c r="H566" s="112"/>
      <c r="I566" s="338">
        <f t="shared" si="9"/>
        <v>63.26699768339768</v>
      </c>
    </row>
    <row r="567" spans="1:16" ht="27" customHeight="1">
      <c r="A567" s="149"/>
      <c r="B567" s="117"/>
      <c r="C567" s="6">
        <v>6060</v>
      </c>
      <c r="D567" s="2" t="s">
        <v>598</v>
      </c>
      <c r="E567" s="118">
        <v>31106.9</v>
      </c>
      <c r="F567" s="112"/>
      <c r="G567" s="94">
        <v>31106.9</v>
      </c>
      <c r="H567" s="112"/>
      <c r="I567" s="338">
        <f t="shared" si="9"/>
        <v>100</v>
      </c>
      <c r="P567" s="352"/>
    </row>
    <row r="568" spans="1:16" ht="24.75" customHeight="1">
      <c r="A568" s="150"/>
      <c r="B568" s="61">
        <v>90095</v>
      </c>
      <c r="C568" s="32"/>
      <c r="D568" s="33" t="s">
        <v>487</v>
      </c>
      <c r="E568" s="37">
        <f>SUM(E569:E586)</f>
        <v>3674985</v>
      </c>
      <c r="F568" s="112"/>
      <c r="G568" s="124">
        <f>SUM(G569:G586)</f>
        <v>3390700.2699999996</v>
      </c>
      <c r="H568" s="112"/>
      <c r="I568" s="338">
        <f t="shared" si="9"/>
        <v>92.26432951427012</v>
      </c>
      <c r="K568" s="352"/>
      <c r="L568" s="352"/>
      <c r="M568" s="352"/>
      <c r="N568" s="352"/>
      <c r="O568" s="465"/>
      <c r="P568" s="352"/>
    </row>
    <row r="569" spans="1:9" ht="53.25" customHeight="1">
      <c r="A569" s="152"/>
      <c r="B569" s="105"/>
      <c r="C569" s="13">
        <v>2900</v>
      </c>
      <c r="D569" s="2" t="s">
        <v>488</v>
      </c>
      <c r="E569" s="120">
        <v>187531</v>
      </c>
      <c r="F569" s="112"/>
      <c r="G569" s="119">
        <v>187530.88</v>
      </c>
      <c r="H569" s="112"/>
      <c r="I569" s="338">
        <f t="shared" si="9"/>
        <v>99.99993601057959</v>
      </c>
    </row>
    <row r="570" spans="1:9" ht="19.5" customHeight="1">
      <c r="A570" s="152"/>
      <c r="B570" s="105"/>
      <c r="C570" s="6">
        <v>4170</v>
      </c>
      <c r="D570" s="2" t="s">
        <v>583</v>
      </c>
      <c r="E570" s="120">
        <v>4000</v>
      </c>
      <c r="F570" s="112"/>
      <c r="G570" s="119">
        <v>2000</v>
      </c>
      <c r="H570" s="112"/>
      <c r="I570" s="338">
        <f t="shared" si="9"/>
        <v>50</v>
      </c>
    </row>
    <row r="571" spans="1:9" ht="21" customHeight="1">
      <c r="A571" s="152"/>
      <c r="B571" s="105"/>
      <c r="C571" s="13">
        <v>4210</v>
      </c>
      <c r="D571" s="2" t="s">
        <v>533</v>
      </c>
      <c r="E571" s="55">
        <v>73650</v>
      </c>
      <c r="F571" s="112"/>
      <c r="G571" s="68">
        <v>63922.46</v>
      </c>
      <c r="H571" s="112"/>
      <c r="I571" s="338">
        <f t="shared" si="9"/>
        <v>86.79220638153429</v>
      </c>
    </row>
    <row r="572" spans="1:9" ht="26.25" customHeight="1">
      <c r="A572" s="152"/>
      <c r="B572" s="105"/>
      <c r="C572" s="13">
        <v>4240</v>
      </c>
      <c r="D572" s="2" t="s">
        <v>759</v>
      </c>
      <c r="E572" s="55">
        <v>22850</v>
      </c>
      <c r="F572" s="112"/>
      <c r="G572" s="68">
        <v>22849</v>
      </c>
      <c r="H572" s="112"/>
      <c r="I572" s="338">
        <f t="shared" si="9"/>
        <v>99.99562363238512</v>
      </c>
    </row>
    <row r="573" spans="1:9" ht="18" customHeight="1">
      <c r="A573" s="152"/>
      <c r="B573" s="105"/>
      <c r="C573" s="13">
        <v>4260</v>
      </c>
      <c r="D573" s="2" t="s">
        <v>591</v>
      </c>
      <c r="E573" s="55">
        <v>180000</v>
      </c>
      <c r="F573" s="112"/>
      <c r="G573" s="68">
        <v>139537.57</v>
      </c>
      <c r="H573" s="112"/>
      <c r="I573" s="338">
        <f t="shared" si="9"/>
        <v>77.52087222222222</v>
      </c>
    </row>
    <row r="574" spans="1:9" ht="18.75" customHeight="1">
      <c r="A574" s="152"/>
      <c r="B574" s="105"/>
      <c r="C574" s="13">
        <v>4270</v>
      </c>
      <c r="D574" s="2" t="s">
        <v>534</v>
      </c>
      <c r="E574" s="55">
        <v>316172</v>
      </c>
      <c r="F574" s="112"/>
      <c r="G574" s="68">
        <v>272414.52</v>
      </c>
      <c r="H574" s="112"/>
      <c r="I574" s="338">
        <f t="shared" si="9"/>
        <v>86.16022924231115</v>
      </c>
    </row>
    <row r="575" spans="1:9" ht="17.25" customHeight="1">
      <c r="A575" s="152"/>
      <c r="B575" s="105"/>
      <c r="C575" s="13">
        <v>4300</v>
      </c>
      <c r="D575" s="2" t="s">
        <v>287</v>
      </c>
      <c r="E575" s="55">
        <v>1306148</v>
      </c>
      <c r="F575" s="112"/>
      <c r="G575" s="68">
        <v>1197135.7</v>
      </c>
      <c r="H575" s="112"/>
      <c r="I575" s="338">
        <f aca="true" t="shared" si="10" ref="I575:I640">G575/E575*100</f>
        <v>91.65390905165417</v>
      </c>
    </row>
    <row r="576" spans="1:9" ht="26.25" customHeight="1">
      <c r="A576" s="152"/>
      <c r="B576" s="105"/>
      <c r="C576" s="13">
        <v>4390</v>
      </c>
      <c r="D576" s="2" t="s">
        <v>505</v>
      </c>
      <c r="E576" s="55">
        <v>8000</v>
      </c>
      <c r="F576" s="112"/>
      <c r="G576" s="68">
        <v>2566.96</v>
      </c>
      <c r="H576" s="112"/>
      <c r="I576" s="338">
        <f t="shared" si="10"/>
        <v>32.086999999999996</v>
      </c>
    </row>
    <row r="577" spans="1:9" ht="15" customHeight="1">
      <c r="A577" s="152"/>
      <c r="B577" s="105"/>
      <c r="C577" s="13">
        <v>4430</v>
      </c>
      <c r="D577" s="2" t="s">
        <v>288</v>
      </c>
      <c r="E577" s="55">
        <v>94500</v>
      </c>
      <c r="F577" s="112"/>
      <c r="G577" s="68">
        <v>64409</v>
      </c>
      <c r="H577" s="112"/>
      <c r="I577" s="338">
        <f t="shared" si="10"/>
        <v>68.15767195767197</v>
      </c>
    </row>
    <row r="578" spans="1:9" ht="15" customHeight="1">
      <c r="A578" s="152"/>
      <c r="B578" s="105"/>
      <c r="C578" s="13">
        <v>4580</v>
      </c>
      <c r="D578" s="2" t="s">
        <v>298</v>
      </c>
      <c r="E578" s="55">
        <v>2500</v>
      </c>
      <c r="F578" s="112"/>
      <c r="G578" s="68">
        <v>0</v>
      </c>
      <c r="H578" s="112"/>
      <c r="I578" s="338"/>
    </row>
    <row r="579" spans="1:9" ht="26.25" customHeight="1">
      <c r="A579" s="152"/>
      <c r="B579" s="105"/>
      <c r="C579" s="13">
        <v>4590</v>
      </c>
      <c r="D579" s="2" t="s">
        <v>535</v>
      </c>
      <c r="E579" s="55">
        <v>3000</v>
      </c>
      <c r="F579" s="112"/>
      <c r="G579" s="68">
        <v>0</v>
      </c>
      <c r="H579" s="112"/>
      <c r="I579" s="338"/>
    </row>
    <row r="580" spans="1:9" ht="39.75" customHeight="1">
      <c r="A580" s="152"/>
      <c r="B580" s="105"/>
      <c r="C580" s="13">
        <v>4600</v>
      </c>
      <c r="D580" s="2" t="s">
        <v>284</v>
      </c>
      <c r="E580" s="55">
        <v>1000</v>
      </c>
      <c r="F580" s="112"/>
      <c r="G580" s="68">
        <v>0</v>
      </c>
      <c r="H580" s="112"/>
      <c r="I580" s="338"/>
    </row>
    <row r="581" spans="1:9" ht="28.5" customHeight="1">
      <c r="A581" s="152"/>
      <c r="B581" s="105"/>
      <c r="C581" s="13">
        <v>4610</v>
      </c>
      <c r="D581" s="2" t="s">
        <v>506</v>
      </c>
      <c r="E581" s="55">
        <v>1000</v>
      </c>
      <c r="F581" s="112"/>
      <c r="G581" s="68">
        <v>568</v>
      </c>
      <c r="H581" s="112"/>
      <c r="I581" s="338">
        <f t="shared" si="10"/>
        <v>56.8</v>
      </c>
    </row>
    <row r="582" spans="1:12" ht="64.5" customHeight="1">
      <c r="A582" s="152"/>
      <c r="B582" s="105"/>
      <c r="C582" s="22">
        <v>6010</v>
      </c>
      <c r="D582" s="39" t="s">
        <v>634</v>
      </c>
      <c r="E582" s="118">
        <v>495700</v>
      </c>
      <c r="F582" s="112"/>
      <c r="G582" s="94">
        <v>484867.55</v>
      </c>
      <c r="H582" s="112"/>
      <c r="I582" s="338">
        <f t="shared" si="10"/>
        <v>97.81471656243696</v>
      </c>
      <c r="L582" s="449"/>
    </row>
    <row r="583" spans="1:9" ht="29.25" customHeight="1">
      <c r="A583" s="152"/>
      <c r="B583" s="105"/>
      <c r="C583" s="22">
        <v>6050</v>
      </c>
      <c r="D583" s="39" t="s">
        <v>750</v>
      </c>
      <c r="E583" s="118">
        <v>317694</v>
      </c>
      <c r="F583" s="112"/>
      <c r="G583" s="94">
        <v>317603.66</v>
      </c>
      <c r="H583" s="112"/>
      <c r="I583" s="338">
        <f t="shared" si="10"/>
        <v>99.97156383186335</v>
      </c>
    </row>
    <row r="584" spans="3:19" s="492" customFormat="1" ht="29.25" customHeight="1">
      <c r="C584" s="6">
        <v>6057</v>
      </c>
      <c r="D584" s="39" t="s">
        <v>750</v>
      </c>
      <c r="E584" s="68">
        <v>196554</v>
      </c>
      <c r="G584" s="68">
        <v>196554</v>
      </c>
      <c r="I584" s="344">
        <f t="shared" si="10"/>
        <v>100</v>
      </c>
      <c r="K584" s="645"/>
      <c r="L584" s="646"/>
      <c r="M584" s="645"/>
      <c r="N584" s="645"/>
      <c r="O584" s="645"/>
      <c r="P584" s="645"/>
      <c r="Q584" s="645"/>
      <c r="R584" s="645"/>
      <c r="S584" s="645"/>
    </row>
    <row r="585" spans="1:9" ht="24.75" customHeight="1">
      <c r="A585" s="152"/>
      <c r="B585" s="105"/>
      <c r="C585" s="22">
        <v>6059</v>
      </c>
      <c r="D585" s="39" t="s">
        <v>750</v>
      </c>
      <c r="E585" s="118">
        <v>34686</v>
      </c>
      <c r="F585" s="112"/>
      <c r="G585" s="94">
        <v>34686</v>
      </c>
      <c r="H585" s="112"/>
      <c r="I585" s="338">
        <f t="shared" si="10"/>
        <v>100</v>
      </c>
    </row>
    <row r="586" spans="1:9" ht="65.25" customHeight="1">
      <c r="A586" s="152"/>
      <c r="B586" s="105"/>
      <c r="C586" s="22">
        <v>6230</v>
      </c>
      <c r="D586" s="39" t="s">
        <v>635</v>
      </c>
      <c r="E586" s="118">
        <v>430000</v>
      </c>
      <c r="F586" s="112"/>
      <c r="G586" s="94">
        <v>404054.97</v>
      </c>
      <c r="H586" s="112"/>
      <c r="I586" s="338">
        <f t="shared" si="10"/>
        <v>93.96627209302325</v>
      </c>
    </row>
    <row r="587" spans="1:9" ht="27" customHeight="1">
      <c r="A587" s="80">
        <v>921</v>
      </c>
      <c r="B587" s="77"/>
      <c r="C587" s="16"/>
      <c r="D587" s="44" t="s">
        <v>489</v>
      </c>
      <c r="E587" s="45">
        <f>E588+E592+E594+E597</f>
        <v>4798815</v>
      </c>
      <c r="F587" s="130"/>
      <c r="G587" s="45">
        <f>G588+G592+G594+G597</f>
        <v>4780733.350000001</v>
      </c>
      <c r="H587" s="130"/>
      <c r="I587" s="339">
        <f t="shared" si="10"/>
        <v>99.62320593729912</v>
      </c>
    </row>
    <row r="588" spans="1:9" ht="27" customHeight="1">
      <c r="A588" s="153"/>
      <c r="B588" s="99">
        <v>92109</v>
      </c>
      <c r="C588" s="32"/>
      <c r="D588" s="33" t="s">
        <v>290</v>
      </c>
      <c r="E588" s="37">
        <f>SUM(E589:E591)</f>
        <v>4122515</v>
      </c>
      <c r="F588" s="130"/>
      <c r="G588" s="124">
        <f>SUM(G589:G591)</f>
        <v>4121861.7</v>
      </c>
      <c r="H588" s="130"/>
      <c r="I588" s="338">
        <f t="shared" si="10"/>
        <v>99.9841528775517</v>
      </c>
    </row>
    <row r="589" spans="1:9" ht="26.25" customHeight="1">
      <c r="A589" s="149"/>
      <c r="B589" s="117"/>
      <c r="C589" s="6">
        <v>2480</v>
      </c>
      <c r="D589" s="2" t="s">
        <v>490</v>
      </c>
      <c r="E589" s="72">
        <v>3987515</v>
      </c>
      <c r="F589" s="112"/>
      <c r="G589" s="68">
        <v>3987515</v>
      </c>
      <c r="H589" s="112"/>
      <c r="I589" s="338">
        <f t="shared" si="10"/>
        <v>100</v>
      </c>
    </row>
    <row r="590" spans="1:9" ht="38.25" customHeight="1">
      <c r="A590" s="149"/>
      <c r="B590" s="117"/>
      <c r="C590" s="6">
        <v>2800</v>
      </c>
      <c r="D590" s="39" t="s">
        <v>594</v>
      </c>
      <c r="E590" s="72">
        <v>100000</v>
      </c>
      <c r="F590" s="112"/>
      <c r="G590" s="225">
        <v>100000</v>
      </c>
      <c r="H590" s="112"/>
      <c r="I590" s="338">
        <f t="shared" si="10"/>
        <v>100</v>
      </c>
    </row>
    <row r="591" spans="1:9" ht="60" customHeight="1">
      <c r="A591" s="149"/>
      <c r="B591" s="117"/>
      <c r="C591" s="6">
        <v>6220</v>
      </c>
      <c r="D591" s="39" t="s">
        <v>289</v>
      </c>
      <c r="E591" s="35">
        <v>35000</v>
      </c>
      <c r="F591" s="112"/>
      <c r="G591" s="68">
        <v>34346.7</v>
      </c>
      <c r="H591" s="112"/>
      <c r="I591" s="338">
        <f t="shared" si="10"/>
        <v>98.13342857142857</v>
      </c>
    </row>
    <row r="592" spans="1:22" s="69" customFormat="1" ht="30.75" customHeight="1">
      <c r="A592" s="150"/>
      <c r="B592" s="61">
        <v>92118</v>
      </c>
      <c r="C592" s="32"/>
      <c r="D592" s="190" t="s">
        <v>596</v>
      </c>
      <c r="E592" s="37">
        <f>E593</f>
        <v>16000</v>
      </c>
      <c r="F592" s="132"/>
      <c r="G592" s="37">
        <f>G593</f>
        <v>16000</v>
      </c>
      <c r="H592" s="132"/>
      <c r="I592" s="338">
        <f t="shared" si="10"/>
        <v>100</v>
      </c>
      <c r="J592" s="447"/>
      <c r="K592" s="352"/>
      <c r="L592" s="352"/>
      <c r="M592" s="352"/>
      <c r="N592" s="352"/>
      <c r="O592" s="465"/>
      <c r="P592" s="352"/>
      <c r="Q592" s="352"/>
      <c r="R592" s="352"/>
      <c r="S592" s="352"/>
      <c r="T592" s="321"/>
      <c r="U592" s="321"/>
      <c r="V592" s="321"/>
    </row>
    <row r="593" spans="1:9" ht="63.75" customHeight="1">
      <c r="A593" s="149"/>
      <c r="B593" s="117"/>
      <c r="C593" s="6">
        <v>6300</v>
      </c>
      <c r="D593" s="39" t="s">
        <v>805</v>
      </c>
      <c r="E593" s="35">
        <v>16000</v>
      </c>
      <c r="F593" s="112"/>
      <c r="G593" s="68">
        <v>16000</v>
      </c>
      <c r="H593" s="112"/>
      <c r="I593" s="338">
        <f t="shared" si="10"/>
        <v>100</v>
      </c>
    </row>
    <row r="594" spans="1:9" ht="28.5" customHeight="1">
      <c r="A594" s="149"/>
      <c r="B594" s="61">
        <v>92120</v>
      </c>
      <c r="C594" s="32"/>
      <c r="D594" s="33" t="s">
        <v>491</v>
      </c>
      <c r="E594" s="124">
        <f>SUM(E595:E596)</f>
        <v>210000</v>
      </c>
      <c r="F594" s="112"/>
      <c r="G594" s="124">
        <f>SUM(G595:G596)</f>
        <v>200000</v>
      </c>
      <c r="H594" s="112"/>
      <c r="I594" s="338">
        <f t="shared" si="10"/>
        <v>95.23809523809523</v>
      </c>
    </row>
    <row r="595" spans="1:9" ht="64.5" customHeight="1">
      <c r="A595" s="152"/>
      <c r="B595" s="100"/>
      <c r="C595" s="6">
        <v>2720</v>
      </c>
      <c r="D595" s="2" t="s">
        <v>492</v>
      </c>
      <c r="E595" s="96">
        <v>200000</v>
      </c>
      <c r="F595" s="112"/>
      <c r="G595" s="68">
        <v>200000</v>
      </c>
      <c r="H595" s="112"/>
      <c r="I595" s="338">
        <f t="shared" si="10"/>
        <v>100</v>
      </c>
    </row>
    <row r="596" spans="1:9" ht="51.75" customHeight="1">
      <c r="A596" s="152"/>
      <c r="B596" s="105"/>
      <c r="C596" s="13">
        <v>4340</v>
      </c>
      <c r="D596" s="2" t="s">
        <v>689</v>
      </c>
      <c r="E596" s="118">
        <v>10000</v>
      </c>
      <c r="F596" s="112"/>
      <c r="G596" s="94">
        <v>0</v>
      </c>
      <c r="H596" s="112"/>
      <c r="I596" s="338"/>
    </row>
    <row r="597" spans="1:9" ht="21" customHeight="1">
      <c r="A597" s="150"/>
      <c r="B597" s="61">
        <v>92195</v>
      </c>
      <c r="C597" s="32"/>
      <c r="D597" s="33" t="s">
        <v>494</v>
      </c>
      <c r="E597" s="37">
        <f>SUM(E598:E601)</f>
        <v>450300</v>
      </c>
      <c r="F597" s="112"/>
      <c r="G597" s="37">
        <f>SUM(G598:G601)</f>
        <v>442871.65</v>
      </c>
      <c r="H597" s="112"/>
      <c r="I597" s="338">
        <f t="shared" si="10"/>
        <v>98.35035531867643</v>
      </c>
    </row>
    <row r="598" spans="1:9" ht="78.75" customHeight="1">
      <c r="A598" s="154"/>
      <c r="B598" s="140"/>
      <c r="C598" s="6">
        <v>2360</v>
      </c>
      <c r="D598" s="2" t="s">
        <v>428</v>
      </c>
      <c r="E598" s="55">
        <v>30000</v>
      </c>
      <c r="F598" s="112"/>
      <c r="G598" s="68">
        <v>30000</v>
      </c>
      <c r="H598" s="112"/>
      <c r="I598" s="338">
        <f t="shared" si="10"/>
        <v>100</v>
      </c>
    </row>
    <row r="599" spans="1:9" ht="27" customHeight="1">
      <c r="A599" s="152"/>
      <c r="B599" s="105"/>
      <c r="C599" s="13">
        <v>3040</v>
      </c>
      <c r="D599" s="2" t="s">
        <v>636</v>
      </c>
      <c r="E599" s="55">
        <v>27000</v>
      </c>
      <c r="F599" s="112"/>
      <c r="G599" s="68">
        <v>27000</v>
      </c>
      <c r="H599" s="112"/>
      <c r="I599" s="338">
        <f t="shared" si="10"/>
        <v>100</v>
      </c>
    </row>
    <row r="600" spans="1:9" ht="17.25" customHeight="1">
      <c r="A600" s="152"/>
      <c r="B600" s="105"/>
      <c r="C600" s="13">
        <v>4210</v>
      </c>
      <c r="D600" s="2" t="s">
        <v>533</v>
      </c>
      <c r="E600" s="55">
        <v>20000</v>
      </c>
      <c r="F600" s="112"/>
      <c r="G600" s="68">
        <v>18607.29</v>
      </c>
      <c r="H600" s="112"/>
      <c r="I600" s="338">
        <f t="shared" si="10"/>
        <v>93.03645</v>
      </c>
    </row>
    <row r="601" spans="1:9" ht="20.25" customHeight="1">
      <c r="A601" s="152"/>
      <c r="B601" s="105"/>
      <c r="C601" s="22">
        <v>4300</v>
      </c>
      <c r="D601" s="2" t="s">
        <v>530</v>
      </c>
      <c r="E601" s="118">
        <v>373300</v>
      </c>
      <c r="F601" s="112"/>
      <c r="G601" s="94">
        <v>367264.36</v>
      </c>
      <c r="H601" s="112"/>
      <c r="I601" s="338">
        <f t="shared" si="10"/>
        <v>98.38316635413877</v>
      </c>
    </row>
    <row r="602" spans="1:9" ht="25.5" customHeight="1">
      <c r="A602" s="80">
        <v>926</v>
      </c>
      <c r="B602" s="77"/>
      <c r="C602" s="16"/>
      <c r="D602" s="44" t="s">
        <v>772</v>
      </c>
      <c r="E602" s="45">
        <f>E603+E605+E630</f>
        <v>11005263</v>
      </c>
      <c r="F602" s="134"/>
      <c r="G602" s="45">
        <f>G603+G605+G630</f>
        <v>10870675.979999999</v>
      </c>
      <c r="H602" s="134"/>
      <c r="I602" s="339">
        <f t="shared" si="10"/>
        <v>98.7770667543338</v>
      </c>
    </row>
    <row r="603" spans="1:9" ht="25.5" customHeight="1">
      <c r="A603" s="86"/>
      <c r="B603" s="32">
        <v>92601</v>
      </c>
      <c r="C603" s="32"/>
      <c r="D603" s="33" t="s">
        <v>517</v>
      </c>
      <c r="E603" s="52">
        <f>E604</f>
        <v>1078000</v>
      </c>
      <c r="F603" s="130"/>
      <c r="G603" s="124">
        <f>G604</f>
        <v>1047632.94</v>
      </c>
      <c r="H603" s="130"/>
      <c r="I603" s="338">
        <f t="shared" si="10"/>
        <v>97.1830185528757</v>
      </c>
    </row>
    <row r="604" spans="1:9" ht="26.25" customHeight="1">
      <c r="A604" s="155"/>
      <c r="B604" s="5"/>
      <c r="C604" s="13">
        <v>6050</v>
      </c>
      <c r="D604" s="2" t="s">
        <v>750</v>
      </c>
      <c r="E604" s="118">
        <v>1078000</v>
      </c>
      <c r="F604" s="112"/>
      <c r="G604" s="94">
        <v>1047632.94</v>
      </c>
      <c r="H604" s="112"/>
      <c r="I604" s="338">
        <f t="shared" si="10"/>
        <v>97.1830185528757</v>
      </c>
    </row>
    <row r="605" spans="1:9" ht="25.5" customHeight="1">
      <c r="A605" s="86"/>
      <c r="B605" s="50">
        <v>92604</v>
      </c>
      <c r="C605" s="32"/>
      <c r="D605" s="33" t="s">
        <v>447</v>
      </c>
      <c r="E605" s="52">
        <f>SUM(E606:E629)</f>
        <v>7851803</v>
      </c>
      <c r="F605" s="112"/>
      <c r="G605" s="124">
        <f>SUM(G606:G629)</f>
        <v>7767437.119999998</v>
      </c>
      <c r="H605" s="112"/>
      <c r="I605" s="338">
        <f t="shared" si="10"/>
        <v>98.92552220171595</v>
      </c>
    </row>
    <row r="606" spans="1:9" ht="29.25" customHeight="1">
      <c r="A606" s="86"/>
      <c r="B606" s="15"/>
      <c r="C606" s="6">
        <v>3020</v>
      </c>
      <c r="D606" s="2" t="s">
        <v>721</v>
      </c>
      <c r="E606" s="120">
        <v>32000</v>
      </c>
      <c r="F606" s="112"/>
      <c r="G606" s="119">
        <v>29912.74</v>
      </c>
      <c r="H606" s="112"/>
      <c r="I606" s="338">
        <f t="shared" si="10"/>
        <v>93.47731250000001</v>
      </c>
    </row>
    <row r="607" spans="1:9" ht="18.75" customHeight="1">
      <c r="A607" s="86"/>
      <c r="B607" s="15"/>
      <c r="C607" s="6">
        <v>4010</v>
      </c>
      <c r="D607" s="2" t="s">
        <v>572</v>
      </c>
      <c r="E607" s="55">
        <v>3195100</v>
      </c>
      <c r="F607" s="112"/>
      <c r="G607" s="68">
        <v>3193109.97</v>
      </c>
      <c r="H607" s="112"/>
      <c r="I607" s="338">
        <f t="shared" si="10"/>
        <v>99.93771619041658</v>
      </c>
    </row>
    <row r="608" spans="1:9" ht="15" customHeight="1">
      <c r="A608" s="86"/>
      <c r="B608" s="15"/>
      <c r="C608" s="6">
        <v>4040</v>
      </c>
      <c r="D608" s="2" t="s">
        <v>575</v>
      </c>
      <c r="E608" s="55">
        <v>212600</v>
      </c>
      <c r="F608" s="112"/>
      <c r="G608" s="68">
        <v>212587.37</v>
      </c>
      <c r="H608" s="112"/>
      <c r="I608" s="338">
        <f t="shared" si="10"/>
        <v>99.99405926622765</v>
      </c>
    </row>
    <row r="609" spans="1:9" ht="15" customHeight="1">
      <c r="A609" s="86"/>
      <c r="B609" s="15"/>
      <c r="C609" s="6">
        <v>4110</v>
      </c>
      <c r="D609" s="2" t="s">
        <v>576</v>
      </c>
      <c r="E609" s="55">
        <v>606870</v>
      </c>
      <c r="F609" s="112"/>
      <c r="G609" s="68">
        <v>603023.5</v>
      </c>
      <c r="H609" s="112"/>
      <c r="I609" s="338">
        <f t="shared" si="10"/>
        <v>99.36617397465685</v>
      </c>
    </row>
    <row r="610" spans="1:9" ht="15" customHeight="1">
      <c r="A610" s="86"/>
      <c r="B610" s="15"/>
      <c r="C610" s="6">
        <v>4120</v>
      </c>
      <c r="D610" s="2" t="s">
        <v>577</v>
      </c>
      <c r="E610" s="55">
        <v>70430</v>
      </c>
      <c r="F610" s="112"/>
      <c r="G610" s="68">
        <v>69730.77</v>
      </c>
      <c r="H610" s="112"/>
      <c r="I610" s="338">
        <f t="shared" si="10"/>
        <v>99.0071986369445</v>
      </c>
    </row>
    <row r="611" spans="1:9" ht="27.75" customHeight="1">
      <c r="A611" s="86"/>
      <c r="B611" s="15"/>
      <c r="C611" s="20">
        <v>4140</v>
      </c>
      <c r="D611" s="2" t="s">
        <v>758</v>
      </c>
      <c r="E611" s="55">
        <v>55500</v>
      </c>
      <c r="F611" s="112"/>
      <c r="G611" s="68">
        <v>55109</v>
      </c>
      <c r="H611" s="112"/>
      <c r="I611" s="338">
        <f t="shared" si="10"/>
        <v>99.2954954954955</v>
      </c>
    </row>
    <row r="612" spans="1:9" ht="15" customHeight="1">
      <c r="A612" s="86"/>
      <c r="B612" s="15"/>
      <c r="C612" s="6">
        <v>4170</v>
      </c>
      <c r="D612" s="2" t="s">
        <v>583</v>
      </c>
      <c r="E612" s="55">
        <v>503000</v>
      </c>
      <c r="F612" s="112"/>
      <c r="G612" s="68">
        <v>498973.5</v>
      </c>
      <c r="H612" s="112"/>
      <c r="I612" s="338">
        <f t="shared" si="10"/>
        <v>99.19950298210736</v>
      </c>
    </row>
    <row r="613" spans="1:9" ht="15" customHeight="1">
      <c r="A613" s="86"/>
      <c r="B613" s="15"/>
      <c r="C613" s="20">
        <v>4210</v>
      </c>
      <c r="D613" s="39" t="s">
        <v>533</v>
      </c>
      <c r="E613" s="55">
        <v>426703</v>
      </c>
      <c r="F613" s="112"/>
      <c r="G613" s="68">
        <v>425429.15</v>
      </c>
      <c r="H613" s="112"/>
      <c r="I613" s="338">
        <f t="shared" si="10"/>
        <v>99.70146682821542</v>
      </c>
    </row>
    <row r="614" spans="1:9" ht="15" customHeight="1">
      <c r="A614" s="86"/>
      <c r="B614" s="15"/>
      <c r="C614" s="6">
        <v>4260</v>
      </c>
      <c r="D614" s="2" t="s">
        <v>591</v>
      </c>
      <c r="E614" s="55">
        <v>1443930</v>
      </c>
      <c r="F614" s="112"/>
      <c r="G614" s="68">
        <v>1409446.65</v>
      </c>
      <c r="H614" s="112"/>
      <c r="I614" s="338">
        <f t="shared" si="10"/>
        <v>97.61184060169121</v>
      </c>
    </row>
    <row r="615" spans="1:9" ht="15" customHeight="1">
      <c r="A615" s="86"/>
      <c r="B615" s="15"/>
      <c r="C615" s="6">
        <v>4270</v>
      </c>
      <c r="D615" s="2" t="s">
        <v>534</v>
      </c>
      <c r="E615" s="55">
        <v>201500</v>
      </c>
      <c r="F615" s="112"/>
      <c r="G615" s="68">
        <v>201233.87</v>
      </c>
      <c r="H615" s="112"/>
      <c r="I615" s="338">
        <f t="shared" si="10"/>
        <v>99.86792555831265</v>
      </c>
    </row>
    <row r="616" spans="1:9" ht="15" customHeight="1">
      <c r="A616" s="86"/>
      <c r="B616" s="15"/>
      <c r="C616" s="6">
        <v>4280</v>
      </c>
      <c r="D616" s="2" t="s">
        <v>723</v>
      </c>
      <c r="E616" s="55">
        <v>6200</v>
      </c>
      <c r="F616" s="112"/>
      <c r="G616" s="68">
        <v>5854</v>
      </c>
      <c r="H616" s="112"/>
      <c r="I616" s="338">
        <f t="shared" si="10"/>
        <v>94.41935483870968</v>
      </c>
    </row>
    <row r="617" spans="1:9" ht="15" customHeight="1">
      <c r="A617" s="86"/>
      <c r="B617" s="15"/>
      <c r="C617" s="6">
        <v>4300</v>
      </c>
      <c r="D617" s="2" t="s">
        <v>530</v>
      </c>
      <c r="E617" s="55">
        <v>339500</v>
      </c>
      <c r="F617" s="112"/>
      <c r="G617" s="68">
        <v>334285.42</v>
      </c>
      <c r="H617" s="112"/>
      <c r="I617" s="338">
        <f t="shared" si="10"/>
        <v>98.46404123711339</v>
      </c>
    </row>
    <row r="618" spans="1:9" ht="15" customHeight="1">
      <c r="A618" s="86"/>
      <c r="B618" s="15"/>
      <c r="C618" s="6">
        <v>4350</v>
      </c>
      <c r="D618" s="2" t="s">
        <v>586</v>
      </c>
      <c r="E618" s="55">
        <v>4800</v>
      </c>
      <c r="F618" s="112"/>
      <c r="G618" s="68">
        <v>4720.38</v>
      </c>
      <c r="H618" s="112"/>
      <c r="I618" s="338">
        <f t="shared" si="10"/>
        <v>98.34125</v>
      </c>
    </row>
    <row r="619" spans="1:9" ht="39" customHeight="1">
      <c r="A619" s="86"/>
      <c r="B619" s="15"/>
      <c r="C619" s="6">
        <v>4360</v>
      </c>
      <c r="D619" s="2" t="s">
        <v>768</v>
      </c>
      <c r="E619" s="55">
        <v>10700</v>
      </c>
      <c r="F619" s="112"/>
      <c r="G619" s="68">
        <v>10546.29</v>
      </c>
      <c r="H619" s="112"/>
      <c r="I619" s="338">
        <f t="shared" si="10"/>
        <v>98.56345794392524</v>
      </c>
    </row>
    <row r="620" spans="1:9" ht="39" customHeight="1">
      <c r="A620" s="86"/>
      <c r="B620" s="15"/>
      <c r="C620" s="6">
        <v>4370</v>
      </c>
      <c r="D620" s="2" t="s">
        <v>767</v>
      </c>
      <c r="E620" s="55">
        <v>15450</v>
      </c>
      <c r="F620" s="112"/>
      <c r="G620" s="68">
        <v>15184.96</v>
      </c>
      <c r="H620" s="112"/>
      <c r="I620" s="338">
        <f t="shared" si="10"/>
        <v>98.28453074433656</v>
      </c>
    </row>
    <row r="621" spans="1:9" ht="15" customHeight="1">
      <c r="A621" s="86"/>
      <c r="B621" s="15"/>
      <c r="C621" s="6">
        <v>4410</v>
      </c>
      <c r="D621" s="2" t="s">
        <v>580</v>
      </c>
      <c r="E621" s="55">
        <v>23100</v>
      </c>
      <c r="F621" s="112"/>
      <c r="G621" s="68">
        <v>22945.85</v>
      </c>
      <c r="H621" s="112"/>
      <c r="I621" s="338">
        <f t="shared" si="10"/>
        <v>99.33268398268397</v>
      </c>
    </row>
    <row r="622" spans="1:9" ht="15" customHeight="1">
      <c r="A622" s="86"/>
      <c r="B622" s="15"/>
      <c r="C622" s="6">
        <v>4430</v>
      </c>
      <c r="D622" s="2" t="s">
        <v>288</v>
      </c>
      <c r="E622" s="55">
        <v>20100</v>
      </c>
      <c r="F622" s="112"/>
      <c r="G622" s="68">
        <v>19961</v>
      </c>
      <c r="H622" s="112"/>
      <c r="I622" s="338">
        <f t="shared" si="10"/>
        <v>99.30845771144278</v>
      </c>
    </row>
    <row r="623" spans="1:9" ht="26.25" customHeight="1">
      <c r="A623" s="86"/>
      <c r="B623" s="15"/>
      <c r="C623" s="6">
        <v>4440</v>
      </c>
      <c r="D623" s="2" t="s">
        <v>578</v>
      </c>
      <c r="E623" s="55">
        <v>98370</v>
      </c>
      <c r="F623" s="112"/>
      <c r="G623" s="68">
        <v>98369.81</v>
      </c>
      <c r="H623" s="112"/>
      <c r="I623" s="338">
        <f t="shared" si="10"/>
        <v>99.99980685168242</v>
      </c>
    </row>
    <row r="624" spans="1:9" ht="15" customHeight="1">
      <c r="A624" s="86"/>
      <c r="B624" s="15"/>
      <c r="C624" s="6">
        <v>4480</v>
      </c>
      <c r="D624" s="2" t="s">
        <v>306</v>
      </c>
      <c r="E624" s="55">
        <v>152000</v>
      </c>
      <c r="F624" s="112"/>
      <c r="G624" s="68">
        <v>151976</v>
      </c>
      <c r="H624" s="112"/>
      <c r="I624" s="338">
        <f t="shared" si="10"/>
        <v>99.98421052631579</v>
      </c>
    </row>
    <row r="625" spans="1:9" ht="27" customHeight="1">
      <c r="A625" s="86"/>
      <c r="B625" s="15"/>
      <c r="C625" s="6">
        <v>4520</v>
      </c>
      <c r="D625" s="2" t="s">
        <v>92</v>
      </c>
      <c r="E625" s="55">
        <v>900</v>
      </c>
      <c r="F625" s="112"/>
      <c r="G625" s="68">
        <v>851.77</v>
      </c>
      <c r="H625" s="112"/>
      <c r="I625" s="338">
        <f t="shared" si="10"/>
        <v>94.64111111111112</v>
      </c>
    </row>
    <row r="626" spans="1:9" ht="20.25" customHeight="1">
      <c r="A626" s="86"/>
      <c r="B626" s="15"/>
      <c r="C626" s="6">
        <v>4530</v>
      </c>
      <c r="D626" s="2" t="s">
        <v>446</v>
      </c>
      <c r="E626" s="55">
        <v>110000</v>
      </c>
      <c r="F626" s="112"/>
      <c r="G626" s="68">
        <v>109866.06</v>
      </c>
      <c r="H626" s="112"/>
      <c r="I626" s="338">
        <f t="shared" si="10"/>
        <v>99.87823636363636</v>
      </c>
    </row>
    <row r="627" spans="1:9" ht="29.25" customHeight="1">
      <c r="A627" s="86"/>
      <c r="B627" s="15"/>
      <c r="C627" s="6">
        <v>4610</v>
      </c>
      <c r="D627" s="2" t="s">
        <v>506</v>
      </c>
      <c r="E627" s="55">
        <v>2150</v>
      </c>
      <c r="F627" s="112"/>
      <c r="G627" s="68">
        <v>2130</v>
      </c>
      <c r="H627" s="112"/>
      <c r="I627" s="338">
        <f t="shared" si="10"/>
        <v>99.06976744186046</v>
      </c>
    </row>
    <row r="628" spans="1:9" ht="30" customHeight="1">
      <c r="A628" s="86"/>
      <c r="B628" s="15"/>
      <c r="C628" s="6">
        <v>4700</v>
      </c>
      <c r="D628" s="2" t="s">
        <v>93</v>
      </c>
      <c r="E628" s="55">
        <v>5900</v>
      </c>
      <c r="F628" s="112"/>
      <c r="G628" s="68">
        <v>5541</v>
      </c>
      <c r="H628" s="112"/>
      <c r="I628" s="338">
        <f t="shared" si="10"/>
        <v>93.91525423728814</v>
      </c>
    </row>
    <row r="629" spans="1:9" ht="25.5" customHeight="1">
      <c r="A629" s="86"/>
      <c r="B629" s="15"/>
      <c r="C629" s="6">
        <v>6050</v>
      </c>
      <c r="D629" s="2" t="s">
        <v>750</v>
      </c>
      <c r="E629" s="55">
        <v>315000</v>
      </c>
      <c r="F629" s="112"/>
      <c r="G629" s="68">
        <v>286648.06</v>
      </c>
      <c r="H629" s="112"/>
      <c r="I629" s="338">
        <f t="shared" si="10"/>
        <v>90.99938412698413</v>
      </c>
    </row>
    <row r="630" spans="1:9" ht="24" customHeight="1">
      <c r="A630" s="150"/>
      <c r="B630" s="141">
        <v>92695</v>
      </c>
      <c r="C630" s="32"/>
      <c r="D630" s="33" t="s">
        <v>593</v>
      </c>
      <c r="E630" s="37">
        <f>SUM(E631:E635)</f>
        <v>2075460</v>
      </c>
      <c r="F630" s="112"/>
      <c r="G630" s="124">
        <f>SUM(G631:G635)</f>
        <v>2055605.92</v>
      </c>
      <c r="H630" s="112"/>
      <c r="I630" s="338">
        <f t="shared" si="10"/>
        <v>99.0433889354649</v>
      </c>
    </row>
    <row r="631" spans="1:9" ht="80.25" customHeight="1">
      <c r="A631" s="152"/>
      <c r="B631" s="100"/>
      <c r="C631" s="6">
        <v>2360</v>
      </c>
      <c r="D631" s="2" t="s">
        <v>428</v>
      </c>
      <c r="E631" s="120">
        <v>150000</v>
      </c>
      <c r="F631" s="112"/>
      <c r="G631" s="119">
        <v>134160</v>
      </c>
      <c r="H631" s="112"/>
      <c r="I631" s="338">
        <f t="shared" si="10"/>
        <v>89.44</v>
      </c>
    </row>
    <row r="632" spans="1:9" ht="39" customHeight="1">
      <c r="A632" s="152"/>
      <c r="B632" s="105"/>
      <c r="C632" s="6">
        <v>2820</v>
      </c>
      <c r="D632" s="2" t="s">
        <v>735</v>
      </c>
      <c r="E632" s="120">
        <v>1790000</v>
      </c>
      <c r="F632" s="112"/>
      <c r="G632" s="119">
        <v>1790000</v>
      </c>
      <c r="H632" s="112"/>
      <c r="I632" s="338">
        <f t="shared" si="10"/>
        <v>100</v>
      </c>
    </row>
    <row r="633" spans="1:9" ht="27" customHeight="1">
      <c r="A633" s="152"/>
      <c r="B633" s="105"/>
      <c r="C633" s="13">
        <v>3040</v>
      </c>
      <c r="D633" s="2" t="s">
        <v>636</v>
      </c>
      <c r="E633" s="120">
        <v>50000</v>
      </c>
      <c r="F633" s="112"/>
      <c r="G633" s="119">
        <v>50000</v>
      </c>
      <c r="H633" s="112"/>
      <c r="I633" s="338">
        <f t="shared" si="10"/>
        <v>100</v>
      </c>
    </row>
    <row r="634" spans="1:9" ht="18.75" customHeight="1">
      <c r="A634" s="152"/>
      <c r="B634" s="105"/>
      <c r="C634" s="13">
        <v>4210</v>
      </c>
      <c r="D634" s="2" t="s">
        <v>533</v>
      </c>
      <c r="E634" s="55">
        <v>60000</v>
      </c>
      <c r="F634" s="112"/>
      <c r="G634" s="68">
        <v>56449.04</v>
      </c>
      <c r="H634" s="112"/>
      <c r="I634" s="338">
        <f t="shared" si="10"/>
        <v>94.08173333333335</v>
      </c>
    </row>
    <row r="635" spans="1:9" ht="21" customHeight="1">
      <c r="A635" s="152"/>
      <c r="B635" s="105"/>
      <c r="C635" s="22">
        <v>4300</v>
      </c>
      <c r="D635" s="39" t="s">
        <v>530</v>
      </c>
      <c r="E635" s="55">
        <v>25460</v>
      </c>
      <c r="F635" s="224"/>
      <c r="G635" s="68">
        <v>24996.88</v>
      </c>
      <c r="H635" s="224"/>
      <c r="I635" s="338">
        <f t="shared" si="10"/>
        <v>98.18098978790259</v>
      </c>
    </row>
    <row r="636" spans="1:18" ht="20.25" customHeight="1">
      <c r="A636" s="277" t="s">
        <v>507</v>
      </c>
      <c r="B636" s="550"/>
      <c r="C636" s="551"/>
      <c r="D636" s="552"/>
      <c r="E636" s="553">
        <f>E12+E20+E37+E62+E73+E123+E128+E131+E153+E157+E164+E303+E356+E453+E522+E547+E587+E602</f>
        <v>263000193.68999997</v>
      </c>
      <c r="F636" s="554">
        <f>F12+F20+F37+F62+F73+F123+F128+F131+F153+F157+F164+F303+F356+F453+F522+F547+F587+F602</f>
        <v>21991438</v>
      </c>
      <c r="G636" s="553">
        <f>G12+G20+G37+G62+G73+G123+G128+G131+G153+G157+G164+G303+G356+G453+G522+G547+G587+G602</f>
        <v>252575096.14000005</v>
      </c>
      <c r="H636" s="554">
        <f>H12+H20+H37+H62+H73+H123+H128+H131+H153+H157+H164+H303+H356+H453+H522+H547+H587+H602</f>
        <v>21710823.62</v>
      </c>
      <c r="I636" s="555">
        <f t="shared" si="10"/>
        <v>96.03608750102745</v>
      </c>
      <c r="K636" s="469"/>
      <c r="L636" s="469"/>
      <c r="M636" s="353"/>
      <c r="O636" s="469"/>
      <c r="P636" s="353"/>
      <c r="R636" s="452"/>
    </row>
    <row r="637" spans="1:12" ht="21" customHeight="1">
      <c r="A637" s="156" t="s">
        <v>83</v>
      </c>
      <c r="B637" s="445" t="s">
        <v>520</v>
      </c>
      <c r="C637" s="8"/>
      <c r="D637" s="1"/>
      <c r="E637" s="446"/>
      <c r="F637" s="238"/>
      <c r="G637" s="446"/>
      <c r="H637" s="238"/>
      <c r="I637" s="337"/>
      <c r="K637" s="353"/>
      <c r="L637" s="353"/>
    </row>
    <row r="638" spans="1:9" ht="21.75" customHeight="1">
      <c r="A638" s="88">
        <v>600</v>
      </c>
      <c r="B638" s="88"/>
      <c r="C638" s="9"/>
      <c r="D638" s="137" t="s">
        <v>87</v>
      </c>
      <c r="E638" s="220">
        <f>E639</f>
        <v>34028375.269999996</v>
      </c>
      <c r="F638" s="112"/>
      <c r="G638" s="220">
        <f>G639</f>
        <v>33736609.65</v>
      </c>
      <c r="H638" s="113"/>
      <c r="I638" s="442">
        <f t="shared" si="10"/>
        <v>99.14258139659925</v>
      </c>
    </row>
    <row r="639" spans="1:9" ht="27" customHeight="1">
      <c r="A639" s="138"/>
      <c r="B639" s="99">
        <v>60015</v>
      </c>
      <c r="C639" s="32"/>
      <c r="D639" s="33" t="s">
        <v>508</v>
      </c>
      <c r="E639" s="37">
        <f>SUM(E640:E645)</f>
        <v>34028375.269999996</v>
      </c>
      <c r="F639" s="130"/>
      <c r="G639" s="37">
        <f>SUM(G640:G645)</f>
        <v>33736609.65</v>
      </c>
      <c r="H639" s="269"/>
      <c r="I639" s="338">
        <f t="shared" si="10"/>
        <v>99.14258139659925</v>
      </c>
    </row>
    <row r="640" spans="1:9" ht="15" customHeight="1">
      <c r="A640" s="140"/>
      <c r="B640" s="102"/>
      <c r="C640" s="6">
        <v>4170</v>
      </c>
      <c r="D640" s="2" t="s">
        <v>583</v>
      </c>
      <c r="E640" s="231">
        <v>15000</v>
      </c>
      <c r="F640" s="112"/>
      <c r="G640" s="231">
        <v>15000</v>
      </c>
      <c r="H640" s="113"/>
      <c r="I640" s="338">
        <f t="shared" si="10"/>
        <v>100</v>
      </c>
    </row>
    <row r="641" spans="1:9" ht="15" customHeight="1">
      <c r="A641" s="140"/>
      <c r="B641" s="102"/>
      <c r="C641" s="6">
        <v>4270</v>
      </c>
      <c r="D641" s="2" t="s">
        <v>534</v>
      </c>
      <c r="E641" s="231">
        <v>6890800</v>
      </c>
      <c r="F641" s="112"/>
      <c r="G641" s="231">
        <v>6889904.68</v>
      </c>
      <c r="H641" s="113"/>
      <c r="I641" s="338">
        <f aca="true" t="shared" si="11" ref="I641:I702">G641/E641*100</f>
        <v>99.98700702385788</v>
      </c>
    </row>
    <row r="642" spans="1:9" ht="15" customHeight="1">
      <c r="A642" s="105"/>
      <c r="B642" s="117"/>
      <c r="C642" s="6">
        <v>4300</v>
      </c>
      <c r="D642" s="2" t="s">
        <v>530</v>
      </c>
      <c r="E642" s="35">
        <v>1930740</v>
      </c>
      <c r="F642" s="112"/>
      <c r="G642" s="35">
        <v>1735937.14</v>
      </c>
      <c r="H642" s="113"/>
      <c r="I642" s="338">
        <f t="shared" si="11"/>
        <v>89.91045609455442</v>
      </c>
    </row>
    <row r="643" spans="1:9" ht="24.75" customHeight="1">
      <c r="A643" s="105"/>
      <c r="B643" s="117"/>
      <c r="C643" s="6">
        <v>4390</v>
      </c>
      <c r="D643" s="2" t="s">
        <v>505</v>
      </c>
      <c r="E643" s="35">
        <v>1000</v>
      </c>
      <c r="F643" s="112"/>
      <c r="G643" s="35">
        <v>0</v>
      </c>
      <c r="H643" s="113"/>
      <c r="I643" s="338"/>
    </row>
    <row r="644" spans="1:9" ht="24.75" customHeight="1">
      <c r="A644" s="105"/>
      <c r="B644" s="117"/>
      <c r="C644" s="6">
        <v>4610</v>
      </c>
      <c r="D644" s="2" t="s">
        <v>506</v>
      </c>
      <c r="E644" s="35">
        <v>100000</v>
      </c>
      <c r="F644" s="112"/>
      <c r="G644" s="35">
        <v>100000</v>
      </c>
      <c r="H644" s="113"/>
      <c r="I644" s="338">
        <f t="shared" si="11"/>
        <v>100</v>
      </c>
    </row>
    <row r="645" spans="1:9" ht="26.25" customHeight="1">
      <c r="A645" s="105"/>
      <c r="B645" s="117"/>
      <c r="C645" s="20">
        <v>6050</v>
      </c>
      <c r="D645" s="2" t="s">
        <v>536</v>
      </c>
      <c r="E645" s="35">
        <v>25090835.27</v>
      </c>
      <c r="F645" s="115"/>
      <c r="G645" s="35">
        <v>24995767.83</v>
      </c>
      <c r="H645" s="230"/>
      <c r="I645" s="338">
        <f t="shared" si="11"/>
        <v>99.62110691422987</v>
      </c>
    </row>
    <row r="646" spans="1:9" ht="24.75" customHeight="1">
      <c r="A646" s="77">
        <v>630</v>
      </c>
      <c r="B646" s="77"/>
      <c r="C646" s="16"/>
      <c r="D646" s="44" t="s">
        <v>509</v>
      </c>
      <c r="E646" s="45">
        <f>E647+E649</f>
        <v>145563</v>
      </c>
      <c r="F646" s="112"/>
      <c r="G646" s="45">
        <f>G647+G649</f>
        <v>135209.9</v>
      </c>
      <c r="H646" s="113"/>
      <c r="I646" s="339">
        <f t="shared" si="11"/>
        <v>92.88754697278841</v>
      </c>
    </row>
    <row r="647" spans="1:22" s="69" customFormat="1" ht="20.25" customHeight="1">
      <c r="A647" s="127"/>
      <c r="B647" s="61">
        <v>63001</v>
      </c>
      <c r="C647" s="32"/>
      <c r="D647" s="33" t="s">
        <v>644</v>
      </c>
      <c r="E647" s="52">
        <f>E648</f>
        <v>40000</v>
      </c>
      <c r="F647" s="131"/>
      <c r="G647" s="52">
        <f>G648</f>
        <v>40000</v>
      </c>
      <c r="H647" s="271"/>
      <c r="I647" s="338">
        <f t="shared" si="11"/>
        <v>100</v>
      </c>
      <c r="J647" s="447"/>
      <c r="K647" s="352"/>
      <c r="L647" s="352"/>
      <c r="M647" s="352"/>
      <c r="N647" s="352"/>
      <c r="O647" s="465"/>
      <c r="P647" s="352"/>
      <c r="Q647" s="352"/>
      <c r="R647" s="352"/>
      <c r="S647" s="352"/>
      <c r="T647" s="321"/>
      <c r="U647" s="321"/>
      <c r="V647" s="321"/>
    </row>
    <row r="648" spans="1:9" ht="77.25" customHeight="1">
      <c r="A648" s="87"/>
      <c r="B648" s="77"/>
      <c r="C648" s="6">
        <v>2360</v>
      </c>
      <c r="D648" s="2" t="s">
        <v>428</v>
      </c>
      <c r="E648" s="72">
        <v>40000</v>
      </c>
      <c r="F648" s="112"/>
      <c r="G648" s="72">
        <v>40000</v>
      </c>
      <c r="H648" s="113"/>
      <c r="I648" s="338">
        <f t="shared" si="11"/>
        <v>100</v>
      </c>
    </row>
    <row r="649" spans="1:9" ht="22.5" customHeight="1">
      <c r="A649" s="140"/>
      <c r="B649" s="61">
        <v>63095</v>
      </c>
      <c r="C649" s="32"/>
      <c r="D649" s="33" t="s">
        <v>494</v>
      </c>
      <c r="E649" s="37">
        <f>SUM(E650:E654)</f>
        <v>105563</v>
      </c>
      <c r="F649" s="112"/>
      <c r="G649" s="37">
        <f>SUM(G650:G654)</f>
        <v>95209.9</v>
      </c>
      <c r="H649" s="113"/>
      <c r="I649" s="338">
        <f t="shared" si="11"/>
        <v>90.19249168742836</v>
      </c>
    </row>
    <row r="650" spans="1:9" ht="77.25" customHeight="1">
      <c r="A650" s="140"/>
      <c r="B650" s="102"/>
      <c r="C650" s="6">
        <v>2360</v>
      </c>
      <c r="D650" s="2" t="s">
        <v>428</v>
      </c>
      <c r="E650" s="120">
        <v>30000</v>
      </c>
      <c r="F650" s="112"/>
      <c r="G650" s="120">
        <v>30000</v>
      </c>
      <c r="H650" s="113"/>
      <c r="I650" s="338">
        <f t="shared" si="11"/>
        <v>100</v>
      </c>
    </row>
    <row r="651" spans="1:9" ht="21.75" customHeight="1">
      <c r="A651" s="105"/>
      <c r="B651" s="117"/>
      <c r="C651" s="6">
        <v>4210</v>
      </c>
      <c r="D651" s="2" t="s">
        <v>533</v>
      </c>
      <c r="E651" s="55">
        <v>8300</v>
      </c>
      <c r="F651" s="112"/>
      <c r="G651" s="55">
        <v>5655.57</v>
      </c>
      <c r="H651" s="113"/>
      <c r="I651" s="338">
        <f t="shared" si="11"/>
        <v>68.13939759036144</v>
      </c>
    </row>
    <row r="652" spans="1:9" ht="21" customHeight="1">
      <c r="A652" s="105"/>
      <c r="B652" s="117"/>
      <c r="C652" s="6">
        <v>4260</v>
      </c>
      <c r="D652" s="2" t="s">
        <v>591</v>
      </c>
      <c r="E652" s="55">
        <v>3000</v>
      </c>
      <c r="F652" s="112"/>
      <c r="G652" s="55">
        <v>680.82</v>
      </c>
      <c r="H652" s="113"/>
      <c r="I652" s="338">
        <f t="shared" si="11"/>
        <v>22.694</v>
      </c>
    </row>
    <row r="653" spans="1:9" ht="18" customHeight="1">
      <c r="A653" s="105"/>
      <c r="B653" s="117"/>
      <c r="C653" s="6">
        <v>4300</v>
      </c>
      <c r="D653" s="2" t="s">
        <v>530</v>
      </c>
      <c r="E653" s="55">
        <v>58700</v>
      </c>
      <c r="F653" s="112"/>
      <c r="G653" s="55">
        <v>53310.51</v>
      </c>
      <c r="H653" s="113"/>
      <c r="I653" s="338">
        <f t="shared" si="11"/>
        <v>90.81858603066439</v>
      </c>
    </row>
    <row r="654" spans="1:9" ht="46.5" customHeight="1">
      <c r="A654" s="105"/>
      <c r="B654" s="117"/>
      <c r="C654" s="6">
        <v>4560</v>
      </c>
      <c r="D654" s="2" t="s">
        <v>800</v>
      </c>
      <c r="E654" s="55">
        <v>5563</v>
      </c>
      <c r="F654" s="112"/>
      <c r="G654" s="55">
        <v>5563</v>
      </c>
      <c r="H654" s="113"/>
      <c r="I654" s="338">
        <f t="shared" si="11"/>
        <v>100</v>
      </c>
    </row>
    <row r="655" spans="1:9" ht="20.25" customHeight="1">
      <c r="A655" s="78">
        <v>700</v>
      </c>
      <c r="B655" s="123"/>
      <c r="C655" s="16"/>
      <c r="D655" s="44" t="s">
        <v>510</v>
      </c>
      <c r="E655" s="45">
        <f>E656</f>
        <v>50000</v>
      </c>
      <c r="F655" s="185">
        <f>F656</f>
        <v>50000</v>
      </c>
      <c r="G655" s="45">
        <f>G656</f>
        <v>35106.59</v>
      </c>
      <c r="H655" s="272">
        <f>H656</f>
        <v>35106.59</v>
      </c>
      <c r="I655" s="339">
        <f t="shared" si="11"/>
        <v>70.21318</v>
      </c>
    </row>
    <row r="656" spans="1:9" ht="26.25" customHeight="1">
      <c r="A656" s="138"/>
      <c r="B656" s="99">
        <v>70005</v>
      </c>
      <c r="C656" s="32"/>
      <c r="D656" s="33" t="s">
        <v>493</v>
      </c>
      <c r="E656" s="124">
        <f>SUM(E657:E660)</f>
        <v>50000</v>
      </c>
      <c r="F656" s="124">
        <f>SUM(F657:F660)</f>
        <v>50000</v>
      </c>
      <c r="G656" s="124">
        <f>SUM(G657:G660)</f>
        <v>35106.59</v>
      </c>
      <c r="H656" s="124">
        <f>SUM(H657:H660)</f>
        <v>35106.59</v>
      </c>
      <c r="I656" s="338">
        <f t="shared" si="11"/>
        <v>70.21318</v>
      </c>
    </row>
    <row r="657" spans="1:9" ht="22.5" customHeight="1">
      <c r="A657" s="140"/>
      <c r="B657" s="102"/>
      <c r="C657" s="6">
        <v>4270</v>
      </c>
      <c r="D657" s="2" t="s">
        <v>534</v>
      </c>
      <c r="E657" s="68">
        <v>10000</v>
      </c>
      <c r="F657" s="121">
        <v>10000</v>
      </c>
      <c r="G657" s="68">
        <v>10000</v>
      </c>
      <c r="H657" s="68">
        <v>10000</v>
      </c>
      <c r="I657" s="338">
        <f t="shared" si="11"/>
        <v>100</v>
      </c>
    </row>
    <row r="658" spans="1:9" ht="21" customHeight="1">
      <c r="A658" s="105"/>
      <c r="B658" s="117"/>
      <c r="C658" s="6">
        <v>4300</v>
      </c>
      <c r="D658" s="2" t="s">
        <v>530</v>
      </c>
      <c r="E658" s="68">
        <v>23900</v>
      </c>
      <c r="F658" s="68">
        <v>23900</v>
      </c>
      <c r="G658" s="68">
        <v>16500.96</v>
      </c>
      <c r="H658" s="68">
        <v>16500.96</v>
      </c>
      <c r="I658" s="338">
        <f t="shared" si="11"/>
        <v>69.04167364016736</v>
      </c>
    </row>
    <row r="659" spans="1:9" ht="20.25" customHeight="1">
      <c r="A659" s="105"/>
      <c r="B659" s="117"/>
      <c r="C659" s="6">
        <v>4480</v>
      </c>
      <c r="D659" s="2" t="s">
        <v>306</v>
      </c>
      <c r="E659" s="68">
        <v>3100</v>
      </c>
      <c r="F659" s="68">
        <v>3100</v>
      </c>
      <c r="G659" s="68">
        <v>1894</v>
      </c>
      <c r="H659" s="68">
        <v>1894</v>
      </c>
      <c r="I659" s="338">
        <f t="shared" si="11"/>
        <v>61.096774193548384</v>
      </c>
    </row>
    <row r="660" spans="1:9" ht="29.25" customHeight="1">
      <c r="A660" s="105"/>
      <c r="B660" s="117"/>
      <c r="C660" s="6">
        <v>4610</v>
      </c>
      <c r="D660" s="2" t="s">
        <v>506</v>
      </c>
      <c r="E660" s="68">
        <v>13000</v>
      </c>
      <c r="F660" s="68">
        <v>13000</v>
      </c>
      <c r="G660" s="68">
        <v>6711.63</v>
      </c>
      <c r="H660" s="68">
        <v>6711.63</v>
      </c>
      <c r="I660" s="338">
        <f t="shared" si="11"/>
        <v>51.627923076923075</v>
      </c>
    </row>
    <row r="661" spans="1:9" ht="27" customHeight="1">
      <c r="A661" s="78">
        <v>710</v>
      </c>
      <c r="B661" s="77"/>
      <c r="C661" s="16"/>
      <c r="D661" s="44" t="s">
        <v>511</v>
      </c>
      <c r="E661" s="45">
        <f>E662+E667+E669+E671</f>
        <v>916556.23</v>
      </c>
      <c r="F661" s="229">
        <f>F662+F667+F669+F671</f>
        <v>434757</v>
      </c>
      <c r="G661" s="45">
        <f>G662+G667+G669+G671</f>
        <v>843713.9299999999</v>
      </c>
      <c r="H661" s="273">
        <f>H662+H667+H669+H671</f>
        <v>434382.61999999994</v>
      </c>
      <c r="I661" s="339">
        <f t="shared" si="11"/>
        <v>92.05260980005558</v>
      </c>
    </row>
    <row r="662" spans="1:22" s="69" customFormat="1" ht="30.75" customHeight="1">
      <c r="A662" s="145"/>
      <c r="B662" s="128">
        <v>71012</v>
      </c>
      <c r="C662" s="32"/>
      <c r="D662" s="33" t="s">
        <v>605</v>
      </c>
      <c r="E662" s="37">
        <f>SUM(E663:E666)</f>
        <v>120000</v>
      </c>
      <c r="F662" s="131"/>
      <c r="G662" s="37">
        <f>SUM(G663:G666)</f>
        <v>103301.78</v>
      </c>
      <c r="H662" s="271"/>
      <c r="I662" s="338">
        <f t="shared" si="11"/>
        <v>86.08481666666667</v>
      </c>
      <c r="J662" s="447"/>
      <c r="K662" s="352"/>
      <c r="L662" s="352"/>
      <c r="M662" s="352"/>
      <c r="N662" s="352"/>
      <c r="O662" s="465"/>
      <c r="P662" s="352"/>
      <c r="Q662" s="352"/>
      <c r="R662" s="352"/>
      <c r="S662" s="352"/>
      <c r="T662" s="321"/>
      <c r="U662" s="321"/>
      <c r="V662" s="321"/>
    </row>
    <row r="663" spans="1:9" ht="21.75" customHeight="1">
      <c r="A663" s="91"/>
      <c r="B663" s="81"/>
      <c r="C663" s="13">
        <v>4210</v>
      </c>
      <c r="D663" s="2" t="s">
        <v>533</v>
      </c>
      <c r="E663" s="35">
        <v>31400</v>
      </c>
      <c r="F663" s="112"/>
      <c r="G663" s="35">
        <v>23670.05</v>
      </c>
      <c r="H663" s="113"/>
      <c r="I663" s="338">
        <f t="shared" si="11"/>
        <v>75.38232484076433</v>
      </c>
    </row>
    <row r="664" spans="1:9" ht="21.75" customHeight="1">
      <c r="A664" s="91"/>
      <c r="B664" s="81"/>
      <c r="C664" s="6">
        <v>4270</v>
      </c>
      <c r="D664" s="2" t="s">
        <v>534</v>
      </c>
      <c r="E664" s="35">
        <v>5000</v>
      </c>
      <c r="F664" s="112"/>
      <c r="G664" s="35">
        <v>350.55</v>
      </c>
      <c r="H664" s="113"/>
      <c r="I664" s="338">
        <f t="shared" si="11"/>
        <v>7.011000000000001</v>
      </c>
    </row>
    <row r="665" spans="1:9" ht="21.75" customHeight="1">
      <c r="A665" s="91"/>
      <c r="B665" s="81"/>
      <c r="C665" s="13">
        <v>4300</v>
      </c>
      <c r="D665" s="2" t="s">
        <v>530</v>
      </c>
      <c r="E665" s="35">
        <v>38600</v>
      </c>
      <c r="F665" s="112"/>
      <c r="G665" s="35">
        <v>35350.2</v>
      </c>
      <c r="H665" s="113"/>
      <c r="I665" s="338">
        <f t="shared" si="11"/>
        <v>91.58082901554403</v>
      </c>
    </row>
    <row r="666" spans="1:9" ht="33" customHeight="1">
      <c r="A666" s="91"/>
      <c r="B666" s="89"/>
      <c r="C666" s="13">
        <v>6060</v>
      </c>
      <c r="D666" s="2" t="s">
        <v>598</v>
      </c>
      <c r="E666" s="35">
        <v>45000</v>
      </c>
      <c r="F666" s="115"/>
      <c r="G666" s="35">
        <v>43930.98</v>
      </c>
      <c r="H666" s="230"/>
      <c r="I666" s="338">
        <f t="shared" si="11"/>
        <v>97.62440000000001</v>
      </c>
    </row>
    <row r="667" spans="1:9" ht="30" customHeight="1">
      <c r="A667" s="140"/>
      <c r="B667" s="147">
        <v>71013</v>
      </c>
      <c r="C667" s="32"/>
      <c r="D667" s="33" t="s">
        <v>512</v>
      </c>
      <c r="E667" s="124">
        <f>E668</f>
        <v>446099.23</v>
      </c>
      <c r="F667" s="228">
        <f>F668</f>
        <v>84300</v>
      </c>
      <c r="G667" s="124">
        <f>G668</f>
        <v>390329.53</v>
      </c>
      <c r="H667" s="267">
        <f>H668</f>
        <v>84300</v>
      </c>
      <c r="I667" s="338">
        <f t="shared" si="11"/>
        <v>87.49836443340196</v>
      </c>
    </row>
    <row r="668" spans="1:9" ht="18.75" customHeight="1">
      <c r="A668" s="105"/>
      <c r="B668" s="117"/>
      <c r="C668" s="6">
        <v>4300</v>
      </c>
      <c r="D668" s="2" t="s">
        <v>530</v>
      </c>
      <c r="E668" s="68">
        <v>446099.23</v>
      </c>
      <c r="F668" s="179">
        <v>84300</v>
      </c>
      <c r="G668" s="68">
        <f>306029.53+84300</f>
        <v>390329.53</v>
      </c>
      <c r="H668" s="73">
        <v>84300</v>
      </c>
      <c r="I668" s="338">
        <f t="shared" si="11"/>
        <v>87.49836443340196</v>
      </c>
    </row>
    <row r="669" spans="1:9" ht="24.75" customHeight="1">
      <c r="A669" s="140"/>
      <c r="B669" s="99">
        <v>71014</v>
      </c>
      <c r="C669" s="32"/>
      <c r="D669" s="33" t="s">
        <v>513</v>
      </c>
      <c r="E669" s="124">
        <f>E670</f>
        <v>13000</v>
      </c>
      <c r="F669" s="133">
        <f>F670</f>
        <v>13000</v>
      </c>
      <c r="G669" s="124">
        <f>G670</f>
        <v>12630.3</v>
      </c>
      <c r="H669" s="177">
        <f>H670</f>
        <v>12630.3</v>
      </c>
      <c r="I669" s="338">
        <f t="shared" si="11"/>
        <v>97.15615384615384</v>
      </c>
    </row>
    <row r="670" spans="1:9" ht="20.25" customHeight="1">
      <c r="A670" s="105"/>
      <c r="B670" s="117"/>
      <c r="C670" s="6">
        <v>4300</v>
      </c>
      <c r="D670" s="2" t="s">
        <v>530</v>
      </c>
      <c r="E670" s="68">
        <v>13000</v>
      </c>
      <c r="F670" s="179">
        <v>13000</v>
      </c>
      <c r="G670" s="73">
        <v>12630.3</v>
      </c>
      <c r="H670" s="73">
        <v>12630.3</v>
      </c>
      <c r="I670" s="338">
        <f t="shared" si="11"/>
        <v>97.15615384615384</v>
      </c>
    </row>
    <row r="671" spans="1:9" ht="23.25" customHeight="1">
      <c r="A671" s="105"/>
      <c r="B671" s="31">
        <v>71015</v>
      </c>
      <c r="C671" s="32"/>
      <c r="D671" s="33" t="s">
        <v>680</v>
      </c>
      <c r="E671" s="124">
        <f>SUM(E672:E685)</f>
        <v>337457</v>
      </c>
      <c r="F671" s="175">
        <f>SUM(F672:F685)</f>
        <v>337457</v>
      </c>
      <c r="G671" s="124">
        <f>SUM(G672:G685)</f>
        <v>337452.31999999995</v>
      </c>
      <c r="H671" s="172">
        <f>SUM(H672:H685)</f>
        <v>337452.31999999995</v>
      </c>
      <c r="I671" s="338">
        <f t="shared" si="11"/>
        <v>99.99861315663921</v>
      </c>
    </row>
    <row r="672" spans="1:9" ht="26.25" customHeight="1">
      <c r="A672" s="105"/>
      <c r="B672" s="15"/>
      <c r="C672" s="6">
        <v>3020</v>
      </c>
      <c r="D672" s="2" t="s">
        <v>721</v>
      </c>
      <c r="E672" s="68">
        <v>410</v>
      </c>
      <c r="F672" s="68">
        <v>410</v>
      </c>
      <c r="G672" s="68">
        <v>409.97</v>
      </c>
      <c r="H672" s="68">
        <v>409.97</v>
      </c>
      <c r="I672" s="338">
        <f t="shared" si="11"/>
        <v>99.99268292682927</v>
      </c>
    </row>
    <row r="673" spans="1:9" ht="22.5" customHeight="1">
      <c r="A673" s="105"/>
      <c r="B673" s="15"/>
      <c r="C673" s="6">
        <v>4010</v>
      </c>
      <c r="D673" s="2" t="s">
        <v>572</v>
      </c>
      <c r="E673" s="68">
        <v>75892</v>
      </c>
      <c r="F673" s="68">
        <v>75892</v>
      </c>
      <c r="G673" s="68">
        <v>75891.39</v>
      </c>
      <c r="H673" s="68">
        <v>75891.39</v>
      </c>
      <c r="I673" s="338">
        <f t="shared" si="11"/>
        <v>99.9991962262162</v>
      </c>
    </row>
    <row r="674" spans="1:9" ht="28.5" customHeight="1">
      <c r="A674" s="105"/>
      <c r="B674" s="15"/>
      <c r="C674" s="6">
        <v>4020</v>
      </c>
      <c r="D674" s="2" t="s">
        <v>448</v>
      </c>
      <c r="E674" s="68">
        <v>170095</v>
      </c>
      <c r="F674" s="68">
        <v>170095</v>
      </c>
      <c r="G674" s="68">
        <v>170095</v>
      </c>
      <c r="H674" s="68">
        <v>170095</v>
      </c>
      <c r="I674" s="338">
        <f t="shared" si="11"/>
        <v>100</v>
      </c>
    </row>
    <row r="675" spans="1:9" ht="15" customHeight="1">
      <c r="A675" s="105"/>
      <c r="B675" s="15"/>
      <c r="C675" s="6">
        <v>4040</v>
      </c>
      <c r="D675" s="2" t="s">
        <v>575</v>
      </c>
      <c r="E675" s="68">
        <v>18606</v>
      </c>
      <c r="F675" s="68">
        <v>18606</v>
      </c>
      <c r="G675" s="68">
        <v>18605.99</v>
      </c>
      <c r="H675" s="68">
        <v>18605.99</v>
      </c>
      <c r="I675" s="338">
        <f t="shared" si="11"/>
        <v>99.9999462538966</v>
      </c>
    </row>
    <row r="676" spans="1:9" ht="15" customHeight="1">
      <c r="A676" s="105"/>
      <c r="B676" s="15"/>
      <c r="C676" s="6">
        <v>4110</v>
      </c>
      <c r="D676" s="2" t="s">
        <v>576</v>
      </c>
      <c r="E676" s="68">
        <v>43776</v>
      </c>
      <c r="F676" s="68">
        <v>43776</v>
      </c>
      <c r="G676" s="68">
        <v>43775.23</v>
      </c>
      <c r="H676" s="68">
        <v>43775.23</v>
      </c>
      <c r="I676" s="338">
        <f t="shared" si="11"/>
        <v>99.99824104532165</v>
      </c>
    </row>
    <row r="677" spans="1:9" ht="15" customHeight="1">
      <c r="A677" s="105"/>
      <c r="B677" s="15"/>
      <c r="C677" s="6">
        <v>4120</v>
      </c>
      <c r="D677" s="2" t="s">
        <v>577</v>
      </c>
      <c r="E677" s="68">
        <v>5065</v>
      </c>
      <c r="F677" s="68">
        <v>5065</v>
      </c>
      <c r="G677" s="68">
        <v>5064.02</v>
      </c>
      <c r="H677" s="68">
        <v>5064.02</v>
      </c>
      <c r="I677" s="338">
        <f t="shared" si="11"/>
        <v>99.9806515301086</v>
      </c>
    </row>
    <row r="678" spans="1:9" ht="15" customHeight="1">
      <c r="A678" s="105"/>
      <c r="B678" s="15"/>
      <c r="C678" s="6">
        <v>4170</v>
      </c>
      <c r="D678" s="2" t="s">
        <v>583</v>
      </c>
      <c r="E678" s="68">
        <v>7200</v>
      </c>
      <c r="F678" s="68">
        <v>7200</v>
      </c>
      <c r="G678" s="68">
        <v>7200</v>
      </c>
      <c r="H678" s="68">
        <v>7200</v>
      </c>
      <c r="I678" s="338">
        <f t="shared" si="11"/>
        <v>100</v>
      </c>
    </row>
    <row r="679" spans="1:9" ht="15" customHeight="1">
      <c r="A679" s="105"/>
      <c r="B679" s="15"/>
      <c r="C679" s="6">
        <v>4210</v>
      </c>
      <c r="D679" s="2" t="s">
        <v>533</v>
      </c>
      <c r="E679" s="68">
        <v>99</v>
      </c>
      <c r="F679" s="68">
        <v>99</v>
      </c>
      <c r="G679" s="68">
        <v>99</v>
      </c>
      <c r="H679" s="68">
        <v>99</v>
      </c>
      <c r="I679" s="338">
        <f t="shared" si="11"/>
        <v>100</v>
      </c>
    </row>
    <row r="680" spans="1:9" ht="15" customHeight="1">
      <c r="A680" s="105"/>
      <c r="B680" s="15"/>
      <c r="C680" s="6">
        <v>4270</v>
      </c>
      <c r="D680" s="2" t="s">
        <v>534</v>
      </c>
      <c r="E680" s="68">
        <v>105</v>
      </c>
      <c r="F680" s="68">
        <v>105</v>
      </c>
      <c r="G680" s="68">
        <v>104.55</v>
      </c>
      <c r="H680" s="68">
        <v>104.55</v>
      </c>
      <c r="I680" s="338">
        <f t="shared" si="11"/>
        <v>99.57142857142857</v>
      </c>
    </row>
    <row r="681" spans="1:9" ht="15" customHeight="1">
      <c r="A681" s="105"/>
      <c r="B681" s="15"/>
      <c r="C681" s="6">
        <v>4280</v>
      </c>
      <c r="D681" s="2" t="s">
        <v>723</v>
      </c>
      <c r="E681" s="68">
        <v>150</v>
      </c>
      <c r="F681" s="68">
        <v>150</v>
      </c>
      <c r="G681" s="68">
        <v>150</v>
      </c>
      <c r="H681" s="68">
        <v>150</v>
      </c>
      <c r="I681" s="338">
        <f t="shared" si="11"/>
        <v>100</v>
      </c>
    </row>
    <row r="682" spans="1:9" ht="15" customHeight="1">
      <c r="A682" s="105"/>
      <c r="B682" s="15"/>
      <c r="C682" s="6">
        <v>4300</v>
      </c>
      <c r="D682" s="2" t="s">
        <v>530</v>
      </c>
      <c r="E682" s="68">
        <v>1948</v>
      </c>
      <c r="F682" s="68">
        <v>1948</v>
      </c>
      <c r="G682" s="68">
        <v>1947.43</v>
      </c>
      <c r="H682" s="68">
        <v>1947.43</v>
      </c>
      <c r="I682" s="338">
        <f t="shared" si="11"/>
        <v>99.97073921971253</v>
      </c>
    </row>
    <row r="683" spans="1:9" ht="15" customHeight="1">
      <c r="A683" s="105"/>
      <c r="B683" s="15"/>
      <c r="C683" s="6">
        <v>4410</v>
      </c>
      <c r="D683" s="2" t="s">
        <v>580</v>
      </c>
      <c r="E683" s="68">
        <v>7766</v>
      </c>
      <c r="F683" s="68">
        <v>7766</v>
      </c>
      <c r="G683" s="68">
        <v>7765.35</v>
      </c>
      <c r="H683" s="68">
        <v>7765.35</v>
      </c>
      <c r="I683" s="338">
        <f t="shared" si="11"/>
        <v>99.99163018284833</v>
      </c>
    </row>
    <row r="684" spans="1:9" ht="28.5" customHeight="1">
      <c r="A684" s="105"/>
      <c r="B684" s="15"/>
      <c r="C684" s="20">
        <v>4440</v>
      </c>
      <c r="D684" s="2" t="s">
        <v>578</v>
      </c>
      <c r="E684" s="68">
        <v>5607</v>
      </c>
      <c r="F684" s="68">
        <v>5607</v>
      </c>
      <c r="G684" s="68">
        <v>5606.39</v>
      </c>
      <c r="H684" s="68">
        <v>5606.39</v>
      </c>
      <c r="I684" s="338">
        <f t="shared" si="11"/>
        <v>99.98912074192974</v>
      </c>
    </row>
    <row r="685" spans="1:9" ht="22.5" customHeight="1">
      <c r="A685" s="105"/>
      <c r="B685" s="15"/>
      <c r="C685" s="20">
        <v>4550</v>
      </c>
      <c r="D685" s="2" t="s">
        <v>679</v>
      </c>
      <c r="E685" s="68">
        <v>738</v>
      </c>
      <c r="F685" s="68">
        <v>738</v>
      </c>
      <c r="G685" s="68">
        <v>738</v>
      </c>
      <c r="H685" s="68">
        <v>738</v>
      </c>
      <c r="I685" s="338">
        <f t="shared" si="11"/>
        <v>100</v>
      </c>
    </row>
    <row r="686" spans="1:9" ht="27" customHeight="1">
      <c r="A686" s="77">
        <v>750</v>
      </c>
      <c r="B686" s="77"/>
      <c r="C686" s="16"/>
      <c r="D686" s="44" t="s">
        <v>495</v>
      </c>
      <c r="E686" s="45">
        <f>E687+E693+E705</f>
        <v>4902085</v>
      </c>
      <c r="F686" s="174">
        <f>F687+F693+F705</f>
        <v>221650</v>
      </c>
      <c r="G686" s="45">
        <f>G687+G693+G705</f>
        <v>4385110.2299999995</v>
      </c>
      <c r="H686" s="274">
        <f>H687+H693+H705</f>
        <v>221175.83</v>
      </c>
      <c r="I686" s="339">
        <f t="shared" si="11"/>
        <v>89.45398192809793</v>
      </c>
    </row>
    <row r="687" spans="1:9" ht="21.75" customHeight="1">
      <c r="A687" s="100"/>
      <c r="B687" s="99">
        <v>75011</v>
      </c>
      <c r="C687" s="48"/>
      <c r="D687" s="33" t="s">
        <v>571</v>
      </c>
      <c r="E687" s="175">
        <f>SUM(E688:E692)</f>
        <v>967012</v>
      </c>
      <c r="F687" s="175">
        <f>SUM(F688:F692)</f>
        <v>198150</v>
      </c>
      <c r="G687" s="124">
        <f>SUM(G688:G692)</f>
        <v>909046.0900000001</v>
      </c>
      <c r="H687" s="172">
        <f>SUM(H688:H692)</f>
        <v>198150</v>
      </c>
      <c r="I687" s="338">
        <f t="shared" si="11"/>
        <v>94.00566797516474</v>
      </c>
    </row>
    <row r="688" spans="1:9" ht="16.5" customHeight="1">
      <c r="A688" s="105"/>
      <c r="B688" s="102"/>
      <c r="C688" s="6">
        <v>4010</v>
      </c>
      <c r="D688" s="2" t="s">
        <v>572</v>
      </c>
      <c r="E688" s="68">
        <v>748178.5</v>
      </c>
      <c r="F688" s="134">
        <v>144427.5</v>
      </c>
      <c r="G688" s="68">
        <f>557337.68+144427.5</f>
        <v>701765.18</v>
      </c>
      <c r="H688" s="134">
        <v>144427.5</v>
      </c>
      <c r="I688" s="338">
        <f t="shared" si="11"/>
        <v>93.7964910779981</v>
      </c>
    </row>
    <row r="689" spans="1:9" ht="15" customHeight="1">
      <c r="A689" s="105"/>
      <c r="B689" s="102"/>
      <c r="C689" s="6">
        <v>4040</v>
      </c>
      <c r="D689" s="2" t="s">
        <v>575</v>
      </c>
      <c r="E689" s="68">
        <v>51842.3</v>
      </c>
      <c r="F689" s="134">
        <v>9630</v>
      </c>
      <c r="G689" s="68">
        <f>42212.3+9630</f>
        <v>51842.3</v>
      </c>
      <c r="H689" s="134">
        <v>9630</v>
      </c>
      <c r="I689" s="338">
        <f t="shared" si="11"/>
        <v>100</v>
      </c>
    </row>
    <row r="690" spans="1:9" ht="15" customHeight="1">
      <c r="A690" s="105"/>
      <c r="B690" s="102"/>
      <c r="C690" s="6">
        <v>4110</v>
      </c>
      <c r="D690" s="2" t="s">
        <v>576</v>
      </c>
      <c r="E690" s="68">
        <v>133676.85</v>
      </c>
      <c r="F690" s="134">
        <v>23234.15</v>
      </c>
      <c r="G690" s="68">
        <f>100656.35+23234.15</f>
        <v>123890.5</v>
      </c>
      <c r="H690" s="134">
        <v>23234.15</v>
      </c>
      <c r="I690" s="338">
        <f t="shared" si="11"/>
        <v>92.67909888660601</v>
      </c>
    </row>
    <row r="691" spans="1:9" ht="18" customHeight="1">
      <c r="A691" s="105"/>
      <c r="B691" s="102"/>
      <c r="C691" s="6">
        <v>4120</v>
      </c>
      <c r="D691" s="2" t="s">
        <v>577</v>
      </c>
      <c r="E691" s="68">
        <v>16172.47</v>
      </c>
      <c r="F691" s="134">
        <v>3716.47</v>
      </c>
      <c r="G691" s="68">
        <f>10689.76+3716.47</f>
        <v>14406.23</v>
      </c>
      <c r="H691" s="134">
        <v>3716.47</v>
      </c>
      <c r="I691" s="338">
        <f t="shared" si="11"/>
        <v>89.07872452383587</v>
      </c>
    </row>
    <row r="692" spans="1:9" ht="28.5" customHeight="1">
      <c r="A692" s="105"/>
      <c r="B692" s="102"/>
      <c r="C692" s="20">
        <v>4440</v>
      </c>
      <c r="D692" s="2" t="s">
        <v>578</v>
      </c>
      <c r="E692" s="68">
        <v>17141.88</v>
      </c>
      <c r="F692" s="134">
        <v>17141.88</v>
      </c>
      <c r="G692" s="68">
        <v>17141.88</v>
      </c>
      <c r="H692" s="134">
        <v>17141.88</v>
      </c>
      <c r="I692" s="338">
        <f t="shared" si="11"/>
        <v>100</v>
      </c>
    </row>
    <row r="693" spans="1:9" ht="23.25" customHeight="1">
      <c r="A693" s="140"/>
      <c r="B693" s="141">
        <v>75020</v>
      </c>
      <c r="C693" s="32"/>
      <c r="D693" s="33" t="s">
        <v>514</v>
      </c>
      <c r="E693" s="124">
        <f>SUM(E694:E704)</f>
        <v>3907433</v>
      </c>
      <c r="F693" s="134"/>
      <c r="G693" s="124">
        <f>SUM(G694:G704)</f>
        <v>3448898.3099999996</v>
      </c>
      <c r="H693" s="173"/>
      <c r="I693" s="338">
        <f t="shared" si="11"/>
        <v>88.26506583734128</v>
      </c>
    </row>
    <row r="694" spans="1:9" ht="20.25" customHeight="1">
      <c r="A694" s="104"/>
      <c r="B694" s="100"/>
      <c r="C694" s="13">
        <v>4010</v>
      </c>
      <c r="D694" s="2" t="s">
        <v>572</v>
      </c>
      <c r="E694" s="68">
        <v>1971296.13</v>
      </c>
      <c r="F694" s="179"/>
      <c r="G694" s="68">
        <v>1935733.21</v>
      </c>
      <c r="H694" s="73"/>
      <c r="I694" s="338">
        <f t="shared" si="11"/>
        <v>98.19596257209717</v>
      </c>
    </row>
    <row r="695" spans="1:9" ht="17.25" customHeight="1">
      <c r="A695" s="104"/>
      <c r="B695" s="105"/>
      <c r="C695" s="13">
        <v>4040</v>
      </c>
      <c r="D695" s="2" t="s">
        <v>575</v>
      </c>
      <c r="E695" s="68">
        <v>140858.01</v>
      </c>
      <c r="F695" s="179"/>
      <c r="G695" s="68">
        <v>140858.01</v>
      </c>
      <c r="H695" s="73"/>
      <c r="I695" s="338">
        <f t="shared" si="11"/>
        <v>100</v>
      </c>
    </row>
    <row r="696" spans="1:9" ht="15" customHeight="1">
      <c r="A696" s="104"/>
      <c r="B696" s="105"/>
      <c r="C696" s="13">
        <v>4110</v>
      </c>
      <c r="D696" s="2" t="s">
        <v>576</v>
      </c>
      <c r="E696" s="68">
        <v>350453.99</v>
      </c>
      <c r="F696" s="179"/>
      <c r="G696" s="68">
        <v>338712.55</v>
      </c>
      <c r="H696" s="73"/>
      <c r="I696" s="338">
        <f t="shared" si="11"/>
        <v>96.64964864574662</v>
      </c>
    </row>
    <row r="697" spans="1:9" ht="15" customHeight="1">
      <c r="A697" s="104"/>
      <c r="B697" s="105"/>
      <c r="C697" s="13">
        <v>4120</v>
      </c>
      <c r="D697" s="2" t="s">
        <v>577</v>
      </c>
      <c r="E697" s="68">
        <v>40920</v>
      </c>
      <c r="F697" s="179"/>
      <c r="G697" s="68">
        <v>38742.51</v>
      </c>
      <c r="H697" s="73"/>
      <c r="I697" s="338">
        <f t="shared" si="11"/>
        <v>94.67866568914957</v>
      </c>
    </row>
    <row r="698" spans="1:9" ht="15" customHeight="1">
      <c r="A698" s="104"/>
      <c r="B698" s="105"/>
      <c r="C698" s="13">
        <v>4300</v>
      </c>
      <c r="D698" s="2" t="s">
        <v>287</v>
      </c>
      <c r="E698" s="68">
        <v>1207000</v>
      </c>
      <c r="F698" s="179"/>
      <c r="G698" s="68">
        <v>908212.13</v>
      </c>
      <c r="H698" s="73"/>
      <c r="I698" s="338">
        <f t="shared" si="11"/>
        <v>75.2454125932063</v>
      </c>
    </row>
    <row r="699" spans="1:9" ht="17.25" customHeight="1">
      <c r="A699" s="104"/>
      <c r="B699" s="105"/>
      <c r="C699" s="13">
        <v>4380</v>
      </c>
      <c r="D699" s="2" t="s">
        <v>280</v>
      </c>
      <c r="E699" s="68">
        <v>3000</v>
      </c>
      <c r="F699" s="179"/>
      <c r="G699" s="68">
        <v>1468.19</v>
      </c>
      <c r="H699" s="73"/>
      <c r="I699" s="338">
        <f t="shared" si="11"/>
        <v>48.93966666666667</v>
      </c>
    </row>
    <row r="700" spans="1:9" ht="30.75" customHeight="1">
      <c r="A700" s="104"/>
      <c r="B700" s="105"/>
      <c r="C700" s="13">
        <v>4390</v>
      </c>
      <c r="D700" s="2" t="s">
        <v>505</v>
      </c>
      <c r="E700" s="68">
        <v>25000</v>
      </c>
      <c r="F700" s="179"/>
      <c r="G700" s="68">
        <v>10256.53</v>
      </c>
      <c r="H700" s="73"/>
      <c r="I700" s="338">
        <f t="shared" si="11"/>
        <v>41.026120000000006</v>
      </c>
    </row>
    <row r="701" spans="1:9" ht="27.75" customHeight="1">
      <c r="A701" s="104"/>
      <c r="B701" s="105"/>
      <c r="C701" s="13">
        <v>4440</v>
      </c>
      <c r="D701" s="2" t="s">
        <v>578</v>
      </c>
      <c r="E701" s="68">
        <v>43904.87</v>
      </c>
      <c r="F701" s="179"/>
      <c r="G701" s="68">
        <v>43904.87</v>
      </c>
      <c r="H701" s="73"/>
      <c r="I701" s="338">
        <f t="shared" si="11"/>
        <v>100</v>
      </c>
    </row>
    <row r="702" spans="1:9" ht="18" customHeight="1">
      <c r="A702" s="104"/>
      <c r="B702" s="105"/>
      <c r="C702" s="13">
        <v>4580</v>
      </c>
      <c r="D702" s="2" t="s">
        <v>298</v>
      </c>
      <c r="E702" s="68">
        <v>15000</v>
      </c>
      <c r="F702" s="179"/>
      <c r="G702" s="68">
        <v>2234.28</v>
      </c>
      <c r="H702" s="73"/>
      <c r="I702" s="338">
        <f t="shared" si="11"/>
        <v>14.8952</v>
      </c>
    </row>
    <row r="703" spans="1:9" ht="26.25" customHeight="1">
      <c r="A703" s="104"/>
      <c r="B703" s="105"/>
      <c r="C703" s="13">
        <v>4590</v>
      </c>
      <c r="D703" s="2" t="s">
        <v>535</v>
      </c>
      <c r="E703" s="68">
        <v>90000</v>
      </c>
      <c r="F703" s="179"/>
      <c r="G703" s="68">
        <v>23788.08</v>
      </c>
      <c r="H703" s="73"/>
      <c r="I703" s="338">
        <f aca="true" t="shared" si="12" ref="I703:I767">G703/E703*100</f>
        <v>26.431200000000004</v>
      </c>
    </row>
    <row r="704" spans="1:9" ht="28.5" customHeight="1">
      <c r="A704" s="104"/>
      <c r="B704" s="116"/>
      <c r="C704" s="13">
        <v>4610</v>
      </c>
      <c r="D704" s="2" t="s">
        <v>506</v>
      </c>
      <c r="E704" s="94">
        <v>20000</v>
      </c>
      <c r="F704" s="179"/>
      <c r="G704" s="94">
        <v>4987.95</v>
      </c>
      <c r="H704" s="73"/>
      <c r="I704" s="338">
        <f t="shared" si="12"/>
        <v>24.93975</v>
      </c>
    </row>
    <row r="705" spans="1:9" ht="20.25" customHeight="1">
      <c r="A705" s="105"/>
      <c r="B705" s="147">
        <v>75045</v>
      </c>
      <c r="C705" s="32"/>
      <c r="D705" s="46" t="s">
        <v>565</v>
      </c>
      <c r="E705" s="124">
        <f>SUM(E706:E711)</f>
        <v>27640</v>
      </c>
      <c r="F705" s="133">
        <f>SUM(F706:F711)</f>
        <v>23500</v>
      </c>
      <c r="G705" s="124">
        <f>SUM(G706:G711)</f>
        <v>27165.83</v>
      </c>
      <c r="H705" s="177">
        <f>SUM(H706:H711)</f>
        <v>23025.829999999998</v>
      </c>
      <c r="I705" s="338">
        <f t="shared" si="12"/>
        <v>98.28447901591898</v>
      </c>
    </row>
    <row r="706" spans="1:9" ht="17.25" customHeight="1">
      <c r="A706" s="105"/>
      <c r="B706" s="117"/>
      <c r="C706" s="6">
        <v>3030</v>
      </c>
      <c r="D706" s="2" t="s">
        <v>602</v>
      </c>
      <c r="E706" s="134">
        <v>3700</v>
      </c>
      <c r="F706" s="134">
        <v>2080</v>
      </c>
      <c r="G706" s="134">
        <f>1620+1974.4</f>
        <v>3594.4</v>
      </c>
      <c r="H706" s="134">
        <v>1974.4</v>
      </c>
      <c r="I706" s="338">
        <f t="shared" si="12"/>
        <v>97.14594594594594</v>
      </c>
    </row>
    <row r="707" spans="1:9" ht="15" customHeight="1">
      <c r="A707" s="105"/>
      <c r="B707" s="117"/>
      <c r="C707" s="6">
        <v>4110</v>
      </c>
      <c r="D707" s="2" t="s">
        <v>576</v>
      </c>
      <c r="E707" s="134">
        <v>967.1</v>
      </c>
      <c r="F707" s="134">
        <v>967.1</v>
      </c>
      <c r="G707" s="134">
        <v>928.26</v>
      </c>
      <c r="H707" s="134">
        <v>928.26</v>
      </c>
      <c r="I707" s="338">
        <f t="shared" si="12"/>
        <v>95.98386929996897</v>
      </c>
    </row>
    <row r="708" spans="1:9" ht="15" customHeight="1">
      <c r="A708" s="105"/>
      <c r="B708" s="117"/>
      <c r="C708" s="6">
        <v>4120</v>
      </c>
      <c r="D708" s="2" t="s">
        <v>577</v>
      </c>
      <c r="E708" s="134">
        <v>120.5</v>
      </c>
      <c r="F708" s="134">
        <v>120.5</v>
      </c>
      <c r="G708" s="134">
        <v>44.1</v>
      </c>
      <c r="H708" s="134">
        <v>44.1</v>
      </c>
      <c r="I708" s="338">
        <f t="shared" si="12"/>
        <v>36.59751037344399</v>
      </c>
    </row>
    <row r="709" spans="1:9" ht="15" customHeight="1">
      <c r="A709" s="105"/>
      <c r="B709" s="117"/>
      <c r="C709" s="6">
        <v>4170</v>
      </c>
      <c r="D709" s="2" t="s">
        <v>583</v>
      </c>
      <c r="E709" s="134">
        <v>17020</v>
      </c>
      <c r="F709" s="134">
        <v>17020</v>
      </c>
      <c r="G709" s="134">
        <v>17000</v>
      </c>
      <c r="H709" s="134">
        <v>17000</v>
      </c>
      <c r="I709" s="338">
        <f t="shared" si="12"/>
        <v>99.88249118683902</v>
      </c>
    </row>
    <row r="710" spans="1:9" ht="15" customHeight="1">
      <c r="A710" s="105"/>
      <c r="B710" s="117"/>
      <c r="C710" s="6">
        <v>4210</v>
      </c>
      <c r="D710" s="2" t="s">
        <v>533</v>
      </c>
      <c r="E710" s="134">
        <v>2000</v>
      </c>
      <c r="F710" s="134">
        <v>2000</v>
      </c>
      <c r="G710" s="134">
        <v>1826.77</v>
      </c>
      <c r="H710" s="134">
        <v>1826.77</v>
      </c>
      <c r="I710" s="338">
        <f t="shared" si="12"/>
        <v>91.3385</v>
      </c>
    </row>
    <row r="711" spans="1:9" ht="15" customHeight="1">
      <c r="A711" s="105"/>
      <c r="B711" s="117"/>
      <c r="C711" s="6">
        <v>4300</v>
      </c>
      <c r="D711" s="2" t="s">
        <v>530</v>
      </c>
      <c r="E711" s="68">
        <f>2520+1312.4</f>
        <v>3832.4</v>
      </c>
      <c r="F711" s="68">
        <v>1312.4</v>
      </c>
      <c r="G711" s="68">
        <f>2520+1252.3</f>
        <v>3772.3</v>
      </c>
      <c r="H711" s="68">
        <v>1252.3</v>
      </c>
      <c r="I711" s="338">
        <f t="shared" si="12"/>
        <v>98.4317920885085</v>
      </c>
    </row>
    <row r="712" spans="1:9" ht="33" customHeight="1">
      <c r="A712" s="77">
        <v>754</v>
      </c>
      <c r="B712" s="77"/>
      <c r="C712" s="16"/>
      <c r="D712" s="44" t="s">
        <v>496</v>
      </c>
      <c r="E712" s="95">
        <f>E713+E716+E748</f>
        <v>10921562</v>
      </c>
      <c r="F712" s="95">
        <f>F713+F716+F748</f>
        <v>9661562</v>
      </c>
      <c r="G712" s="95">
        <f>G713+G716+G748</f>
        <v>10917717.450000001</v>
      </c>
      <c r="H712" s="95">
        <f>H713+H716+H748</f>
        <v>9657718.340000002</v>
      </c>
      <c r="I712" s="339">
        <f t="shared" si="12"/>
        <v>99.9647985333966</v>
      </c>
    </row>
    <row r="713" spans="1:9" ht="21" customHeight="1">
      <c r="A713" s="138"/>
      <c r="B713" s="61">
        <v>75405</v>
      </c>
      <c r="C713" s="32"/>
      <c r="D713" s="33" t="s">
        <v>515</v>
      </c>
      <c r="E713" s="124">
        <f>SUM(E714:E715)</f>
        <v>280000</v>
      </c>
      <c r="F713" s="134"/>
      <c r="G713" s="124">
        <f>SUM(G714:G715)</f>
        <v>279999.11</v>
      </c>
      <c r="H713" s="173"/>
      <c r="I713" s="338">
        <f t="shared" si="12"/>
        <v>99.99968214285714</v>
      </c>
    </row>
    <row r="714" spans="1:9" ht="30" customHeight="1">
      <c r="A714" s="104"/>
      <c r="B714" s="105"/>
      <c r="C714" s="13">
        <v>3000</v>
      </c>
      <c r="D714" s="2" t="s">
        <v>734</v>
      </c>
      <c r="E714" s="119">
        <v>200000</v>
      </c>
      <c r="F714" s="179"/>
      <c r="G714" s="119">
        <v>199999.58</v>
      </c>
      <c r="H714" s="73"/>
      <c r="I714" s="338">
        <f t="shared" si="12"/>
        <v>99.99978999999999</v>
      </c>
    </row>
    <row r="715" spans="1:9" ht="41.25" customHeight="1">
      <c r="A715" s="104"/>
      <c r="B715" s="105"/>
      <c r="C715" s="13">
        <v>6170</v>
      </c>
      <c r="D715" s="2" t="s">
        <v>806</v>
      </c>
      <c r="E715" s="119">
        <v>80000</v>
      </c>
      <c r="F715" s="179"/>
      <c r="G715" s="119">
        <v>79999.53</v>
      </c>
      <c r="H715" s="73"/>
      <c r="I715" s="338">
        <f t="shared" si="12"/>
        <v>99.99941249999999</v>
      </c>
    </row>
    <row r="716" spans="1:9" ht="30.75" customHeight="1">
      <c r="A716" s="104"/>
      <c r="B716" s="32">
        <v>75411</v>
      </c>
      <c r="C716" s="32"/>
      <c r="D716" s="33" t="s">
        <v>310</v>
      </c>
      <c r="E716" s="124">
        <f>SUM(E717:E747)</f>
        <v>10640623</v>
      </c>
      <c r="F716" s="124">
        <f>SUM(F717:F747)</f>
        <v>9660623</v>
      </c>
      <c r="G716" s="124">
        <f>SUM(G717:G747)</f>
        <v>10636779.340000002</v>
      </c>
      <c r="H716" s="124">
        <f>SUM(H717:H747)</f>
        <v>9656779.340000002</v>
      </c>
      <c r="I716" s="338">
        <f t="shared" si="12"/>
        <v>99.96387749100782</v>
      </c>
    </row>
    <row r="717" spans="1:9" ht="30.75" customHeight="1">
      <c r="A717" s="104"/>
      <c r="B717" s="20"/>
      <c r="C717" s="13">
        <v>3020</v>
      </c>
      <c r="D717" s="2" t="s">
        <v>721</v>
      </c>
      <c r="E717" s="68">
        <v>4479</v>
      </c>
      <c r="F717" s="68">
        <v>4479</v>
      </c>
      <c r="G717" s="35">
        <v>4478.29</v>
      </c>
      <c r="H717" s="35">
        <v>4478.29</v>
      </c>
      <c r="I717" s="338">
        <f t="shared" si="12"/>
        <v>99.98414824737665</v>
      </c>
    </row>
    <row r="718" spans="1:9" ht="27" customHeight="1">
      <c r="A718" s="104"/>
      <c r="B718" s="12"/>
      <c r="C718" s="13">
        <v>3070</v>
      </c>
      <c r="D718" s="2" t="s">
        <v>516</v>
      </c>
      <c r="E718" s="68">
        <v>423560</v>
      </c>
      <c r="F718" s="68">
        <v>423560</v>
      </c>
      <c r="G718" s="35">
        <v>423559.19</v>
      </c>
      <c r="H718" s="35">
        <v>423559.19</v>
      </c>
      <c r="I718" s="338">
        <f t="shared" si="12"/>
        <v>99.9998087638115</v>
      </c>
    </row>
    <row r="719" spans="1:9" ht="27.75" customHeight="1">
      <c r="A719" s="104"/>
      <c r="B719" s="12"/>
      <c r="C719" s="13">
        <v>4020</v>
      </c>
      <c r="D719" s="2" t="s">
        <v>448</v>
      </c>
      <c r="E719" s="68">
        <v>182159</v>
      </c>
      <c r="F719" s="68">
        <v>182159</v>
      </c>
      <c r="G719" s="35">
        <v>182158.66</v>
      </c>
      <c r="H719" s="35">
        <v>182158.66</v>
      </c>
      <c r="I719" s="338">
        <f t="shared" si="12"/>
        <v>99.99981334987565</v>
      </c>
    </row>
    <row r="720" spans="1:9" ht="18.75" customHeight="1">
      <c r="A720" s="104"/>
      <c r="B720" s="12"/>
      <c r="C720" s="13">
        <v>4040</v>
      </c>
      <c r="D720" s="2" t="s">
        <v>575</v>
      </c>
      <c r="E720" s="68">
        <v>10614</v>
      </c>
      <c r="F720" s="68">
        <v>10614</v>
      </c>
      <c r="G720" s="35">
        <v>10613.93</v>
      </c>
      <c r="H720" s="35">
        <v>10613.93</v>
      </c>
      <c r="I720" s="338">
        <f t="shared" si="12"/>
        <v>99.99934049368758</v>
      </c>
    </row>
    <row r="721" spans="1:9" ht="30" customHeight="1">
      <c r="A721" s="104"/>
      <c r="B721" s="12"/>
      <c r="C721" s="13">
        <v>4050</v>
      </c>
      <c r="D721" s="2" t="s">
        <v>344</v>
      </c>
      <c r="E721" s="68">
        <v>6368447</v>
      </c>
      <c r="F721" s="68">
        <v>6368447</v>
      </c>
      <c r="G721" s="35">
        <v>6364618.24</v>
      </c>
      <c r="H721" s="35">
        <v>6364618.24</v>
      </c>
      <c r="I721" s="338">
        <f t="shared" si="12"/>
        <v>99.93987922016153</v>
      </c>
    </row>
    <row r="722" spans="1:9" ht="29.25" customHeight="1">
      <c r="A722" s="104"/>
      <c r="B722" s="12"/>
      <c r="C722" s="13">
        <v>4060</v>
      </c>
      <c r="D722" s="2" t="s">
        <v>345</v>
      </c>
      <c r="E722" s="68">
        <v>974151</v>
      </c>
      <c r="F722" s="68">
        <v>974151</v>
      </c>
      <c r="G722" s="35">
        <v>974149.98</v>
      </c>
      <c r="H722" s="35">
        <v>974149.98</v>
      </c>
      <c r="I722" s="338">
        <f t="shared" si="12"/>
        <v>99.99989529344013</v>
      </c>
    </row>
    <row r="723" spans="1:9" ht="36.75" customHeight="1">
      <c r="A723" s="104"/>
      <c r="B723" s="12"/>
      <c r="C723" s="13">
        <v>4070</v>
      </c>
      <c r="D723" s="2" t="s">
        <v>518</v>
      </c>
      <c r="E723" s="68">
        <v>511376</v>
      </c>
      <c r="F723" s="68">
        <v>511376</v>
      </c>
      <c r="G723" s="35">
        <v>511375.43</v>
      </c>
      <c r="H723" s="35">
        <v>511375.43</v>
      </c>
      <c r="I723" s="338">
        <f t="shared" si="12"/>
        <v>99.99988853602828</v>
      </c>
    </row>
    <row r="724" spans="1:9" ht="36.75" customHeight="1">
      <c r="A724" s="104"/>
      <c r="B724" s="12"/>
      <c r="C724" s="13">
        <v>4080</v>
      </c>
      <c r="D724" s="2" t="s">
        <v>801</v>
      </c>
      <c r="E724" s="68">
        <v>11459</v>
      </c>
      <c r="F724" s="68">
        <v>11459</v>
      </c>
      <c r="G724" s="35">
        <v>11458.8</v>
      </c>
      <c r="H724" s="35">
        <v>11458.8</v>
      </c>
      <c r="I724" s="338">
        <f t="shared" si="12"/>
        <v>99.99825464700236</v>
      </c>
    </row>
    <row r="725" spans="1:9" ht="15" customHeight="1">
      <c r="A725" s="104"/>
      <c r="B725" s="12"/>
      <c r="C725" s="13">
        <v>4110</v>
      </c>
      <c r="D725" s="2" t="s">
        <v>576</v>
      </c>
      <c r="E725" s="68">
        <v>34506</v>
      </c>
      <c r="F725" s="68">
        <v>34506</v>
      </c>
      <c r="G725" s="35">
        <v>34505.65</v>
      </c>
      <c r="H725" s="35">
        <v>34505.65</v>
      </c>
      <c r="I725" s="338">
        <f t="shared" si="12"/>
        <v>99.99898568364922</v>
      </c>
    </row>
    <row r="726" spans="1:9" ht="15" customHeight="1">
      <c r="A726" s="104"/>
      <c r="B726" s="12"/>
      <c r="C726" s="13">
        <v>4120</v>
      </c>
      <c r="D726" s="2" t="s">
        <v>577</v>
      </c>
      <c r="E726" s="68">
        <v>3264</v>
      </c>
      <c r="F726" s="68">
        <v>3264</v>
      </c>
      <c r="G726" s="35">
        <v>3263.33</v>
      </c>
      <c r="H726" s="35">
        <v>3263.33</v>
      </c>
      <c r="I726" s="338">
        <f t="shared" si="12"/>
        <v>99.97947303921568</v>
      </c>
    </row>
    <row r="727" spans="1:9" ht="15" customHeight="1">
      <c r="A727" s="104"/>
      <c r="B727" s="12"/>
      <c r="C727" s="13">
        <v>4170</v>
      </c>
      <c r="D727" s="2" t="s">
        <v>583</v>
      </c>
      <c r="E727" s="68">
        <v>8450</v>
      </c>
      <c r="F727" s="68">
        <v>8450</v>
      </c>
      <c r="G727" s="35">
        <v>8450</v>
      </c>
      <c r="H727" s="35">
        <v>8450</v>
      </c>
      <c r="I727" s="338">
        <f t="shared" si="12"/>
        <v>100</v>
      </c>
    </row>
    <row r="728" spans="1:9" ht="25.5" customHeight="1">
      <c r="A728" s="104"/>
      <c r="B728" s="12"/>
      <c r="C728" s="13">
        <v>4180</v>
      </c>
      <c r="D728" s="2" t="s">
        <v>519</v>
      </c>
      <c r="E728" s="68">
        <v>264290</v>
      </c>
      <c r="F728" s="68">
        <v>264290</v>
      </c>
      <c r="G728" s="35">
        <v>264289.56</v>
      </c>
      <c r="H728" s="35">
        <v>264289.56</v>
      </c>
      <c r="I728" s="338">
        <f t="shared" si="12"/>
        <v>99.99983351621326</v>
      </c>
    </row>
    <row r="729" spans="1:9" ht="15" customHeight="1">
      <c r="A729" s="104"/>
      <c r="B729" s="12"/>
      <c r="C729" s="13">
        <v>4210</v>
      </c>
      <c r="D729" s="2" t="s">
        <v>533</v>
      </c>
      <c r="E729" s="68">
        <v>310758</v>
      </c>
      <c r="F729" s="68">
        <v>310758</v>
      </c>
      <c r="G729" s="35">
        <v>310753.87</v>
      </c>
      <c r="H729" s="35">
        <v>310753.87</v>
      </c>
      <c r="I729" s="338">
        <f t="shared" si="12"/>
        <v>99.99867099157544</v>
      </c>
    </row>
    <row r="730" spans="1:9" ht="15" customHeight="1">
      <c r="A730" s="104"/>
      <c r="B730" s="12"/>
      <c r="C730" s="13">
        <v>4260</v>
      </c>
      <c r="D730" s="2" t="s">
        <v>591</v>
      </c>
      <c r="E730" s="68">
        <v>211041</v>
      </c>
      <c r="F730" s="68">
        <v>211041</v>
      </c>
      <c r="G730" s="35">
        <v>211040.57</v>
      </c>
      <c r="H730" s="35">
        <v>211040.57</v>
      </c>
      <c r="I730" s="338">
        <f t="shared" si="12"/>
        <v>99.99979624812241</v>
      </c>
    </row>
    <row r="731" spans="1:9" ht="15" customHeight="1">
      <c r="A731" s="104"/>
      <c r="B731" s="12"/>
      <c r="C731" s="13">
        <v>4270</v>
      </c>
      <c r="D731" s="2" t="s">
        <v>534</v>
      </c>
      <c r="E731" s="68">
        <v>50726</v>
      </c>
      <c r="F731" s="68">
        <v>50726</v>
      </c>
      <c r="G731" s="35">
        <v>50725.51</v>
      </c>
      <c r="H731" s="35">
        <v>50725.51</v>
      </c>
      <c r="I731" s="338">
        <f t="shared" si="12"/>
        <v>99.99903402594332</v>
      </c>
    </row>
    <row r="732" spans="1:9" ht="15" customHeight="1">
      <c r="A732" s="104"/>
      <c r="B732" s="12"/>
      <c r="C732" s="13">
        <v>4280</v>
      </c>
      <c r="D732" s="2" t="s">
        <v>723</v>
      </c>
      <c r="E732" s="68">
        <v>40736</v>
      </c>
      <c r="F732" s="68">
        <v>40736</v>
      </c>
      <c r="G732" s="35">
        <v>40735.59</v>
      </c>
      <c r="H732" s="35">
        <v>40735.59</v>
      </c>
      <c r="I732" s="338">
        <f t="shared" si="12"/>
        <v>99.99899351924587</v>
      </c>
    </row>
    <row r="733" spans="1:9" ht="15" customHeight="1">
      <c r="A733" s="104"/>
      <c r="B733" s="12"/>
      <c r="C733" s="13">
        <v>4300</v>
      </c>
      <c r="D733" s="2" t="s">
        <v>530</v>
      </c>
      <c r="E733" s="68">
        <v>171117</v>
      </c>
      <c r="F733" s="68">
        <v>171117</v>
      </c>
      <c r="G733" s="35">
        <v>171116.94</v>
      </c>
      <c r="H733" s="35">
        <v>171116.94</v>
      </c>
      <c r="I733" s="338">
        <f t="shared" si="12"/>
        <v>99.99996493627168</v>
      </c>
    </row>
    <row r="734" spans="1:9" ht="15" customHeight="1">
      <c r="A734" s="104"/>
      <c r="B734" s="12"/>
      <c r="C734" s="27">
        <v>4350</v>
      </c>
      <c r="D734" s="2" t="s">
        <v>586</v>
      </c>
      <c r="E734" s="68">
        <v>895</v>
      </c>
      <c r="F734" s="68">
        <v>895</v>
      </c>
      <c r="G734" s="35">
        <v>894.58</v>
      </c>
      <c r="H734" s="35">
        <v>894.58</v>
      </c>
      <c r="I734" s="338">
        <f t="shared" si="12"/>
        <v>99.95307262569833</v>
      </c>
    </row>
    <row r="735" spans="1:9" ht="44.25" customHeight="1">
      <c r="A735" s="104"/>
      <c r="B735" s="12"/>
      <c r="C735" s="27">
        <v>4360</v>
      </c>
      <c r="D735" s="2" t="s">
        <v>768</v>
      </c>
      <c r="E735" s="68">
        <v>15163</v>
      </c>
      <c r="F735" s="68">
        <v>15163</v>
      </c>
      <c r="G735" s="35">
        <v>15162.1</v>
      </c>
      <c r="H735" s="35">
        <v>15162.1</v>
      </c>
      <c r="I735" s="338">
        <f t="shared" si="12"/>
        <v>99.99406449910968</v>
      </c>
    </row>
    <row r="736" spans="1:9" ht="37.5" customHeight="1">
      <c r="A736" s="104"/>
      <c r="B736" s="12"/>
      <c r="C736" s="27">
        <v>4370</v>
      </c>
      <c r="D736" s="2" t="s">
        <v>767</v>
      </c>
      <c r="E736" s="68">
        <v>12270</v>
      </c>
      <c r="F736" s="68">
        <v>12270</v>
      </c>
      <c r="G736" s="35">
        <v>12269.19</v>
      </c>
      <c r="H736" s="35">
        <v>12269.19</v>
      </c>
      <c r="I736" s="338">
        <f t="shared" si="12"/>
        <v>99.99339853300734</v>
      </c>
    </row>
    <row r="737" spans="1:9" ht="26.25" customHeight="1">
      <c r="A737" s="104"/>
      <c r="B737" s="12"/>
      <c r="C737" s="27">
        <v>4400</v>
      </c>
      <c r="D737" s="2" t="s">
        <v>728</v>
      </c>
      <c r="E737" s="68">
        <v>1789</v>
      </c>
      <c r="F737" s="68">
        <v>1789</v>
      </c>
      <c r="G737" s="35">
        <v>1788.96</v>
      </c>
      <c r="H737" s="35">
        <v>1788.96</v>
      </c>
      <c r="I737" s="338">
        <f t="shared" si="12"/>
        <v>99.99776411403019</v>
      </c>
    </row>
    <row r="738" spans="1:9" ht="15" customHeight="1">
      <c r="A738" s="104"/>
      <c r="B738" s="12"/>
      <c r="C738" s="27">
        <v>4410</v>
      </c>
      <c r="D738" s="40" t="s">
        <v>580</v>
      </c>
      <c r="E738" s="68">
        <v>5183</v>
      </c>
      <c r="F738" s="68">
        <v>5183</v>
      </c>
      <c r="G738" s="35">
        <v>5183</v>
      </c>
      <c r="H738" s="35">
        <v>5183</v>
      </c>
      <c r="I738" s="338">
        <f t="shared" si="12"/>
        <v>100</v>
      </c>
    </row>
    <row r="739" spans="1:9" ht="15" customHeight="1">
      <c r="A739" s="104"/>
      <c r="B739" s="12"/>
      <c r="C739" s="13">
        <v>4430</v>
      </c>
      <c r="D739" s="2" t="s">
        <v>288</v>
      </c>
      <c r="E739" s="68">
        <v>9459</v>
      </c>
      <c r="F739" s="68">
        <v>9459</v>
      </c>
      <c r="G739" s="35">
        <v>9458.5</v>
      </c>
      <c r="H739" s="35">
        <v>9458.5</v>
      </c>
      <c r="I739" s="338">
        <f t="shared" si="12"/>
        <v>99.99471402896712</v>
      </c>
    </row>
    <row r="740" spans="1:9" ht="28.5" customHeight="1">
      <c r="A740" s="104"/>
      <c r="B740" s="12"/>
      <c r="C740" s="13">
        <v>4440</v>
      </c>
      <c r="D740" s="2" t="s">
        <v>578</v>
      </c>
      <c r="E740" s="68">
        <v>6058</v>
      </c>
      <c r="F740" s="68">
        <v>6058</v>
      </c>
      <c r="G740" s="35">
        <v>6057.32</v>
      </c>
      <c r="H740" s="35">
        <v>6057.32</v>
      </c>
      <c r="I740" s="338">
        <f t="shared" si="12"/>
        <v>99.98877517332453</v>
      </c>
    </row>
    <row r="741" spans="1:9" ht="15" customHeight="1">
      <c r="A741" s="104"/>
      <c r="B741" s="12"/>
      <c r="C741" s="13">
        <v>4480</v>
      </c>
      <c r="D741" s="2" t="s">
        <v>306</v>
      </c>
      <c r="E741" s="68">
        <v>25602</v>
      </c>
      <c r="F741" s="68">
        <v>25602</v>
      </c>
      <c r="G741" s="35">
        <v>25602</v>
      </c>
      <c r="H741" s="35">
        <v>25602</v>
      </c>
      <c r="I741" s="338">
        <f t="shared" si="12"/>
        <v>100</v>
      </c>
    </row>
    <row r="742" spans="1:9" ht="24.75" customHeight="1">
      <c r="A742" s="104"/>
      <c r="B742" s="12"/>
      <c r="C742" s="13">
        <v>4500</v>
      </c>
      <c r="D742" s="2" t="s">
        <v>311</v>
      </c>
      <c r="E742" s="68">
        <v>670</v>
      </c>
      <c r="F742" s="68">
        <v>670</v>
      </c>
      <c r="G742" s="35">
        <v>670</v>
      </c>
      <c r="H742" s="35">
        <v>670</v>
      </c>
      <c r="I742" s="338">
        <f t="shared" si="12"/>
        <v>100</v>
      </c>
    </row>
    <row r="743" spans="1:9" ht="15" customHeight="1">
      <c r="A743" s="104"/>
      <c r="B743" s="12"/>
      <c r="C743" s="13">
        <v>4510</v>
      </c>
      <c r="D743" s="2" t="s">
        <v>678</v>
      </c>
      <c r="E743" s="68">
        <v>1305</v>
      </c>
      <c r="F743" s="68">
        <v>1305</v>
      </c>
      <c r="G743" s="35">
        <v>1304.15</v>
      </c>
      <c r="H743" s="35">
        <v>1304.15</v>
      </c>
      <c r="I743" s="338">
        <f t="shared" si="12"/>
        <v>99.93486590038316</v>
      </c>
    </row>
    <row r="744" spans="1:9" ht="27.75" customHeight="1">
      <c r="A744" s="104"/>
      <c r="B744" s="12"/>
      <c r="C744" s="13">
        <v>4520</v>
      </c>
      <c r="D744" s="2" t="s">
        <v>92</v>
      </c>
      <c r="E744" s="68">
        <v>76</v>
      </c>
      <c r="F744" s="68">
        <v>76</v>
      </c>
      <c r="G744" s="35">
        <v>76</v>
      </c>
      <c r="H744" s="35">
        <v>76</v>
      </c>
      <c r="I744" s="338">
        <f t="shared" si="12"/>
        <v>100</v>
      </c>
    </row>
    <row r="745" spans="1:9" ht="16.5" customHeight="1">
      <c r="A745" s="104"/>
      <c r="B745" s="12"/>
      <c r="C745" s="13">
        <v>4550</v>
      </c>
      <c r="D745" s="2" t="s">
        <v>679</v>
      </c>
      <c r="E745" s="68">
        <v>1020</v>
      </c>
      <c r="F745" s="68">
        <v>1020</v>
      </c>
      <c r="G745" s="35">
        <v>1020</v>
      </c>
      <c r="H745" s="35">
        <v>1020</v>
      </c>
      <c r="I745" s="338">
        <f t="shared" si="12"/>
        <v>100</v>
      </c>
    </row>
    <row r="746" spans="1:9" ht="24.75" customHeight="1">
      <c r="A746" s="104"/>
      <c r="B746" s="12"/>
      <c r="C746" s="13">
        <v>6060</v>
      </c>
      <c r="D746" s="2" t="s">
        <v>598</v>
      </c>
      <c r="E746" s="68">
        <v>780000</v>
      </c>
      <c r="F746" s="68"/>
      <c r="G746" s="35">
        <v>780000</v>
      </c>
      <c r="H746" s="35"/>
      <c r="I746" s="338">
        <f t="shared" si="12"/>
        <v>100</v>
      </c>
    </row>
    <row r="747" spans="1:9" ht="38.25" customHeight="1">
      <c r="A747" s="104"/>
      <c r="B747" s="12"/>
      <c r="C747" s="13">
        <v>6170</v>
      </c>
      <c r="D747" s="2" t="s">
        <v>806</v>
      </c>
      <c r="E747" s="68">
        <v>200000</v>
      </c>
      <c r="F747" s="68"/>
      <c r="G747" s="35">
        <v>200000</v>
      </c>
      <c r="H747" s="35"/>
      <c r="I747" s="338">
        <f t="shared" si="12"/>
        <v>100</v>
      </c>
    </row>
    <row r="748" spans="1:22" s="69" customFormat="1" ht="25.5" customHeight="1">
      <c r="A748" s="142"/>
      <c r="B748" s="32">
        <v>75478</v>
      </c>
      <c r="C748" s="245"/>
      <c r="D748" s="46" t="s">
        <v>435</v>
      </c>
      <c r="E748" s="124">
        <f>E749</f>
        <v>939</v>
      </c>
      <c r="F748" s="124">
        <f>F749</f>
        <v>939</v>
      </c>
      <c r="G748" s="124">
        <f>G749</f>
        <v>939</v>
      </c>
      <c r="H748" s="124">
        <f>H749</f>
        <v>939</v>
      </c>
      <c r="I748" s="338">
        <f t="shared" si="12"/>
        <v>100</v>
      </c>
      <c r="J748" s="447"/>
      <c r="K748" s="352"/>
      <c r="L748" s="352"/>
      <c r="M748" s="352"/>
      <c r="N748" s="352"/>
      <c r="O748" s="465"/>
      <c r="P748" s="352"/>
      <c r="Q748" s="352"/>
      <c r="R748" s="352"/>
      <c r="S748" s="352"/>
      <c r="T748" s="321"/>
      <c r="U748" s="321"/>
      <c r="V748" s="321"/>
    </row>
    <row r="749" spans="1:9" ht="21.75" customHeight="1">
      <c r="A749" s="104"/>
      <c r="B749" s="12"/>
      <c r="C749" s="13">
        <v>4210</v>
      </c>
      <c r="D749" s="2" t="s">
        <v>533</v>
      </c>
      <c r="E749" s="68">
        <v>939</v>
      </c>
      <c r="F749" s="68">
        <v>939</v>
      </c>
      <c r="G749" s="68">
        <v>939</v>
      </c>
      <c r="H749" s="68">
        <v>939</v>
      </c>
      <c r="I749" s="338">
        <f t="shared" si="12"/>
        <v>100</v>
      </c>
    </row>
    <row r="750" spans="1:9" ht="27" customHeight="1">
      <c r="A750" s="77">
        <v>758</v>
      </c>
      <c r="B750" s="77"/>
      <c r="C750" s="16"/>
      <c r="D750" s="44" t="s">
        <v>497</v>
      </c>
      <c r="E750" s="45">
        <f>E751+E757</f>
        <v>1267363.56</v>
      </c>
      <c r="F750" s="242"/>
      <c r="G750" s="351">
        <f>G751+G757</f>
        <v>1034041</v>
      </c>
      <c r="H750" s="178"/>
      <c r="I750" s="443">
        <f t="shared" si="12"/>
        <v>81.5899267294698</v>
      </c>
    </row>
    <row r="751" spans="1:9" ht="21.75" customHeight="1">
      <c r="A751" s="140"/>
      <c r="B751" s="61">
        <v>75818</v>
      </c>
      <c r="C751" s="32"/>
      <c r="D751" s="33" t="s">
        <v>498</v>
      </c>
      <c r="E751" s="52">
        <f>E752+E756</f>
        <v>233322.56</v>
      </c>
      <c r="F751" s="113"/>
      <c r="G751" s="334"/>
      <c r="H751" s="73"/>
      <c r="I751" s="343"/>
    </row>
    <row r="752" spans="1:9" ht="16.5" customHeight="1">
      <c r="A752" s="105"/>
      <c r="B752" s="105"/>
      <c r="C752" s="20">
        <v>4810</v>
      </c>
      <c r="D752" s="2" t="s">
        <v>716</v>
      </c>
      <c r="E752" s="120">
        <f>E754+E755</f>
        <v>121222.56</v>
      </c>
      <c r="F752" s="113"/>
      <c r="G752" s="225"/>
      <c r="H752" s="73"/>
      <c r="I752" s="344"/>
    </row>
    <row r="753" spans="1:9" ht="15" customHeight="1">
      <c r="A753" s="105"/>
      <c r="B753" s="104"/>
      <c r="C753" s="20"/>
      <c r="D753" s="34" t="s">
        <v>717</v>
      </c>
      <c r="E753" s="55"/>
      <c r="F753" s="113"/>
      <c r="G753" s="225"/>
      <c r="H753" s="73"/>
      <c r="I753" s="344"/>
    </row>
    <row r="754" spans="1:9" ht="17.25" customHeight="1">
      <c r="A754" s="105"/>
      <c r="B754" s="104"/>
      <c r="C754" s="12"/>
      <c r="D754" s="34" t="s">
        <v>95</v>
      </c>
      <c r="E754" s="557">
        <v>121222.56</v>
      </c>
      <c r="F754" s="113"/>
      <c r="G754" s="225"/>
      <c r="H754" s="73"/>
      <c r="I754" s="344"/>
    </row>
    <row r="755" spans="1:9" ht="20.25" customHeight="1">
      <c r="A755" s="105"/>
      <c r="B755" s="104"/>
      <c r="C755" s="5" t="s">
        <v>83</v>
      </c>
      <c r="D755" s="34" t="s">
        <v>719</v>
      </c>
      <c r="E755" s="55"/>
      <c r="F755" s="113"/>
      <c r="G755" s="225"/>
      <c r="H755" s="73"/>
      <c r="I755" s="344"/>
    </row>
    <row r="756" spans="1:9" ht="24" customHeight="1">
      <c r="A756" s="105"/>
      <c r="B756" s="104"/>
      <c r="C756" s="5">
        <v>6800</v>
      </c>
      <c r="D756" s="34" t="s">
        <v>720</v>
      </c>
      <c r="E756" s="55">
        <v>112100</v>
      </c>
      <c r="F756" s="113"/>
      <c r="G756" s="119"/>
      <c r="H756" s="73"/>
      <c r="I756" s="340"/>
    </row>
    <row r="757" spans="1:22" s="69" customFormat="1" ht="31.5" customHeight="1">
      <c r="A757" s="140"/>
      <c r="B757" s="61">
        <v>75832</v>
      </c>
      <c r="C757" s="48"/>
      <c r="D757" s="157" t="s">
        <v>521</v>
      </c>
      <c r="E757" s="52">
        <f>E758</f>
        <v>1034041</v>
      </c>
      <c r="F757" s="132"/>
      <c r="G757" s="314">
        <f>G758</f>
        <v>1034041</v>
      </c>
      <c r="H757" s="270"/>
      <c r="I757" s="340">
        <f t="shared" si="12"/>
        <v>100</v>
      </c>
      <c r="J757" s="447"/>
      <c r="K757" s="352"/>
      <c r="L757" s="352"/>
      <c r="M757" s="352"/>
      <c r="N757" s="352"/>
      <c r="O757" s="465"/>
      <c r="P757" s="352"/>
      <c r="Q757" s="352"/>
      <c r="R757" s="352"/>
      <c r="S757" s="352"/>
      <c r="T757" s="321"/>
      <c r="U757" s="321"/>
      <c r="V757" s="321"/>
    </row>
    <row r="758" spans="1:9" ht="30" customHeight="1">
      <c r="A758" s="105"/>
      <c r="B758" s="104"/>
      <c r="C758" s="6">
        <v>2930</v>
      </c>
      <c r="D758" s="2" t="s">
        <v>94</v>
      </c>
      <c r="E758" s="118">
        <v>1034041</v>
      </c>
      <c r="F758" s="112"/>
      <c r="G758" s="118">
        <v>1034041</v>
      </c>
      <c r="H758" s="113"/>
      <c r="I758" s="338">
        <f t="shared" si="12"/>
        <v>100</v>
      </c>
    </row>
    <row r="759" spans="1:9" ht="25.5" customHeight="1">
      <c r="A759" s="77">
        <v>801</v>
      </c>
      <c r="B759" s="77"/>
      <c r="C759" s="9"/>
      <c r="D759" s="44" t="s">
        <v>499</v>
      </c>
      <c r="E759" s="45">
        <f>E760+E780+E798+E816+E842+E950+E867+E893+E895+E911+E935+E957+E977+E990</f>
        <v>64247971.72</v>
      </c>
      <c r="F759" s="134"/>
      <c r="G759" s="45">
        <f>G760+G780+G798+G816+G842+G950+G867+G893+G895+G911+G935+G957+G977+G990</f>
        <v>63833903.99000001</v>
      </c>
      <c r="H759" s="173"/>
      <c r="I759" s="339">
        <f t="shared" si="12"/>
        <v>99.35551626158015</v>
      </c>
    </row>
    <row r="760" spans="1:9" ht="24" customHeight="1">
      <c r="A760" s="87"/>
      <c r="B760" s="36">
        <v>80102</v>
      </c>
      <c r="C760" s="32"/>
      <c r="D760" s="33" t="s">
        <v>731</v>
      </c>
      <c r="E760" s="52">
        <f>SUM(E761:E779)</f>
        <v>2991358</v>
      </c>
      <c r="F760" s="130"/>
      <c r="G760" s="52">
        <f>SUM(G761:G779)</f>
        <v>2981564.5399999996</v>
      </c>
      <c r="H760" s="269"/>
      <c r="I760" s="338">
        <f t="shared" si="12"/>
        <v>99.67260822676522</v>
      </c>
    </row>
    <row r="761" spans="1:9" ht="29.25" customHeight="1">
      <c r="A761" s="87"/>
      <c r="B761" s="22"/>
      <c r="C761" s="13">
        <v>3020</v>
      </c>
      <c r="D761" s="2" t="s">
        <v>721</v>
      </c>
      <c r="E761" s="120">
        <v>4715</v>
      </c>
      <c r="F761" s="112"/>
      <c r="G761" s="55">
        <v>4092.98</v>
      </c>
      <c r="H761" s="113"/>
      <c r="I761" s="338">
        <f t="shared" si="12"/>
        <v>86.80763520678684</v>
      </c>
    </row>
    <row r="762" spans="1:9" ht="18.75" customHeight="1">
      <c r="A762" s="87"/>
      <c r="B762" s="24"/>
      <c r="C762" s="13">
        <v>4010</v>
      </c>
      <c r="D762" s="2" t="s">
        <v>572</v>
      </c>
      <c r="E762" s="55">
        <v>2117596</v>
      </c>
      <c r="F762" s="112"/>
      <c r="G762" s="55">
        <v>2112609.33</v>
      </c>
      <c r="H762" s="113"/>
      <c r="I762" s="338">
        <f t="shared" si="12"/>
        <v>99.76451268325025</v>
      </c>
    </row>
    <row r="763" spans="1:9" ht="15" customHeight="1">
      <c r="A763" s="87"/>
      <c r="B763" s="24"/>
      <c r="C763" s="13">
        <v>4040</v>
      </c>
      <c r="D763" s="2" t="s">
        <v>575</v>
      </c>
      <c r="E763" s="55">
        <v>148546</v>
      </c>
      <c r="F763" s="112"/>
      <c r="G763" s="55">
        <v>148544.3</v>
      </c>
      <c r="H763" s="113"/>
      <c r="I763" s="338">
        <f t="shared" si="12"/>
        <v>99.99885557335773</v>
      </c>
    </row>
    <row r="764" spans="1:9" ht="15" customHeight="1">
      <c r="A764" s="87"/>
      <c r="B764" s="24"/>
      <c r="C764" s="13">
        <v>4110</v>
      </c>
      <c r="D764" s="2" t="s">
        <v>576</v>
      </c>
      <c r="E764" s="55">
        <v>359340</v>
      </c>
      <c r="F764" s="112"/>
      <c r="G764" s="55">
        <v>357052.5</v>
      </c>
      <c r="H764" s="113"/>
      <c r="I764" s="338">
        <f t="shared" si="12"/>
        <v>99.3634162631491</v>
      </c>
    </row>
    <row r="765" spans="1:9" ht="15" customHeight="1">
      <c r="A765" s="87"/>
      <c r="B765" s="24"/>
      <c r="C765" s="13">
        <v>4120</v>
      </c>
      <c r="D765" s="2" t="s">
        <v>577</v>
      </c>
      <c r="E765" s="55">
        <v>52007</v>
      </c>
      <c r="F765" s="112"/>
      <c r="G765" s="55">
        <v>51054.57</v>
      </c>
      <c r="H765" s="113"/>
      <c r="I765" s="338">
        <f t="shared" si="12"/>
        <v>98.16865037398811</v>
      </c>
    </row>
    <row r="766" spans="1:9" ht="15" customHeight="1">
      <c r="A766" s="87"/>
      <c r="B766" s="24"/>
      <c r="C766" s="13">
        <v>4170</v>
      </c>
      <c r="D766" s="2" t="s">
        <v>583</v>
      </c>
      <c r="E766" s="55">
        <v>3270</v>
      </c>
      <c r="F766" s="112"/>
      <c r="G766" s="55">
        <v>3180</v>
      </c>
      <c r="H766" s="113"/>
      <c r="I766" s="338">
        <f t="shared" si="12"/>
        <v>97.24770642201835</v>
      </c>
    </row>
    <row r="767" spans="1:9" ht="15" customHeight="1">
      <c r="A767" s="87"/>
      <c r="B767" s="24"/>
      <c r="C767" s="13">
        <v>4210</v>
      </c>
      <c r="D767" s="2" t="s">
        <v>533</v>
      </c>
      <c r="E767" s="55">
        <v>14411</v>
      </c>
      <c r="F767" s="112"/>
      <c r="G767" s="55">
        <v>14397.26</v>
      </c>
      <c r="H767" s="113"/>
      <c r="I767" s="338">
        <f t="shared" si="12"/>
        <v>99.90465616542919</v>
      </c>
    </row>
    <row r="768" spans="1:9" ht="28.5" customHeight="1">
      <c r="A768" s="87"/>
      <c r="B768" s="24"/>
      <c r="C768" s="13">
        <v>4240</v>
      </c>
      <c r="D768" s="2" t="s">
        <v>759</v>
      </c>
      <c r="E768" s="55">
        <v>1060</v>
      </c>
      <c r="F768" s="112"/>
      <c r="G768" s="55">
        <v>1050.11</v>
      </c>
      <c r="H768" s="113"/>
      <c r="I768" s="338">
        <f aca="true" t="shared" si="13" ref="I768:I829">G768/E768*100</f>
        <v>99.06698113207545</v>
      </c>
    </row>
    <row r="769" spans="1:9" ht="15" customHeight="1">
      <c r="A769" s="87"/>
      <c r="B769" s="24"/>
      <c r="C769" s="13">
        <v>4260</v>
      </c>
      <c r="D769" s="2" t="s">
        <v>591</v>
      </c>
      <c r="E769" s="55">
        <v>34496</v>
      </c>
      <c r="F769" s="112"/>
      <c r="G769" s="55">
        <v>34493.1</v>
      </c>
      <c r="H769" s="113"/>
      <c r="I769" s="338">
        <f t="shared" si="13"/>
        <v>99.99159322820037</v>
      </c>
    </row>
    <row r="770" spans="1:9" ht="15" customHeight="1">
      <c r="A770" s="87"/>
      <c r="B770" s="24"/>
      <c r="C770" s="13">
        <v>4270</v>
      </c>
      <c r="D770" s="2" t="s">
        <v>534</v>
      </c>
      <c r="E770" s="55">
        <v>3925</v>
      </c>
      <c r="F770" s="112"/>
      <c r="G770" s="55">
        <v>3912.21</v>
      </c>
      <c r="H770" s="113"/>
      <c r="I770" s="338">
        <f t="shared" si="13"/>
        <v>99.67414012738854</v>
      </c>
    </row>
    <row r="771" spans="1:9" ht="15" customHeight="1">
      <c r="A771" s="87"/>
      <c r="B771" s="24"/>
      <c r="C771" s="13">
        <v>4280</v>
      </c>
      <c r="D771" s="2" t="s">
        <v>723</v>
      </c>
      <c r="E771" s="55">
        <v>1330</v>
      </c>
      <c r="F771" s="112"/>
      <c r="G771" s="55">
        <v>1176</v>
      </c>
      <c r="H771" s="113"/>
      <c r="I771" s="338">
        <f t="shared" si="13"/>
        <v>88.42105263157895</v>
      </c>
    </row>
    <row r="772" spans="1:9" ht="15" customHeight="1">
      <c r="A772" s="87"/>
      <c r="B772" s="24"/>
      <c r="C772" s="13">
        <v>4300</v>
      </c>
      <c r="D772" s="2" t="s">
        <v>530</v>
      </c>
      <c r="E772" s="55">
        <v>13435</v>
      </c>
      <c r="F772" s="112"/>
      <c r="G772" s="55">
        <v>13390.73</v>
      </c>
      <c r="H772" s="113"/>
      <c r="I772" s="338">
        <f t="shared" si="13"/>
        <v>99.6704875325642</v>
      </c>
    </row>
    <row r="773" spans="1:9" ht="15" customHeight="1">
      <c r="A773" s="87"/>
      <c r="B773" s="24"/>
      <c r="C773" s="27">
        <v>4350</v>
      </c>
      <c r="D773" s="2" t="s">
        <v>586</v>
      </c>
      <c r="E773" s="55">
        <v>560</v>
      </c>
      <c r="F773" s="112"/>
      <c r="G773" s="55">
        <v>357.93</v>
      </c>
      <c r="H773" s="113"/>
      <c r="I773" s="338">
        <f t="shared" si="13"/>
        <v>63.91607142857143</v>
      </c>
    </row>
    <row r="774" spans="1:9" ht="40.5" customHeight="1">
      <c r="A774" s="87"/>
      <c r="B774" s="24"/>
      <c r="C774" s="27">
        <v>4370</v>
      </c>
      <c r="D774" s="2" t="s">
        <v>767</v>
      </c>
      <c r="E774" s="55">
        <v>1390</v>
      </c>
      <c r="F774" s="112"/>
      <c r="G774" s="55">
        <v>1362.58</v>
      </c>
      <c r="H774" s="113"/>
      <c r="I774" s="338">
        <f t="shared" si="13"/>
        <v>98.0273381294964</v>
      </c>
    </row>
    <row r="775" spans="1:9" ht="15" customHeight="1">
      <c r="A775" s="87"/>
      <c r="B775" s="24"/>
      <c r="C775" s="13">
        <v>4410</v>
      </c>
      <c r="D775" s="2" t="s">
        <v>580</v>
      </c>
      <c r="E775" s="55">
        <v>300</v>
      </c>
      <c r="F775" s="112"/>
      <c r="G775" s="55">
        <v>71.56</v>
      </c>
      <c r="H775" s="113"/>
      <c r="I775" s="338">
        <f t="shared" si="13"/>
        <v>23.853333333333335</v>
      </c>
    </row>
    <row r="776" spans="1:9" ht="18.75" customHeight="1">
      <c r="A776" s="87"/>
      <c r="B776" s="24"/>
      <c r="C776" s="13">
        <v>4430</v>
      </c>
      <c r="D776" s="2" t="s">
        <v>288</v>
      </c>
      <c r="E776" s="55">
        <v>830</v>
      </c>
      <c r="F776" s="112"/>
      <c r="G776" s="55">
        <v>819</v>
      </c>
      <c r="H776" s="113"/>
      <c r="I776" s="338">
        <f t="shared" si="13"/>
        <v>98.67469879518073</v>
      </c>
    </row>
    <row r="777" spans="1:9" ht="25.5" customHeight="1">
      <c r="A777" s="87"/>
      <c r="B777" s="24"/>
      <c r="C777" s="13">
        <v>4440</v>
      </c>
      <c r="D777" s="2" t="s">
        <v>578</v>
      </c>
      <c r="E777" s="55">
        <v>105182</v>
      </c>
      <c r="F777" s="112"/>
      <c r="G777" s="55">
        <v>105182</v>
      </c>
      <c r="H777" s="113"/>
      <c r="I777" s="338">
        <f t="shared" si="13"/>
        <v>100</v>
      </c>
    </row>
    <row r="778" spans="1:9" ht="30.75" customHeight="1">
      <c r="A778" s="87"/>
      <c r="B778" s="24"/>
      <c r="C778" s="6">
        <v>4700</v>
      </c>
      <c r="D778" s="2" t="s">
        <v>93</v>
      </c>
      <c r="E778" s="55">
        <v>1265</v>
      </c>
      <c r="F778" s="112"/>
      <c r="G778" s="55">
        <v>1120</v>
      </c>
      <c r="H778" s="113"/>
      <c r="I778" s="338">
        <f t="shared" si="13"/>
        <v>88.53754940711462</v>
      </c>
    </row>
    <row r="779" spans="1:9" ht="30.75" customHeight="1">
      <c r="A779" s="87"/>
      <c r="B779" s="24"/>
      <c r="C779" s="6">
        <v>6050</v>
      </c>
      <c r="D779" s="2" t="s">
        <v>750</v>
      </c>
      <c r="E779" s="55">
        <v>127700</v>
      </c>
      <c r="F779" s="112"/>
      <c r="G779" s="55">
        <v>127698.38</v>
      </c>
      <c r="H779" s="113"/>
      <c r="I779" s="338">
        <f t="shared" si="13"/>
        <v>99.9987314017228</v>
      </c>
    </row>
    <row r="780" spans="1:9" ht="22.5" customHeight="1">
      <c r="A780" s="87"/>
      <c r="B780" s="31">
        <v>80111</v>
      </c>
      <c r="C780" s="32"/>
      <c r="D780" s="33" t="s">
        <v>732</v>
      </c>
      <c r="E780" s="52">
        <f>SUM(E781:E797)</f>
        <v>1163355</v>
      </c>
      <c r="F780" s="112"/>
      <c r="G780" s="52">
        <f>SUM(G781:G797)</f>
        <v>1148466.6800000002</v>
      </c>
      <c r="H780" s="113"/>
      <c r="I780" s="338">
        <f t="shared" si="13"/>
        <v>98.7202255545384</v>
      </c>
    </row>
    <row r="781" spans="1:9" ht="25.5" customHeight="1">
      <c r="A781" s="87"/>
      <c r="B781" s="22"/>
      <c r="C781" s="13">
        <v>3020</v>
      </c>
      <c r="D781" s="2" t="s">
        <v>721</v>
      </c>
      <c r="E781" s="55">
        <v>2085</v>
      </c>
      <c r="F781" s="112"/>
      <c r="G781" s="55">
        <v>1527.97</v>
      </c>
      <c r="H781" s="113"/>
      <c r="I781" s="338">
        <f t="shared" si="13"/>
        <v>73.28393285371703</v>
      </c>
    </row>
    <row r="782" spans="1:9" ht="14.25" customHeight="1">
      <c r="A782" s="87"/>
      <c r="B782" s="24"/>
      <c r="C782" s="13">
        <v>4010</v>
      </c>
      <c r="D782" s="2" t="s">
        <v>572</v>
      </c>
      <c r="E782" s="55">
        <v>803119</v>
      </c>
      <c r="F782" s="112"/>
      <c r="G782" s="55">
        <v>797291.48</v>
      </c>
      <c r="H782" s="113"/>
      <c r="I782" s="338">
        <f t="shared" si="13"/>
        <v>99.2743889759799</v>
      </c>
    </row>
    <row r="783" spans="1:9" ht="15" customHeight="1">
      <c r="A783" s="87"/>
      <c r="B783" s="24"/>
      <c r="C783" s="13">
        <v>4040</v>
      </c>
      <c r="D783" s="2" t="s">
        <v>575</v>
      </c>
      <c r="E783" s="55">
        <v>61580</v>
      </c>
      <c r="F783" s="112"/>
      <c r="G783" s="55">
        <v>61579.3</v>
      </c>
      <c r="H783" s="113"/>
      <c r="I783" s="338">
        <f t="shared" si="13"/>
        <v>99.99886326729458</v>
      </c>
    </row>
    <row r="784" spans="1:9" ht="15" customHeight="1">
      <c r="A784" s="87"/>
      <c r="B784" s="24"/>
      <c r="C784" s="13">
        <v>4110</v>
      </c>
      <c r="D784" s="2" t="s">
        <v>576</v>
      </c>
      <c r="E784" s="55">
        <v>144930</v>
      </c>
      <c r="F784" s="112"/>
      <c r="G784" s="55">
        <v>141704.82</v>
      </c>
      <c r="H784" s="113"/>
      <c r="I784" s="338">
        <f t="shared" si="13"/>
        <v>97.77466363071828</v>
      </c>
    </row>
    <row r="785" spans="1:9" ht="15" customHeight="1">
      <c r="A785" s="87"/>
      <c r="B785" s="24"/>
      <c r="C785" s="13">
        <v>4120</v>
      </c>
      <c r="D785" s="2" t="s">
        <v>577</v>
      </c>
      <c r="E785" s="55">
        <v>20570</v>
      </c>
      <c r="F785" s="112"/>
      <c r="G785" s="55">
        <v>19276.06</v>
      </c>
      <c r="H785" s="113"/>
      <c r="I785" s="338">
        <f t="shared" si="13"/>
        <v>93.7095770539621</v>
      </c>
    </row>
    <row r="786" spans="1:9" ht="15" customHeight="1">
      <c r="A786" s="87"/>
      <c r="B786" s="24"/>
      <c r="C786" s="13">
        <v>4210</v>
      </c>
      <c r="D786" s="2" t="s">
        <v>533</v>
      </c>
      <c r="E786" s="55">
        <v>15880</v>
      </c>
      <c r="F786" s="112"/>
      <c r="G786" s="55">
        <v>15866.13</v>
      </c>
      <c r="H786" s="113"/>
      <c r="I786" s="338">
        <f t="shared" si="13"/>
        <v>99.91265743073048</v>
      </c>
    </row>
    <row r="787" spans="1:9" ht="27.75" customHeight="1">
      <c r="A787" s="87"/>
      <c r="B787" s="24"/>
      <c r="C787" s="13">
        <v>4240</v>
      </c>
      <c r="D787" s="2" t="s">
        <v>759</v>
      </c>
      <c r="E787" s="55">
        <v>763</v>
      </c>
      <c r="F787" s="112"/>
      <c r="G787" s="55">
        <v>659.2</v>
      </c>
      <c r="H787" s="113"/>
      <c r="I787" s="338">
        <f t="shared" si="13"/>
        <v>86.39580602883356</v>
      </c>
    </row>
    <row r="788" spans="1:9" ht="15" customHeight="1">
      <c r="A788" s="87"/>
      <c r="B788" s="24"/>
      <c r="C788" s="13">
        <v>4260</v>
      </c>
      <c r="D788" s="2" t="s">
        <v>591</v>
      </c>
      <c r="E788" s="55">
        <v>52435</v>
      </c>
      <c r="F788" s="112"/>
      <c r="G788" s="55">
        <v>48984.3</v>
      </c>
      <c r="H788" s="113"/>
      <c r="I788" s="338">
        <f t="shared" si="13"/>
        <v>93.41909030227902</v>
      </c>
    </row>
    <row r="789" spans="1:9" ht="15" customHeight="1">
      <c r="A789" s="87"/>
      <c r="B789" s="24"/>
      <c r="C789" s="13">
        <v>4270</v>
      </c>
      <c r="D789" s="2" t="s">
        <v>534</v>
      </c>
      <c r="E789" s="55">
        <v>6173</v>
      </c>
      <c r="F789" s="112"/>
      <c r="G789" s="55">
        <v>6162.05</v>
      </c>
      <c r="H789" s="113"/>
      <c r="I789" s="338">
        <f t="shared" si="13"/>
        <v>99.82261461202009</v>
      </c>
    </row>
    <row r="790" spans="1:9" ht="15" customHeight="1">
      <c r="A790" s="87"/>
      <c r="B790" s="24"/>
      <c r="C790" s="13">
        <v>4280</v>
      </c>
      <c r="D790" s="2" t="s">
        <v>723</v>
      </c>
      <c r="E790" s="55">
        <v>1030</v>
      </c>
      <c r="F790" s="112"/>
      <c r="G790" s="55">
        <v>960.5</v>
      </c>
      <c r="H790" s="113"/>
      <c r="I790" s="338">
        <f t="shared" si="13"/>
        <v>93.25242718446603</v>
      </c>
    </row>
    <row r="791" spans="1:9" ht="15" customHeight="1">
      <c r="A791" s="87"/>
      <c r="B791" s="24"/>
      <c r="C791" s="13">
        <v>4300</v>
      </c>
      <c r="D791" s="2" t="s">
        <v>530</v>
      </c>
      <c r="E791" s="55">
        <v>10285</v>
      </c>
      <c r="F791" s="112"/>
      <c r="G791" s="55">
        <v>10240.72</v>
      </c>
      <c r="H791" s="113"/>
      <c r="I791" s="338">
        <f t="shared" si="13"/>
        <v>99.56947010209042</v>
      </c>
    </row>
    <row r="792" spans="1:9" ht="15.75" customHeight="1">
      <c r="A792" s="87"/>
      <c r="B792" s="24"/>
      <c r="C792" s="27">
        <v>4350</v>
      </c>
      <c r="D792" s="2" t="s">
        <v>586</v>
      </c>
      <c r="E792" s="55">
        <v>1480</v>
      </c>
      <c r="F792" s="112"/>
      <c r="G792" s="55">
        <v>1274.07</v>
      </c>
      <c r="H792" s="113"/>
      <c r="I792" s="338">
        <f t="shared" si="13"/>
        <v>86.0858108108108</v>
      </c>
    </row>
    <row r="793" spans="1:9" ht="39.75" customHeight="1">
      <c r="A793" s="87"/>
      <c r="B793" s="24"/>
      <c r="C793" s="27">
        <v>4370</v>
      </c>
      <c r="D793" s="2" t="s">
        <v>767</v>
      </c>
      <c r="E793" s="55">
        <v>1375</v>
      </c>
      <c r="F793" s="112"/>
      <c r="G793" s="55">
        <v>1342.52</v>
      </c>
      <c r="H793" s="113"/>
      <c r="I793" s="338">
        <f t="shared" si="13"/>
        <v>97.63781818181818</v>
      </c>
    </row>
    <row r="794" spans="1:9" ht="16.5" customHeight="1">
      <c r="A794" s="87"/>
      <c r="B794" s="24"/>
      <c r="C794" s="13">
        <v>4410</v>
      </c>
      <c r="D794" s="2" t="s">
        <v>580</v>
      </c>
      <c r="E794" s="55">
        <v>300</v>
      </c>
      <c r="F794" s="112"/>
      <c r="G794" s="55">
        <v>268.56</v>
      </c>
      <c r="H794" s="113"/>
      <c r="I794" s="338">
        <f t="shared" si="13"/>
        <v>89.52</v>
      </c>
    </row>
    <row r="795" spans="1:9" ht="18" customHeight="1">
      <c r="A795" s="87"/>
      <c r="B795" s="24"/>
      <c r="C795" s="13">
        <v>4430</v>
      </c>
      <c r="D795" s="2" t="s">
        <v>288</v>
      </c>
      <c r="E795" s="55">
        <v>2060</v>
      </c>
      <c r="F795" s="112"/>
      <c r="G795" s="55">
        <v>2039</v>
      </c>
      <c r="H795" s="113"/>
      <c r="I795" s="338">
        <f t="shared" si="13"/>
        <v>98.98058252427184</v>
      </c>
    </row>
    <row r="796" spans="1:9" ht="27.75" customHeight="1">
      <c r="A796" s="87"/>
      <c r="B796" s="24"/>
      <c r="C796" s="13">
        <v>4440</v>
      </c>
      <c r="D796" s="2" t="s">
        <v>578</v>
      </c>
      <c r="E796" s="55">
        <v>38850</v>
      </c>
      <c r="F796" s="112"/>
      <c r="G796" s="55">
        <v>38850</v>
      </c>
      <c r="H796" s="113"/>
      <c r="I796" s="338">
        <f t="shared" si="13"/>
        <v>100</v>
      </c>
    </row>
    <row r="797" spans="1:9" ht="28.5" customHeight="1">
      <c r="A797" s="87"/>
      <c r="B797" s="24"/>
      <c r="C797" s="6">
        <v>4700</v>
      </c>
      <c r="D797" s="2" t="s">
        <v>93</v>
      </c>
      <c r="E797" s="55">
        <v>440</v>
      </c>
      <c r="F797" s="112"/>
      <c r="G797" s="55">
        <v>440</v>
      </c>
      <c r="H797" s="113"/>
      <c r="I797" s="338">
        <f t="shared" si="13"/>
        <v>100</v>
      </c>
    </row>
    <row r="798" spans="1:9" ht="30.75" customHeight="1">
      <c r="A798" s="87"/>
      <c r="B798" s="31">
        <v>80114</v>
      </c>
      <c r="C798" s="32"/>
      <c r="D798" s="33" t="s">
        <v>733</v>
      </c>
      <c r="E798" s="52">
        <f>SUM(E799:E815)</f>
        <v>1399490</v>
      </c>
      <c r="F798" s="112"/>
      <c r="G798" s="52">
        <f>SUM(G799:G815)</f>
        <v>1391707.35</v>
      </c>
      <c r="H798" s="113"/>
      <c r="I798" s="338">
        <f t="shared" si="13"/>
        <v>99.44389384704428</v>
      </c>
    </row>
    <row r="799" spans="1:9" ht="27" customHeight="1">
      <c r="A799" s="87"/>
      <c r="B799" s="22"/>
      <c r="C799" s="13">
        <v>3020</v>
      </c>
      <c r="D799" s="2" t="s">
        <v>721</v>
      </c>
      <c r="E799" s="55">
        <v>2480</v>
      </c>
      <c r="F799" s="112"/>
      <c r="G799" s="55">
        <v>2479.79</v>
      </c>
      <c r="H799" s="113"/>
      <c r="I799" s="338">
        <f t="shared" si="13"/>
        <v>99.99153225806452</v>
      </c>
    </row>
    <row r="800" spans="1:9" ht="18.75" customHeight="1">
      <c r="A800" s="87"/>
      <c r="B800" s="24"/>
      <c r="C800" s="13">
        <v>4010</v>
      </c>
      <c r="D800" s="2" t="s">
        <v>572</v>
      </c>
      <c r="E800" s="55">
        <v>709755</v>
      </c>
      <c r="F800" s="112"/>
      <c r="G800" s="55">
        <v>709748.09</v>
      </c>
      <c r="H800" s="113"/>
      <c r="I800" s="338">
        <f t="shared" si="13"/>
        <v>99.9990264246113</v>
      </c>
    </row>
    <row r="801" spans="1:9" ht="15" customHeight="1">
      <c r="A801" s="87"/>
      <c r="B801" s="24"/>
      <c r="C801" s="13">
        <v>4040</v>
      </c>
      <c r="D801" s="2" t="s">
        <v>575</v>
      </c>
      <c r="E801" s="55">
        <v>52645</v>
      </c>
      <c r="F801" s="112"/>
      <c r="G801" s="55">
        <v>52644.1</v>
      </c>
      <c r="H801" s="113"/>
      <c r="I801" s="338">
        <f t="shared" si="13"/>
        <v>99.99829043593883</v>
      </c>
    </row>
    <row r="802" spans="1:9" ht="15" customHeight="1">
      <c r="A802" s="87"/>
      <c r="B802" s="24"/>
      <c r="C802" s="13">
        <v>4110</v>
      </c>
      <c r="D802" s="2" t="s">
        <v>576</v>
      </c>
      <c r="E802" s="55">
        <v>123900</v>
      </c>
      <c r="F802" s="112"/>
      <c r="G802" s="55">
        <v>123893.82</v>
      </c>
      <c r="H802" s="113"/>
      <c r="I802" s="338">
        <f t="shared" si="13"/>
        <v>99.99501210653754</v>
      </c>
    </row>
    <row r="803" spans="1:9" ht="15" customHeight="1">
      <c r="A803" s="87"/>
      <c r="B803" s="24"/>
      <c r="C803" s="13">
        <v>4120</v>
      </c>
      <c r="D803" s="2" t="s">
        <v>577</v>
      </c>
      <c r="E803" s="55">
        <v>11850</v>
      </c>
      <c r="F803" s="112"/>
      <c r="G803" s="55">
        <v>11643.17</v>
      </c>
      <c r="H803" s="113"/>
      <c r="I803" s="338">
        <f t="shared" si="13"/>
        <v>98.25459915611813</v>
      </c>
    </row>
    <row r="804" spans="1:9" ht="15" customHeight="1">
      <c r="A804" s="87"/>
      <c r="B804" s="24"/>
      <c r="C804" s="13">
        <v>4210</v>
      </c>
      <c r="D804" s="2" t="s">
        <v>533</v>
      </c>
      <c r="E804" s="55">
        <v>59852</v>
      </c>
      <c r="F804" s="112"/>
      <c r="G804" s="55">
        <v>59221.45</v>
      </c>
      <c r="H804" s="113"/>
      <c r="I804" s="338">
        <f t="shared" si="13"/>
        <v>98.94648466216668</v>
      </c>
    </row>
    <row r="805" spans="1:9" ht="15" customHeight="1">
      <c r="A805" s="87"/>
      <c r="B805" s="24"/>
      <c r="C805" s="13">
        <v>4260</v>
      </c>
      <c r="D805" s="2" t="s">
        <v>591</v>
      </c>
      <c r="E805" s="55">
        <v>278000</v>
      </c>
      <c r="F805" s="112"/>
      <c r="G805" s="55">
        <v>271481.1</v>
      </c>
      <c r="H805" s="113"/>
      <c r="I805" s="338">
        <f t="shared" si="13"/>
        <v>97.65507194244604</v>
      </c>
    </row>
    <row r="806" spans="1:9" ht="15" customHeight="1">
      <c r="A806" s="87"/>
      <c r="B806" s="24"/>
      <c r="C806" s="13">
        <v>4270</v>
      </c>
      <c r="D806" s="2" t="s">
        <v>534</v>
      </c>
      <c r="E806" s="55">
        <v>72000</v>
      </c>
      <c r="F806" s="112"/>
      <c r="G806" s="55">
        <v>71977.84</v>
      </c>
      <c r="H806" s="113"/>
      <c r="I806" s="338">
        <f t="shared" si="13"/>
        <v>99.96922222222221</v>
      </c>
    </row>
    <row r="807" spans="1:9" ht="15" customHeight="1">
      <c r="A807" s="87"/>
      <c r="B807" s="24"/>
      <c r="C807" s="13">
        <v>4280</v>
      </c>
      <c r="D807" s="2" t="s">
        <v>723</v>
      </c>
      <c r="E807" s="55">
        <v>210</v>
      </c>
      <c r="F807" s="112"/>
      <c r="G807" s="55">
        <v>210</v>
      </c>
      <c r="H807" s="113"/>
      <c r="I807" s="338">
        <f t="shared" si="13"/>
        <v>100</v>
      </c>
    </row>
    <row r="808" spans="1:9" ht="15" customHeight="1">
      <c r="A808" s="87"/>
      <c r="B808" s="24"/>
      <c r="C808" s="13">
        <v>4300</v>
      </c>
      <c r="D808" s="2" t="s">
        <v>530</v>
      </c>
      <c r="E808" s="55">
        <v>44346</v>
      </c>
      <c r="F808" s="112"/>
      <c r="G808" s="55">
        <v>44284.6</v>
      </c>
      <c r="H808" s="113"/>
      <c r="I808" s="338">
        <f t="shared" si="13"/>
        <v>99.86154331845036</v>
      </c>
    </row>
    <row r="809" spans="1:9" ht="16.5" customHeight="1">
      <c r="A809" s="87"/>
      <c r="B809" s="24"/>
      <c r="C809" s="27">
        <v>4350</v>
      </c>
      <c r="D809" s="2" t="s">
        <v>586</v>
      </c>
      <c r="E809" s="55">
        <v>2530</v>
      </c>
      <c r="F809" s="112"/>
      <c r="G809" s="55">
        <v>2494.44</v>
      </c>
      <c r="H809" s="113"/>
      <c r="I809" s="338">
        <f t="shared" si="13"/>
        <v>98.59446640316206</v>
      </c>
    </row>
    <row r="810" spans="1:9" ht="39.75" customHeight="1">
      <c r="A810" s="87"/>
      <c r="B810" s="24"/>
      <c r="C810" s="27">
        <v>4370</v>
      </c>
      <c r="D810" s="2" t="s">
        <v>767</v>
      </c>
      <c r="E810" s="55">
        <v>8500</v>
      </c>
      <c r="F810" s="112"/>
      <c r="G810" s="55">
        <v>8298.78</v>
      </c>
      <c r="H810" s="113"/>
      <c r="I810" s="338">
        <f t="shared" si="13"/>
        <v>97.63270588235294</v>
      </c>
    </row>
    <row r="811" spans="1:9" ht="18.75" customHeight="1">
      <c r="A811" s="87"/>
      <c r="B811" s="24"/>
      <c r="C811" s="13">
        <v>4410</v>
      </c>
      <c r="D811" s="2" t="s">
        <v>580</v>
      </c>
      <c r="E811" s="55">
        <v>400</v>
      </c>
      <c r="F811" s="112"/>
      <c r="G811" s="55">
        <v>399.17</v>
      </c>
      <c r="H811" s="113"/>
      <c r="I811" s="338">
        <f t="shared" si="13"/>
        <v>99.7925</v>
      </c>
    </row>
    <row r="812" spans="1:9" ht="18.75" customHeight="1">
      <c r="A812" s="87"/>
      <c r="B812" s="24"/>
      <c r="C812" s="13">
        <v>4430</v>
      </c>
      <c r="D812" s="2" t="s">
        <v>288</v>
      </c>
      <c r="E812" s="55">
        <v>2984</v>
      </c>
      <c r="F812" s="112"/>
      <c r="G812" s="55">
        <v>2984</v>
      </c>
      <c r="H812" s="113"/>
      <c r="I812" s="338">
        <f t="shared" si="13"/>
        <v>100</v>
      </c>
    </row>
    <row r="813" spans="1:9" ht="25.5" customHeight="1">
      <c r="A813" s="87"/>
      <c r="B813" s="24"/>
      <c r="C813" s="13">
        <v>4440</v>
      </c>
      <c r="D813" s="2" t="s">
        <v>578</v>
      </c>
      <c r="E813" s="55">
        <v>26506</v>
      </c>
      <c r="F813" s="112"/>
      <c r="G813" s="55">
        <v>26506</v>
      </c>
      <c r="H813" s="113"/>
      <c r="I813" s="338">
        <f t="shared" si="13"/>
        <v>100</v>
      </c>
    </row>
    <row r="814" spans="1:9" ht="19.5" customHeight="1">
      <c r="A814" s="87"/>
      <c r="B814" s="24"/>
      <c r="C814" s="13">
        <v>4480</v>
      </c>
      <c r="D814" s="2" t="s">
        <v>769</v>
      </c>
      <c r="E814" s="55">
        <v>532</v>
      </c>
      <c r="F814" s="112"/>
      <c r="G814" s="55">
        <v>491</v>
      </c>
      <c r="H814" s="113"/>
      <c r="I814" s="338">
        <f t="shared" si="13"/>
        <v>92.29323308270678</v>
      </c>
    </row>
    <row r="815" spans="1:9" ht="27.75" customHeight="1">
      <c r="A815" s="87"/>
      <c r="B815" s="24"/>
      <c r="C815" s="6">
        <v>4700</v>
      </c>
      <c r="D815" s="2" t="s">
        <v>93</v>
      </c>
      <c r="E815" s="55">
        <v>3000</v>
      </c>
      <c r="F815" s="112"/>
      <c r="G815" s="55">
        <v>2950</v>
      </c>
      <c r="H815" s="113"/>
      <c r="I815" s="338">
        <f t="shared" si="13"/>
        <v>98.33333333333333</v>
      </c>
    </row>
    <row r="816" spans="1:9" ht="26.25" customHeight="1">
      <c r="A816" s="87"/>
      <c r="B816" s="31">
        <v>80120</v>
      </c>
      <c r="C816" s="32"/>
      <c r="D816" s="33" t="s">
        <v>90</v>
      </c>
      <c r="E816" s="52">
        <f>SUM(E817:E841)</f>
        <v>18589181</v>
      </c>
      <c r="F816" s="112"/>
      <c r="G816" s="52">
        <f>SUM(G817:G841)</f>
        <v>18565978.060000002</v>
      </c>
      <c r="H816" s="113"/>
      <c r="I816" s="338">
        <f t="shared" si="13"/>
        <v>99.87518040735631</v>
      </c>
    </row>
    <row r="817" spans="1:9" ht="28.5" customHeight="1">
      <c r="A817" s="87"/>
      <c r="B817" s="22"/>
      <c r="C817" s="13">
        <v>2540</v>
      </c>
      <c r="D817" s="2" t="s">
        <v>278</v>
      </c>
      <c r="E817" s="120">
        <v>2410837</v>
      </c>
      <c r="F817" s="112"/>
      <c r="G817" s="120">
        <v>2410288</v>
      </c>
      <c r="H817" s="113"/>
      <c r="I817" s="338">
        <f t="shared" si="13"/>
        <v>99.97722782585467</v>
      </c>
    </row>
    <row r="818" spans="1:9" ht="63.75" customHeight="1">
      <c r="A818" s="87"/>
      <c r="B818" s="24"/>
      <c r="C818" s="13">
        <v>2590</v>
      </c>
      <c r="D818" s="2" t="s">
        <v>637</v>
      </c>
      <c r="E818" s="55">
        <v>629946</v>
      </c>
      <c r="F818" s="112"/>
      <c r="G818" s="55">
        <v>629946</v>
      </c>
      <c r="H818" s="113"/>
      <c r="I818" s="338">
        <f t="shared" si="13"/>
        <v>100</v>
      </c>
    </row>
    <row r="819" spans="1:9" ht="27.75" customHeight="1">
      <c r="A819" s="87"/>
      <c r="B819" s="24"/>
      <c r="C819" s="13">
        <v>3020</v>
      </c>
      <c r="D819" s="2" t="s">
        <v>721</v>
      </c>
      <c r="E819" s="55">
        <v>116620</v>
      </c>
      <c r="F819" s="112"/>
      <c r="G819" s="55">
        <v>116214.42</v>
      </c>
      <c r="H819" s="113"/>
      <c r="I819" s="338">
        <f t="shared" si="13"/>
        <v>99.65222088835533</v>
      </c>
    </row>
    <row r="820" spans="1:9" ht="15.75" customHeight="1">
      <c r="A820" s="87"/>
      <c r="B820" s="24"/>
      <c r="C820" s="13">
        <v>4010</v>
      </c>
      <c r="D820" s="2" t="s">
        <v>572</v>
      </c>
      <c r="E820" s="55">
        <v>10941750</v>
      </c>
      <c r="F820" s="112"/>
      <c r="G820" s="55">
        <v>10939994.59</v>
      </c>
      <c r="H820" s="113"/>
      <c r="I820" s="338">
        <f t="shared" si="13"/>
        <v>99.98395677108324</v>
      </c>
    </row>
    <row r="821" spans="1:9" ht="15" customHeight="1">
      <c r="A821" s="87"/>
      <c r="B821" s="24"/>
      <c r="C821" s="13">
        <v>4040</v>
      </c>
      <c r="D821" s="2" t="s">
        <v>575</v>
      </c>
      <c r="E821" s="55">
        <v>822937</v>
      </c>
      <c r="F821" s="112"/>
      <c r="G821" s="55">
        <v>822934.9</v>
      </c>
      <c r="H821" s="113"/>
      <c r="I821" s="338">
        <f t="shared" si="13"/>
        <v>99.99974481643189</v>
      </c>
    </row>
    <row r="822" spans="1:9" ht="15" customHeight="1">
      <c r="A822" s="87"/>
      <c r="B822" s="24"/>
      <c r="C822" s="13">
        <v>4110</v>
      </c>
      <c r="D822" s="2" t="s">
        <v>576</v>
      </c>
      <c r="E822" s="55">
        <v>1881503</v>
      </c>
      <c r="F822" s="112"/>
      <c r="G822" s="55">
        <v>1881496.93</v>
      </c>
      <c r="H822" s="113"/>
      <c r="I822" s="338">
        <f t="shared" si="13"/>
        <v>99.9996773855795</v>
      </c>
    </row>
    <row r="823" spans="1:9" ht="15" customHeight="1">
      <c r="A823" s="87"/>
      <c r="B823" s="24"/>
      <c r="C823" s="13">
        <v>4120</v>
      </c>
      <c r="D823" s="2" t="s">
        <v>577</v>
      </c>
      <c r="E823" s="55">
        <v>226920</v>
      </c>
      <c r="F823" s="112"/>
      <c r="G823" s="55">
        <v>226619.8</v>
      </c>
      <c r="H823" s="113"/>
      <c r="I823" s="338">
        <f t="shared" si="13"/>
        <v>99.86770668076855</v>
      </c>
    </row>
    <row r="824" spans="1:9" ht="15" customHeight="1">
      <c r="A824" s="87"/>
      <c r="B824" s="24"/>
      <c r="C824" s="6">
        <v>4170</v>
      </c>
      <c r="D824" s="2" t="s">
        <v>583</v>
      </c>
      <c r="E824" s="55">
        <v>23814</v>
      </c>
      <c r="F824" s="112"/>
      <c r="G824" s="55">
        <v>23811.4</v>
      </c>
      <c r="H824" s="113"/>
      <c r="I824" s="338">
        <f t="shared" si="13"/>
        <v>99.98908205257412</v>
      </c>
    </row>
    <row r="825" spans="1:9" ht="15" customHeight="1">
      <c r="A825" s="87"/>
      <c r="B825" s="24"/>
      <c r="C825" s="13">
        <v>4210</v>
      </c>
      <c r="D825" s="2" t="s">
        <v>533</v>
      </c>
      <c r="E825" s="55">
        <v>133431</v>
      </c>
      <c r="F825" s="112"/>
      <c r="G825" s="55">
        <v>133425.03</v>
      </c>
      <c r="H825" s="113"/>
      <c r="I825" s="338">
        <f t="shared" si="13"/>
        <v>99.99552577736807</v>
      </c>
    </row>
    <row r="826" spans="1:9" ht="26.25" customHeight="1">
      <c r="A826" s="87"/>
      <c r="B826" s="24"/>
      <c r="C826" s="13">
        <v>4240</v>
      </c>
      <c r="D826" s="2" t="s">
        <v>759</v>
      </c>
      <c r="E826" s="55">
        <v>35695</v>
      </c>
      <c r="F826" s="112"/>
      <c r="G826" s="55">
        <v>35513.18</v>
      </c>
      <c r="H826" s="113"/>
      <c r="I826" s="338">
        <f t="shared" si="13"/>
        <v>99.4906289396274</v>
      </c>
    </row>
    <row r="827" spans="1:9" ht="15" customHeight="1">
      <c r="A827" s="87"/>
      <c r="B827" s="24"/>
      <c r="C827" s="13">
        <v>4260</v>
      </c>
      <c r="D827" s="2" t="s">
        <v>591</v>
      </c>
      <c r="E827" s="55">
        <v>492561</v>
      </c>
      <c r="F827" s="112"/>
      <c r="G827" s="55">
        <v>474947.06</v>
      </c>
      <c r="H827" s="113"/>
      <c r="I827" s="338">
        <f t="shared" si="13"/>
        <v>96.42400839692952</v>
      </c>
    </row>
    <row r="828" spans="1:9" ht="15" customHeight="1">
      <c r="A828" s="87"/>
      <c r="B828" s="24"/>
      <c r="C828" s="13">
        <v>4270</v>
      </c>
      <c r="D828" s="2" t="s">
        <v>534</v>
      </c>
      <c r="E828" s="55">
        <v>75579</v>
      </c>
      <c r="F828" s="112"/>
      <c r="G828" s="55">
        <v>75550.98</v>
      </c>
      <c r="H828" s="113"/>
      <c r="I828" s="338">
        <f t="shared" si="13"/>
        <v>99.9629262096614</v>
      </c>
    </row>
    <row r="829" spans="1:9" ht="15" customHeight="1">
      <c r="A829" s="87"/>
      <c r="B829" s="24"/>
      <c r="C829" s="13">
        <v>4280</v>
      </c>
      <c r="D829" s="2" t="s">
        <v>723</v>
      </c>
      <c r="E829" s="55">
        <v>10660</v>
      </c>
      <c r="F829" s="112"/>
      <c r="G829" s="55">
        <v>10340.26</v>
      </c>
      <c r="H829" s="113"/>
      <c r="I829" s="338">
        <f t="shared" si="13"/>
        <v>97.00056285178236</v>
      </c>
    </row>
    <row r="830" spans="1:9" ht="15" customHeight="1">
      <c r="A830" s="87"/>
      <c r="B830" s="24"/>
      <c r="C830" s="13">
        <v>4300</v>
      </c>
      <c r="D830" s="2" t="s">
        <v>530</v>
      </c>
      <c r="E830" s="55">
        <v>134573</v>
      </c>
      <c r="F830" s="112"/>
      <c r="G830" s="55">
        <v>133968.76</v>
      </c>
      <c r="H830" s="113"/>
      <c r="I830" s="338">
        <f aca="true" t="shared" si="14" ref="I830:I892">G830/E830*100</f>
        <v>99.55099462745129</v>
      </c>
    </row>
    <row r="831" spans="1:9" ht="15" customHeight="1">
      <c r="A831" s="87"/>
      <c r="B831" s="24"/>
      <c r="C831" s="27">
        <v>4350</v>
      </c>
      <c r="D831" s="2" t="s">
        <v>586</v>
      </c>
      <c r="E831" s="55">
        <v>3575</v>
      </c>
      <c r="F831" s="112"/>
      <c r="G831" s="55">
        <v>3395.05</v>
      </c>
      <c r="H831" s="113"/>
      <c r="I831" s="338">
        <f t="shared" si="14"/>
        <v>94.96643356643358</v>
      </c>
    </row>
    <row r="832" spans="1:9" ht="39" customHeight="1">
      <c r="A832" s="87"/>
      <c r="B832" s="24"/>
      <c r="C832" s="27">
        <v>4360</v>
      </c>
      <c r="D832" s="2" t="s">
        <v>768</v>
      </c>
      <c r="E832" s="55">
        <v>273</v>
      </c>
      <c r="F832" s="112"/>
      <c r="G832" s="55">
        <v>272.84</v>
      </c>
      <c r="H832" s="113"/>
      <c r="I832" s="338">
        <f t="shared" si="14"/>
        <v>99.94139194139193</v>
      </c>
    </row>
    <row r="833" spans="1:9" ht="39.75" customHeight="1">
      <c r="A833" s="87"/>
      <c r="B833" s="24"/>
      <c r="C833" s="27">
        <v>4370</v>
      </c>
      <c r="D833" s="2" t="s">
        <v>767</v>
      </c>
      <c r="E833" s="55">
        <v>12704</v>
      </c>
      <c r="F833" s="112"/>
      <c r="G833" s="55">
        <v>12090.89</v>
      </c>
      <c r="H833" s="113"/>
      <c r="I833" s="338">
        <f t="shared" si="14"/>
        <v>95.1738822418136</v>
      </c>
    </row>
    <row r="834" spans="1:9" ht="24.75" customHeight="1">
      <c r="A834" s="87"/>
      <c r="B834" s="24"/>
      <c r="C834" s="27">
        <v>4390</v>
      </c>
      <c r="D834" s="40" t="s">
        <v>505</v>
      </c>
      <c r="E834" s="55">
        <v>2503</v>
      </c>
      <c r="F834" s="112"/>
      <c r="G834" s="55">
        <v>2498.02</v>
      </c>
      <c r="H834" s="113"/>
      <c r="I834" s="338">
        <f t="shared" si="14"/>
        <v>99.8010387534958</v>
      </c>
    </row>
    <row r="835" spans="1:9" ht="15" customHeight="1">
      <c r="A835" s="87"/>
      <c r="B835" s="24"/>
      <c r="C835" s="13">
        <v>4410</v>
      </c>
      <c r="D835" s="2" t="s">
        <v>580</v>
      </c>
      <c r="E835" s="55">
        <v>9356</v>
      </c>
      <c r="F835" s="112"/>
      <c r="G835" s="55">
        <v>8758.65</v>
      </c>
      <c r="H835" s="113"/>
      <c r="I835" s="338">
        <f t="shared" si="14"/>
        <v>93.61532706284737</v>
      </c>
    </row>
    <row r="836" spans="1:9" ht="15" customHeight="1">
      <c r="A836" s="87"/>
      <c r="B836" s="24"/>
      <c r="C836" s="13">
        <v>4420</v>
      </c>
      <c r="D836" s="2" t="s">
        <v>581</v>
      </c>
      <c r="E836" s="55">
        <v>374</v>
      </c>
      <c r="F836" s="112"/>
      <c r="G836" s="55">
        <v>373.04</v>
      </c>
      <c r="H836" s="113"/>
      <c r="I836" s="338">
        <f t="shared" si="14"/>
        <v>99.7433155080214</v>
      </c>
    </row>
    <row r="837" spans="1:9" ht="15" customHeight="1">
      <c r="A837" s="87"/>
      <c r="B837" s="24"/>
      <c r="C837" s="13">
        <v>4430</v>
      </c>
      <c r="D837" s="2" t="s">
        <v>288</v>
      </c>
      <c r="E837" s="55">
        <v>7262</v>
      </c>
      <c r="F837" s="112"/>
      <c r="G837" s="55">
        <v>7260.21</v>
      </c>
      <c r="H837" s="113"/>
      <c r="I837" s="338">
        <f t="shared" si="14"/>
        <v>99.97535114293584</v>
      </c>
    </row>
    <row r="838" spans="1:9" ht="25.5" customHeight="1">
      <c r="A838" s="87"/>
      <c r="B838" s="24"/>
      <c r="C838" s="13">
        <v>4440</v>
      </c>
      <c r="D838" s="2" t="s">
        <v>578</v>
      </c>
      <c r="E838" s="55">
        <v>608042</v>
      </c>
      <c r="F838" s="112"/>
      <c r="G838" s="55">
        <v>608040.73</v>
      </c>
      <c r="H838" s="113"/>
      <c r="I838" s="338">
        <f t="shared" si="14"/>
        <v>99.99979113284937</v>
      </c>
    </row>
    <row r="839" spans="1:9" ht="16.5" customHeight="1">
      <c r="A839" s="87"/>
      <c r="B839" s="24"/>
      <c r="C839" s="13">
        <v>4480</v>
      </c>
      <c r="D839" s="2" t="s">
        <v>306</v>
      </c>
      <c r="E839" s="55">
        <v>2723</v>
      </c>
      <c r="F839" s="112"/>
      <c r="G839" s="55">
        <v>2695.16</v>
      </c>
      <c r="H839" s="113"/>
      <c r="I839" s="338">
        <f t="shared" si="14"/>
        <v>98.97759823723834</v>
      </c>
    </row>
    <row r="840" spans="1:9" ht="29.25" customHeight="1">
      <c r="A840" s="87"/>
      <c r="B840" s="24"/>
      <c r="C840" s="13">
        <v>4700</v>
      </c>
      <c r="D840" s="2" t="s">
        <v>93</v>
      </c>
      <c r="E840" s="55">
        <v>4101</v>
      </c>
      <c r="F840" s="112"/>
      <c r="G840" s="55">
        <v>4100.17</v>
      </c>
      <c r="H840" s="113"/>
      <c r="I840" s="338">
        <f t="shared" si="14"/>
        <v>99.97976103389418</v>
      </c>
    </row>
    <row r="841" spans="1:9" ht="25.5" customHeight="1">
      <c r="A841" s="87"/>
      <c r="B841" s="24"/>
      <c r="C841" s="13">
        <v>6060</v>
      </c>
      <c r="D841" s="2" t="s">
        <v>598</v>
      </c>
      <c r="E841" s="55">
        <v>1442</v>
      </c>
      <c r="F841" s="112"/>
      <c r="G841" s="55">
        <v>1441.99</v>
      </c>
      <c r="H841" s="113"/>
      <c r="I841" s="338">
        <f t="shared" si="14"/>
        <v>99.999306518724</v>
      </c>
    </row>
    <row r="842" spans="1:9" ht="21" customHeight="1">
      <c r="A842" s="87"/>
      <c r="B842" s="36">
        <v>80123</v>
      </c>
      <c r="C842" s="31"/>
      <c r="D842" s="33" t="s">
        <v>330</v>
      </c>
      <c r="E842" s="52">
        <f>SUM(E843:E866)</f>
        <v>3512667</v>
      </c>
      <c r="F842" s="112"/>
      <c r="G842" s="52">
        <f>SUM(G843:G866)</f>
        <v>3506770.46</v>
      </c>
      <c r="H842" s="113"/>
      <c r="I842" s="338">
        <f t="shared" si="14"/>
        <v>99.83213495614585</v>
      </c>
    </row>
    <row r="843" spans="1:9" ht="27" customHeight="1">
      <c r="A843" s="90"/>
      <c r="B843" s="42"/>
      <c r="C843" s="13">
        <v>2540</v>
      </c>
      <c r="D843" s="2" t="s">
        <v>278</v>
      </c>
      <c r="E843" s="120">
        <v>302925</v>
      </c>
      <c r="F843" s="112"/>
      <c r="G843" s="120">
        <v>302925</v>
      </c>
      <c r="H843" s="113"/>
      <c r="I843" s="338">
        <f t="shared" si="14"/>
        <v>100</v>
      </c>
    </row>
    <row r="844" spans="1:9" ht="27" customHeight="1">
      <c r="A844" s="90"/>
      <c r="B844" s="12"/>
      <c r="C844" s="13">
        <v>3020</v>
      </c>
      <c r="D844" s="2" t="s">
        <v>721</v>
      </c>
      <c r="E844" s="55">
        <v>11167</v>
      </c>
      <c r="F844" s="112"/>
      <c r="G844" s="55">
        <v>11020.27</v>
      </c>
      <c r="H844" s="113"/>
      <c r="I844" s="338">
        <f t="shared" si="14"/>
        <v>98.68603922270978</v>
      </c>
    </row>
    <row r="845" spans="1:9" ht="16.5" customHeight="1">
      <c r="A845" s="90"/>
      <c r="B845" s="12"/>
      <c r="C845" s="13">
        <v>4010</v>
      </c>
      <c r="D845" s="2" t="s">
        <v>572</v>
      </c>
      <c r="E845" s="55">
        <v>2130269</v>
      </c>
      <c r="F845" s="112"/>
      <c r="G845" s="55">
        <v>2130267.02</v>
      </c>
      <c r="H845" s="113"/>
      <c r="I845" s="338">
        <f t="shared" si="14"/>
        <v>99.99990705399178</v>
      </c>
    </row>
    <row r="846" spans="1:9" ht="15" customHeight="1">
      <c r="A846" s="90"/>
      <c r="B846" s="12"/>
      <c r="C846" s="13">
        <v>4040</v>
      </c>
      <c r="D846" s="2" t="s">
        <v>575</v>
      </c>
      <c r="E846" s="55">
        <v>219194</v>
      </c>
      <c r="F846" s="112"/>
      <c r="G846" s="55">
        <v>219191.25</v>
      </c>
      <c r="H846" s="113"/>
      <c r="I846" s="338">
        <f t="shared" si="14"/>
        <v>99.99874540361506</v>
      </c>
    </row>
    <row r="847" spans="1:9" ht="15" customHeight="1">
      <c r="A847" s="90"/>
      <c r="B847" s="12"/>
      <c r="C847" s="13">
        <v>4110</v>
      </c>
      <c r="D847" s="2" t="s">
        <v>576</v>
      </c>
      <c r="E847" s="55">
        <v>382107</v>
      </c>
      <c r="F847" s="112"/>
      <c r="G847" s="55">
        <v>381901.17</v>
      </c>
      <c r="H847" s="113"/>
      <c r="I847" s="338">
        <f t="shared" si="14"/>
        <v>99.9461328894786</v>
      </c>
    </row>
    <row r="848" spans="1:9" ht="15" customHeight="1">
      <c r="A848" s="90"/>
      <c r="B848" s="12"/>
      <c r="C848" s="13">
        <v>4120</v>
      </c>
      <c r="D848" s="2" t="s">
        <v>577</v>
      </c>
      <c r="E848" s="55">
        <v>46001</v>
      </c>
      <c r="F848" s="112"/>
      <c r="G848" s="55">
        <v>45856.63</v>
      </c>
      <c r="H848" s="113"/>
      <c r="I848" s="338">
        <f t="shared" si="14"/>
        <v>99.68615899654355</v>
      </c>
    </row>
    <row r="849" spans="1:9" ht="15" customHeight="1">
      <c r="A849" s="90"/>
      <c r="B849" s="12"/>
      <c r="C849" s="13">
        <v>4170</v>
      </c>
      <c r="D849" s="2" t="s">
        <v>583</v>
      </c>
      <c r="E849" s="55">
        <v>6103</v>
      </c>
      <c r="F849" s="112"/>
      <c r="G849" s="55">
        <v>6101.44</v>
      </c>
      <c r="H849" s="113"/>
      <c r="I849" s="338">
        <f t="shared" si="14"/>
        <v>99.97443880058987</v>
      </c>
    </row>
    <row r="850" spans="1:9" ht="15" customHeight="1">
      <c r="A850" s="90"/>
      <c r="B850" s="12"/>
      <c r="C850" s="13">
        <v>4210</v>
      </c>
      <c r="D850" s="2" t="s">
        <v>533</v>
      </c>
      <c r="E850" s="55">
        <v>37649</v>
      </c>
      <c r="F850" s="112"/>
      <c r="G850" s="55">
        <v>37644.87</v>
      </c>
      <c r="H850" s="113"/>
      <c r="I850" s="338">
        <f t="shared" si="14"/>
        <v>99.98903025312758</v>
      </c>
    </row>
    <row r="851" spans="1:9" ht="27" customHeight="1">
      <c r="A851" s="90"/>
      <c r="B851" s="12"/>
      <c r="C851" s="13">
        <v>4240</v>
      </c>
      <c r="D851" s="2" t="s">
        <v>759</v>
      </c>
      <c r="E851" s="55">
        <v>5524</v>
      </c>
      <c r="F851" s="112"/>
      <c r="G851" s="55">
        <v>5517.09</v>
      </c>
      <c r="H851" s="113"/>
      <c r="I851" s="338">
        <f t="shared" si="14"/>
        <v>99.8749094858798</v>
      </c>
    </row>
    <row r="852" spans="1:9" ht="15" customHeight="1">
      <c r="A852" s="90"/>
      <c r="B852" s="12"/>
      <c r="C852" s="13">
        <v>4260</v>
      </c>
      <c r="D852" s="2" t="s">
        <v>591</v>
      </c>
      <c r="E852" s="55">
        <v>104994</v>
      </c>
      <c r="F852" s="112"/>
      <c r="G852" s="55">
        <v>100262.19</v>
      </c>
      <c r="H852" s="113"/>
      <c r="I852" s="338">
        <f t="shared" si="14"/>
        <v>95.493256757529</v>
      </c>
    </row>
    <row r="853" spans="1:9" ht="15" customHeight="1">
      <c r="A853" s="90"/>
      <c r="B853" s="12"/>
      <c r="C853" s="13">
        <v>4270</v>
      </c>
      <c r="D853" s="2" t="s">
        <v>534</v>
      </c>
      <c r="E853" s="55">
        <v>10016</v>
      </c>
      <c r="F853" s="112"/>
      <c r="G853" s="55">
        <v>9975.96</v>
      </c>
      <c r="H853" s="113"/>
      <c r="I853" s="338">
        <f t="shared" si="14"/>
        <v>99.60023961661341</v>
      </c>
    </row>
    <row r="854" spans="1:9" ht="15" customHeight="1">
      <c r="A854" s="90"/>
      <c r="B854" s="12"/>
      <c r="C854" s="13">
        <v>4280</v>
      </c>
      <c r="D854" s="2" t="s">
        <v>723</v>
      </c>
      <c r="E854" s="55">
        <v>1574</v>
      </c>
      <c r="F854" s="112"/>
      <c r="G854" s="55">
        <v>1493</v>
      </c>
      <c r="H854" s="113"/>
      <c r="I854" s="338">
        <f t="shared" si="14"/>
        <v>94.85387547649302</v>
      </c>
    </row>
    <row r="855" spans="1:9" ht="15" customHeight="1">
      <c r="A855" s="90"/>
      <c r="B855" s="12"/>
      <c r="C855" s="13">
        <v>4300</v>
      </c>
      <c r="D855" s="2" t="s">
        <v>530</v>
      </c>
      <c r="E855" s="55">
        <v>125798</v>
      </c>
      <c r="F855" s="112"/>
      <c r="G855" s="55">
        <v>125772.6</v>
      </c>
      <c r="H855" s="113"/>
      <c r="I855" s="338">
        <f t="shared" si="14"/>
        <v>99.97980889998252</v>
      </c>
    </row>
    <row r="856" spans="1:9" ht="15" customHeight="1">
      <c r="A856" s="90"/>
      <c r="B856" s="12"/>
      <c r="C856" s="27">
        <v>4350</v>
      </c>
      <c r="D856" s="2" t="s">
        <v>586</v>
      </c>
      <c r="E856" s="55">
        <v>666</v>
      </c>
      <c r="F856" s="112"/>
      <c r="G856" s="55">
        <v>664.43</v>
      </c>
      <c r="H856" s="113"/>
      <c r="I856" s="338">
        <f t="shared" si="14"/>
        <v>99.76426426426426</v>
      </c>
    </row>
    <row r="857" spans="1:9" ht="42.75" customHeight="1">
      <c r="A857" s="90"/>
      <c r="B857" s="12"/>
      <c r="C857" s="27">
        <v>4360</v>
      </c>
      <c r="D857" s="2" t="s">
        <v>768</v>
      </c>
      <c r="E857" s="55">
        <v>110</v>
      </c>
      <c r="F857" s="112"/>
      <c r="G857" s="55">
        <v>108.27</v>
      </c>
      <c r="H857" s="113"/>
      <c r="I857" s="338">
        <f t="shared" si="14"/>
        <v>98.42727272727272</v>
      </c>
    </row>
    <row r="858" spans="1:9" ht="41.25" customHeight="1">
      <c r="A858" s="90"/>
      <c r="B858" s="12"/>
      <c r="C858" s="27">
        <v>4370</v>
      </c>
      <c r="D858" s="2" t="s">
        <v>767</v>
      </c>
      <c r="E858" s="55">
        <v>3055</v>
      </c>
      <c r="F858" s="112"/>
      <c r="G858" s="55">
        <v>3052.13</v>
      </c>
      <c r="H858" s="113"/>
      <c r="I858" s="338">
        <f t="shared" si="14"/>
        <v>99.90605564648118</v>
      </c>
    </row>
    <row r="859" spans="1:9" ht="28.5" customHeight="1">
      <c r="A859" s="90"/>
      <c r="B859" s="12"/>
      <c r="C859" s="27">
        <v>4390</v>
      </c>
      <c r="D859" s="40" t="s">
        <v>505</v>
      </c>
      <c r="E859" s="55">
        <v>247</v>
      </c>
      <c r="F859" s="112"/>
      <c r="G859" s="55">
        <v>242.45</v>
      </c>
      <c r="H859" s="113"/>
      <c r="I859" s="338">
        <f t="shared" si="14"/>
        <v>98.1578947368421</v>
      </c>
    </row>
    <row r="860" spans="1:9" ht="15" customHeight="1">
      <c r="A860" s="90"/>
      <c r="B860" s="12"/>
      <c r="C860" s="13">
        <v>4410</v>
      </c>
      <c r="D860" s="2" t="s">
        <v>580</v>
      </c>
      <c r="E860" s="55">
        <v>6568</v>
      </c>
      <c r="F860" s="112"/>
      <c r="G860" s="55">
        <v>6078.21</v>
      </c>
      <c r="H860" s="113"/>
      <c r="I860" s="338">
        <f t="shared" si="14"/>
        <v>92.5427831912302</v>
      </c>
    </row>
    <row r="861" spans="1:9" ht="15" customHeight="1">
      <c r="A861" s="90"/>
      <c r="B861" s="12"/>
      <c r="C861" s="13">
        <v>4420</v>
      </c>
      <c r="D861" s="2" t="s">
        <v>581</v>
      </c>
      <c r="E861" s="55">
        <v>164</v>
      </c>
      <c r="F861" s="112"/>
      <c r="G861" s="55">
        <v>163.97</v>
      </c>
      <c r="H861" s="113"/>
      <c r="I861" s="338">
        <f t="shared" si="14"/>
        <v>99.98170731707316</v>
      </c>
    </row>
    <row r="862" spans="1:9" ht="15" customHeight="1">
      <c r="A862" s="90"/>
      <c r="B862" s="12"/>
      <c r="C862" s="13">
        <v>4430</v>
      </c>
      <c r="D862" s="2" t="s">
        <v>288</v>
      </c>
      <c r="E862" s="55">
        <v>2441</v>
      </c>
      <c r="F862" s="112"/>
      <c r="G862" s="55">
        <v>2439.34</v>
      </c>
      <c r="H862" s="113"/>
      <c r="I862" s="338">
        <f t="shared" si="14"/>
        <v>99.93199508398199</v>
      </c>
    </row>
    <row r="863" spans="1:9" ht="27.75" customHeight="1">
      <c r="A863" s="90"/>
      <c r="B863" s="12"/>
      <c r="C863" s="13">
        <v>4440</v>
      </c>
      <c r="D863" s="2" t="s">
        <v>578</v>
      </c>
      <c r="E863" s="55">
        <v>113894</v>
      </c>
      <c r="F863" s="112"/>
      <c r="G863" s="55">
        <v>113892.91</v>
      </c>
      <c r="H863" s="113"/>
      <c r="I863" s="338">
        <f t="shared" si="14"/>
        <v>99.99904296977891</v>
      </c>
    </row>
    <row r="864" spans="1:9" ht="20.25" customHeight="1">
      <c r="A864" s="90"/>
      <c r="B864" s="12"/>
      <c r="C864" s="13">
        <v>4480</v>
      </c>
      <c r="D864" s="2" t="s">
        <v>770</v>
      </c>
      <c r="E864" s="55">
        <v>362</v>
      </c>
      <c r="F864" s="112"/>
      <c r="G864" s="55">
        <v>361.46</v>
      </c>
      <c r="H864" s="113"/>
      <c r="I864" s="338">
        <f t="shared" si="14"/>
        <v>99.85082872928176</v>
      </c>
    </row>
    <row r="865" spans="1:9" ht="28.5" customHeight="1">
      <c r="A865" s="90"/>
      <c r="B865" s="12"/>
      <c r="C865" s="13">
        <v>4700</v>
      </c>
      <c r="D865" s="2" t="s">
        <v>93</v>
      </c>
      <c r="E865" s="55">
        <v>1249</v>
      </c>
      <c r="F865" s="112"/>
      <c r="G865" s="55">
        <v>1248.8</v>
      </c>
      <c r="H865" s="113"/>
      <c r="I865" s="338">
        <f t="shared" si="14"/>
        <v>99.9839871897518</v>
      </c>
    </row>
    <row r="866" spans="1:9" ht="28.5" customHeight="1">
      <c r="A866" s="90"/>
      <c r="B866" s="12"/>
      <c r="C866" s="13">
        <v>6060</v>
      </c>
      <c r="D866" s="2" t="s">
        <v>598</v>
      </c>
      <c r="E866" s="55">
        <v>590</v>
      </c>
      <c r="F866" s="112"/>
      <c r="G866" s="55">
        <v>590</v>
      </c>
      <c r="H866" s="113"/>
      <c r="I866" s="338">
        <f t="shared" si="14"/>
        <v>100</v>
      </c>
    </row>
    <row r="867" spans="1:9" ht="24" customHeight="1">
      <c r="A867" s="87"/>
      <c r="B867" s="32">
        <v>80130</v>
      </c>
      <c r="C867" s="31"/>
      <c r="D867" s="33" t="s">
        <v>91</v>
      </c>
      <c r="E867" s="52">
        <f>SUM(E868:E892)</f>
        <v>29420492.38</v>
      </c>
      <c r="F867" s="112"/>
      <c r="G867" s="52">
        <f>SUM(G868:G892)</f>
        <v>29295604.930000003</v>
      </c>
      <c r="H867" s="113"/>
      <c r="I867" s="338">
        <f t="shared" si="14"/>
        <v>99.5755086339585</v>
      </c>
    </row>
    <row r="868" spans="1:9" ht="31.5" customHeight="1">
      <c r="A868" s="87"/>
      <c r="B868" s="36"/>
      <c r="C868" s="13">
        <v>2540</v>
      </c>
      <c r="D868" s="2" t="s">
        <v>725</v>
      </c>
      <c r="E868" s="120">
        <v>4618759</v>
      </c>
      <c r="F868" s="112"/>
      <c r="G868" s="120">
        <v>4545213</v>
      </c>
      <c r="H868" s="113"/>
      <c r="I868" s="338">
        <f t="shared" si="14"/>
        <v>98.4076675141526</v>
      </c>
    </row>
    <row r="869" spans="1:9" ht="21.75" customHeight="1">
      <c r="A869" s="87"/>
      <c r="B869" s="24"/>
      <c r="C869" s="13">
        <v>3020</v>
      </c>
      <c r="D869" s="2" t="s">
        <v>721</v>
      </c>
      <c r="E869" s="55">
        <v>108529</v>
      </c>
      <c r="F869" s="112"/>
      <c r="G869" s="55">
        <v>107836.54</v>
      </c>
      <c r="H869" s="113"/>
      <c r="I869" s="338">
        <f t="shared" si="14"/>
        <v>99.3619585548563</v>
      </c>
    </row>
    <row r="870" spans="1:9" ht="16.5" customHeight="1">
      <c r="A870" s="87"/>
      <c r="B870" s="24"/>
      <c r="C870" s="13">
        <v>4010</v>
      </c>
      <c r="D870" s="2" t="s">
        <v>572</v>
      </c>
      <c r="E870" s="55">
        <v>17393063</v>
      </c>
      <c r="F870" s="112"/>
      <c r="G870" s="55">
        <v>17392800.16</v>
      </c>
      <c r="H870" s="113"/>
      <c r="I870" s="338">
        <f t="shared" si="14"/>
        <v>99.99848882281401</v>
      </c>
    </row>
    <row r="871" spans="1:9" ht="15" customHeight="1">
      <c r="A871" s="87"/>
      <c r="B871" s="24"/>
      <c r="C871" s="13">
        <v>4040</v>
      </c>
      <c r="D871" s="2" t="s">
        <v>575</v>
      </c>
      <c r="E871" s="55">
        <v>1280559</v>
      </c>
      <c r="F871" s="112"/>
      <c r="G871" s="55">
        <v>1280557.6</v>
      </c>
      <c r="H871" s="113"/>
      <c r="I871" s="338">
        <f t="shared" si="14"/>
        <v>99.99989067274527</v>
      </c>
    </row>
    <row r="872" spans="1:9" ht="15" customHeight="1">
      <c r="A872" s="87"/>
      <c r="B872" s="24"/>
      <c r="C872" s="13">
        <v>4110</v>
      </c>
      <c r="D872" s="2" t="s">
        <v>576</v>
      </c>
      <c r="E872" s="55">
        <v>3078772</v>
      </c>
      <c r="F872" s="112"/>
      <c r="G872" s="55">
        <v>3073751.22</v>
      </c>
      <c r="H872" s="113"/>
      <c r="I872" s="338">
        <f t="shared" si="14"/>
        <v>99.83692264318371</v>
      </c>
    </row>
    <row r="873" spans="1:9" ht="15" customHeight="1">
      <c r="A873" s="87"/>
      <c r="B873" s="24"/>
      <c r="C873" s="13">
        <v>4120</v>
      </c>
      <c r="D873" s="2" t="s">
        <v>577</v>
      </c>
      <c r="E873" s="55">
        <v>373097</v>
      </c>
      <c r="F873" s="112"/>
      <c r="G873" s="55">
        <v>371514.93</v>
      </c>
      <c r="H873" s="113"/>
      <c r="I873" s="338">
        <f t="shared" si="14"/>
        <v>99.57596281932044</v>
      </c>
    </row>
    <row r="874" spans="1:9" ht="25.5" customHeight="1">
      <c r="A874" s="87"/>
      <c r="B874" s="24"/>
      <c r="C874" s="13">
        <v>4140</v>
      </c>
      <c r="D874" s="2" t="s">
        <v>758</v>
      </c>
      <c r="E874" s="55">
        <v>2422</v>
      </c>
      <c r="F874" s="112"/>
      <c r="G874" s="55">
        <v>2422</v>
      </c>
      <c r="H874" s="113"/>
      <c r="I874" s="338">
        <f t="shared" si="14"/>
        <v>100</v>
      </c>
    </row>
    <row r="875" spans="1:9" ht="15" customHeight="1">
      <c r="A875" s="87"/>
      <c r="B875" s="24"/>
      <c r="C875" s="6">
        <v>4170</v>
      </c>
      <c r="D875" s="2" t="s">
        <v>583</v>
      </c>
      <c r="E875" s="55">
        <v>35772</v>
      </c>
      <c r="F875" s="112"/>
      <c r="G875" s="55">
        <v>35591.04</v>
      </c>
      <c r="H875" s="113"/>
      <c r="I875" s="338">
        <f t="shared" si="14"/>
        <v>99.49412948674942</v>
      </c>
    </row>
    <row r="876" spans="1:9" ht="15" customHeight="1">
      <c r="A876" s="87"/>
      <c r="B876" s="24"/>
      <c r="C876" s="13">
        <v>4210</v>
      </c>
      <c r="D876" s="2" t="s">
        <v>533</v>
      </c>
      <c r="E876" s="55">
        <v>239861</v>
      </c>
      <c r="F876" s="112"/>
      <c r="G876" s="55">
        <v>239841.16</v>
      </c>
      <c r="H876" s="113"/>
      <c r="I876" s="338">
        <f t="shared" si="14"/>
        <v>99.99172854278103</v>
      </c>
    </row>
    <row r="877" spans="1:9" ht="24.75" customHeight="1">
      <c r="A877" s="87"/>
      <c r="B877" s="24"/>
      <c r="C877" s="13">
        <v>4240</v>
      </c>
      <c r="D877" s="2" t="s">
        <v>759</v>
      </c>
      <c r="E877" s="55">
        <v>119390.38</v>
      </c>
      <c r="F877" s="112"/>
      <c r="G877" s="55">
        <v>119387.89</v>
      </c>
      <c r="H877" s="113"/>
      <c r="I877" s="338">
        <f t="shared" si="14"/>
        <v>99.99791440482892</v>
      </c>
    </row>
    <row r="878" spans="1:9" ht="15" customHeight="1">
      <c r="A878" s="87"/>
      <c r="B878" s="24"/>
      <c r="C878" s="13">
        <v>4260</v>
      </c>
      <c r="D878" s="2" t="s">
        <v>591</v>
      </c>
      <c r="E878" s="55">
        <v>826602</v>
      </c>
      <c r="F878" s="112"/>
      <c r="G878" s="55">
        <v>787370.82</v>
      </c>
      <c r="H878" s="113"/>
      <c r="I878" s="338">
        <f t="shared" si="14"/>
        <v>95.25392147611547</v>
      </c>
    </row>
    <row r="879" spans="1:9" ht="15" customHeight="1">
      <c r="A879" s="87"/>
      <c r="B879" s="24"/>
      <c r="C879" s="13">
        <v>4270</v>
      </c>
      <c r="D879" s="2" t="s">
        <v>534</v>
      </c>
      <c r="E879" s="55">
        <v>101264</v>
      </c>
      <c r="F879" s="112"/>
      <c r="G879" s="55">
        <v>101263.42</v>
      </c>
      <c r="H879" s="113"/>
      <c r="I879" s="338">
        <f t="shared" si="14"/>
        <v>99.9994272396903</v>
      </c>
    </row>
    <row r="880" spans="1:9" ht="15" customHeight="1">
      <c r="A880" s="87"/>
      <c r="B880" s="24"/>
      <c r="C880" s="13">
        <v>4280</v>
      </c>
      <c r="D880" s="2" t="s">
        <v>723</v>
      </c>
      <c r="E880" s="55">
        <v>15778</v>
      </c>
      <c r="F880" s="112"/>
      <c r="G880" s="55">
        <v>15095.67</v>
      </c>
      <c r="H880" s="113"/>
      <c r="I880" s="338">
        <f t="shared" si="14"/>
        <v>95.67543414881482</v>
      </c>
    </row>
    <row r="881" spans="1:9" ht="15" customHeight="1">
      <c r="A881" s="87"/>
      <c r="B881" s="24"/>
      <c r="C881" s="13">
        <v>4300</v>
      </c>
      <c r="D881" s="2" t="s">
        <v>530</v>
      </c>
      <c r="E881" s="55">
        <v>172770</v>
      </c>
      <c r="F881" s="112"/>
      <c r="G881" s="55">
        <v>170465.57</v>
      </c>
      <c r="H881" s="113"/>
      <c r="I881" s="338">
        <f t="shared" si="14"/>
        <v>98.66618625918852</v>
      </c>
    </row>
    <row r="882" spans="1:9" ht="15" customHeight="1">
      <c r="A882" s="87"/>
      <c r="B882" s="24"/>
      <c r="C882" s="27">
        <v>4350</v>
      </c>
      <c r="D882" s="2" t="s">
        <v>586</v>
      </c>
      <c r="E882" s="55">
        <v>13174</v>
      </c>
      <c r="F882" s="112"/>
      <c r="G882" s="55">
        <v>13132.09</v>
      </c>
      <c r="H882" s="113"/>
      <c r="I882" s="338">
        <f t="shared" si="14"/>
        <v>99.68187338697435</v>
      </c>
    </row>
    <row r="883" spans="1:9" ht="41.25" customHeight="1">
      <c r="A883" s="87"/>
      <c r="B883" s="24"/>
      <c r="C883" s="27">
        <v>4360</v>
      </c>
      <c r="D883" s="2" t="s">
        <v>768</v>
      </c>
      <c r="E883" s="55">
        <v>407</v>
      </c>
      <c r="F883" s="112"/>
      <c r="G883" s="55">
        <v>406.29</v>
      </c>
      <c r="H883" s="113"/>
      <c r="I883" s="338">
        <f t="shared" si="14"/>
        <v>99.82555282555283</v>
      </c>
    </row>
    <row r="884" spans="1:9" ht="42.75" customHeight="1">
      <c r="A884" s="87"/>
      <c r="B884" s="24"/>
      <c r="C884" s="27">
        <v>4370</v>
      </c>
      <c r="D884" s="2" t="s">
        <v>767</v>
      </c>
      <c r="E884" s="55">
        <v>20113</v>
      </c>
      <c r="F884" s="112"/>
      <c r="G884" s="55">
        <v>20080.67</v>
      </c>
      <c r="H884" s="113"/>
      <c r="I884" s="338">
        <f t="shared" si="14"/>
        <v>99.8392581912196</v>
      </c>
    </row>
    <row r="885" spans="1:9" ht="28.5" customHeight="1">
      <c r="A885" s="87"/>
      <c r="B885" s="24"/>
      <c r="C885" s="27">
        <v>4390</v>
      </c>
      <c r="D885" s="40" t="s">
        <v>505</v>
      </c>
      <c r="E885" s="55">
        <v>1371</v>
      </c>
      <c r="F885" s="112"/>
      <c r="G885" s="55">
        <v>1341.04</v>
      </c>
      <c r="H885" s="113"/>
      <c r="I885" s="338">
        <f t="shared" si="14"/>
        <v>97.8147337709701</v>
      </c>
    </row>
    <row r="886" spans="1:9" ht="15" customHeight="1">
      <c r="A886" s="87"/>
      <c r="B886" s="24"/>
      <c r="C886" s="13">
        <v>4410</v>
      </c>
      <c r="D886" s="2" t="s">
        <v>580</v>
      </c>
      <c r="E886" s="55">
        <v>9425</v>
      </c>
      <c r="F886" s="112"/>
      <c r="G886" s="55">
        <v>8316.35</v>
      </c>
      <c r="H886" s="113"/>
      <c r="I886" s="338">
        <f t="shared" si="14"/>
        <v>88.23713527851459</v>
      </c>
    </row>
    <row r="887" spans="1:9" ht="15" customHeight="1">
      <c r="A887" s="87"/>
      <c r="B887" s="24"/>
      <c r="C887" s="13">
        <v>4420</v>
      </c>
      <c r="D887" s="2" t="s">
        <v>581</v>
      </c>
      <c r="E887" s="55">
        <v>1232</v>
      </c>
      <c r="F887" s="112"/>
      <c r="G887" s="55">
        <v>1231.7</v>
      </c>
      <c r="H887" s="113"/>
      <c r="I887" s="338">
        <f t="shared" si="14"/>
        <v>99.97564935064935</v>
      </c>
    </row>
    <row r="888" spans="1:9" ht="15" customHeight="1">
      <c r="A888" s="87"/>
      <c r="B888" s="24"/>
      <c r="C888" s="13">
        <v>4430</v>
      </c>
      <c r="D888" s="2" t="s">
        <v>288</v>
      </c>
      <c r="E888" s="55">
        <v>9876</v>
      </c>
      <c r="F888" s="112"/>
      <c r="G888" s="55">
        <v>9874.54</v>
      </c>
      <c r="H888" s="113"/>
      <c r="I888" s="338">
        <f t="shared" si="14"/>
        <v>99.9852166869178</v>
      </c>
    </row>
    <row r="889" spans="1:9" ht="26.25" customHeight="1">
      <c r="A889" s="87"/>
      <c r="B889" s="24"/>
      <c r="C889" s="13">
        <v>4440</v>
      </c>
      <c r="D889" s="2" t="s">
        <v>578</v>
      </c>
      <c r="E889" s="55">
        <v>980246</v>
      </c>
      <c r="F889" s="112"/>
      <c r="G889" s="55">
        <v>980104.05</v>
      </c>
      <c r="H889" s="113"/>
      <c r="I889" s="338">
        <f t="shared" si="14"/>
        <v>99.98551894116375</v>
      </c>
    </row>
    <row r="890" spans="1:9" ht="19.5" customHeight="1">
      <c r="A890" s="87"/>
      <c r="B890" s="24"/>
      <c r="C890" s="13">
        <v>4480</v>
      </c>
      <c r="D890" s="2" t="s">
        <v>770</v>
      </c>
      <c r="E890" s="55">
        <v>2130</v>
      </c>
      <c r="F890" s="112"/>
      <c r="G890" s="55">
        <v>2127.38</v>
      </c>
      <c r="H890" s="113"/>
      <c r="I890" s="338">
        <f t="shared" si="14"/>
        <v>99.87699530516433</v>
      </c>
    </row>
    <row r="891" spans="1:9" ht="27.75" customHeight="1">
      <c r="A891" s="87"/>
      <c r="B891" s="24"/>
      <c r="C891" s="6">
        <v>4700</v>
      </c>
      <c r="D891" s="2" t="s">
        <v>93</v>
      </c>
      <c r="E891" s="55">
        <v>6360</v>
      </c>
      <c r="F891" s="112"/>
      <c r="G891" s="55">
        <v>6359.8</v>
      </c>
      <c r="H891" s="113"/>
      <c r="I891" s="338">
        <f t="shared" si="14"/>
        <v>99.99685534591195</v>
      </c>
    </row>
    <row r="892" spans="1:9" ht="27.75" customHeight="1">
      <c r="A892" s="87"/>
      <c r="B892" s="24"/>
      <c r="C892" s="13">
        <v>6060</v>
      </c>
      <c r="D892" s="2" t="s">
        <v>598</v>
      </c>
      <c r="E892" s="55">
        <v>9520</v>
      </c>
      <c r="F892" s="112"/>
      <c r="G892" s="55">
        <v>9520</v>
      </c>
      <c r="H892" s="113"/>
      <c r="I892" s="338">
        <f t="shared" si="14"/>
        <v>100</v>
      </c>
    </row>
    <row r="893" spans="1:22" s="69" customFormat="1" ht="24" customHeight="1">
      <c r="A893" s="107"/>
      <c r="B893" s="32">
        <v>80132</v>
      </c>
      <c r="C893" s="31"/>
      <c r="D893" s="33" t="s">
        <v>807</v>
      </c>
      <c r="E893" s="52">
        <f>SUM(E894:E894)</f>
        <v>10000</v>
      </c>
      <c r="F893" s="132"/>
      <c r="G893" s="52">
        <f>SUM(G894:G894)</f>
        <v>9389.28</v>
      </c>
      <c r="H893" s="270"/>
      <c r="I893" s="338">
        <f aca="true" t="shared" si="15" ref="I893:I956">G893/E893*100</f>
        <v>93.89280000000001</v>
      </c>
      <c r="J893" s="447"/>
      <c r="K893" s="352"/>
      <c r="L893" s="352"/>
      <c r="M893" s="352"/>
      <c r="N893" s="352"/>
      <c r="O893" s="465"/>
      <c r="P893" s="352"/>
      <c r="Q893" s="352"/>
      <c r="R893" s="352"/>
      <c r="S893" s="352"/>
      <c r="T893" s="321"/>
      <c r="U893" s="321"/>
      <c r="V893" s="321"/>
    </row>
    <row r="894" spans="1:9" ht="18.75" customHeight="1">
      <c r="A894" s="87"/>
      <c r="B894" s="24"/>
      <c r="C894" s="13">
        <v>4300</v>
      </c>
      <c r="D894" s="2" t="s">
        <v>530</v>
      </c>
      <c r="E894" s="118">
        <v>10000</v>
      </c>
      <c r="F894" s="112"/>
      <c r="G894" s="118">
        <v>9389.28</v>
      </c>
      <c r="H894" s="113"/>
      <c r="I894" s="338">
        <f t="shared" si="15"/>
        <v>93.89280000000001</v>
      </c>
    </row>
    <row r="895" spans="1:9" ht="25.5" customHeight="1">
      <c r="A895" s="87"/>
      <c r="B895" s="31">
        <v>80134</v>
      </c>
      <c r="C895" s="31"/>
      <c r="D895" s="33" t="s">
        <v>331</v>
      </c>
      <c r="E895" s="52">
        <f>SUM(E896:E910)</f>
        <v>1274197</v>
      </c>
      <c r="F895" s="112"/>
      <c r="G895" s="52">
        <f>SUM(G896:G910)</f>
        <v>1273107.8800000001</v>
      </c>
      <c r="H895" s="113"/>
      <c r="I895" s="338">
        <f t="shared" si="15"/>
        <v>99.91452499103359</v>
      </c>
    </row>
    <row r="896" spans="1:9" ht="22.5" customHeight="1">
      <c r="A896" s="87"/>
      <c r="B896" s="22"/>
      <c r="C896" s="13">
        <v>3020</v>
      </c>
      <c r="D896" s="2" t="s">
        <v>721</v>
      </c>
      <c r="E896" s="120">
        <v>1035</v>
      </c>
      <c r="F896" s="112"/>
      <c r="G896" s="120">
        <v>1035</v>
      </c>
      <c r="H896" s="113"/>
      <c r="I896" s="338">
        <f t="shared" si="15"/>
        <v>100</v>
      </c>
    </row>
    <row r="897" spans="1:9" ht="17.25" customHeight="1">
      <c r="A897" s="87"/>
      <c r="B897" s="24"/>
      <c r="C897" s="13">
        <v>4010</v>
      </c>
      <c r="D897" s="2" t="s">
        <v>572</v>
      </c>
      <c r="E897" s="55">
        <v>906984</v>
      </c>
      <c r="F897" s="112"/>
      <c r="G897" s="55">
        <v>906984</v>
      </c>
      <c r="H897" s="113"/>
      <c r="I897" s="338">
        <f t="shared" si="15"/>
        <v>100</v>
      </c>
    </row>
    <row r="898" spans="1:9" ht="15" customHeight="1">
      <c r="A898" s="87"/>
      <c r="B898" s="24"/>
      <c r="C898" s="13">
        <v>4040</v>
      </c>
      <c r="D898" s="2" t="s">
        <v>575</v>
      </c>
      <c r="E898" s="55">
        <v>69821</v>
      </c>
      <c r="F898" s="112"/>
      <c r="G898" s="55">
        <v>69820.03</v>
      </c>
      <c r="H898" s="113"/>
      <c r="I898" s="338">
        <f t="shared" si="15"/>
        <v>99.9986107331605</v>
      </c>
    </row>
    <row r="899" spans="1:9" ht="15" customHeight="1">
      <c r="A899" s="87"/>
      <c r="B899" s="24"/>
      <c r="C899" s="13">
        <v>4110</v>
      </c>
      <c r="D899" s="2" t="s">
        <v>576</v>
      </c>
      <c r="E899" s="55">
        <v>160850</v>
      </c>
      <c r="F899" s="112"/>
      <c r="G899" s="55">
        <v>160850</v>
      </c>
      <c r="H899" s="113"/>
      <c r="I899" s="338">
        <f t="shared" si="15"/>
        <v>100</v>
      </c>
    </row>
    <row r="900" spans="1:9" ht="15" customHeight="1">
      <c r="A900" s="87"/>
      <c r="B900" s="24"/>
      <c r="C900" s="13">
        <v>4120</v>
      </c>
      <c r="D900" s="2" t="s">
        <v>577</v>
      </c>
      <c r="E900" s="55">
        <v>19890</v>
      </c>
      <c r="F900" s="112"/>
      <c r="G900" s="55">
        <v>19890</v>
      </c>
      <c r="H900" s="113"/>
      <c r="I900" s="338">
        <f t="shared" si="15"/>
        <v>100</v>
      </c>
    </row>
    <row r="901" spans="1:9" ht="15" customHeight="1">
      <c r="A901" s="87"/>
      <c r="B901" s="24"/>
      <c r="C901" s="13">
        <v>4210</v>
      </c>
      <c r="D901" s="2" t="s">
        <v>533</v>
      </c>
      <c r="E901" s="55">
        <v>12660</v>
      </c>
      <c r="F901" s="112"/>
      <c r="G901" s="55">
        <v>12660</v>
      </c>
      <c r="H901" s="113"/>
      <c r="I901" s="338">
        <f t="shared" si="15"/>
        <v>100</v>
      </c>
    </row>
    <row r="902" spans="1:9" ht="24.75" customHeight="1">
      <c r="A902" s="87"/>
      <c r="B902" s="24"/>
      <c r="C902" s="13">
        <v>4240</v>
      </c>
      <c r="D902" s="2" t="s">
        <v>759</v>
      </c>
      <c r="E902" s="55">
        <v>435</v>
      </c>
      <c r="F902" s="112"/>
      <c r="G902" s="55">
        <v>435</v>
      </c>
      <c r="H902" s="113"/>
      <c r="I902" s="338">
        <f t="shared" si="15"/>
        <v>100</v>
      </c>
    </row>
    <row r="903" spans="1:9" ht="15" customHeight="1">
      <c r="A903" s="87"/>
      <c r="B903" s="24"/>
      <c r="C903" s="13">
        <v>4260</v>
      </c>
      <c r="D903" s="2" t="s">
        <v>591</v>
      </c>
      <c r="E903" s="55">
        <v>40400</v>
      </c>
      <c r="F903" s="112"/>
      <c r="G903" s="55">
        <v>39316.85</v>
      </c>
      <c r="H903" s="113"/>
      <c r="I903" s="338">
        <f t="shared" si="15"/>
        <v>97.31893564356436</v>
      </c>
    </row>
    <row r="904" spans="1:9" ht="15" customHeight="1">
      <c r="A904" s="87"/>
      <c r="B904" s="24"/>
      <c r="C904" s="13">
        <v>4270</v>
      </c>
      <c r="D904" s="2" t="s">
        <v>534</v>
      </c>
      <c r="E904" s="55">
        <v>6190</v>
      </c>
      <c r="F904" s="112"/>
      <c r="G904" s="55">
        <v>6190</v>
      </c>
      <c r="H904" s="113"/>
      <c r="I904" s="338">
        <f t="shared" si="15"/>
        <v>100</v>
      </c>
    </row>
    <row r="905" spans="1:9" ht="15" customHeight="1">
      <c r="A905" s="87"/>
      <c r="B905" s="24"/>
      <c r="C905" s="13">
        <v>4280</v>
      </c>
      <c r="D905" s="2" t="s">
        <v>723</v>
      </c>
      <c r="E905" s="55">
        <v>750</v>
      </c>
      <c r="F905" s="112"/>
      <c r="G905" s="55">
        <v>745</v>
      </c>
      <c r="H905" s="113"/>
      <c r="I905" s="338">
        <f t="shared" si="15"/>
        <v>99.33333333333333</v>
      </c>
    </row>
    <row r="906" spans="1:9" ht="15" customHeight="1">
      <c r="A906" s="87"/>
      <c r="B906" s="24"/>
      <c r="C906" s="13">
        <v>4300</v>
      </c>
      <c r="D906" s="2" t="s">
        <v>530</v>
      </c>
      <c r="E906" s="55">
        <v>8850</v>
      </c>
      <c r="F906" s="112"/>
      <c r="G906" s="55">
        <v>8850</v>
      </c>
      <c r="H906" s="113"/>
      <c r="I906" s="338">
        <f t="shared" si="15"/>
        <v>100</v>
      </c>
    </row>
    <row r="907" spans="1:9" ht="39.75" customHeight="1">
      <c r="A907" s="87"/>
      <c r="B907" s="24"/>
      <c r="C907" s="27">
        <v>4370</v>
      </c>
      <c r="D907" s="2" t="s">
        <v>767</v>
      </c>
      <c r="E907" s="55">
        <v>470</v>
      </c>
      <c r="F907" s="112"/>
      <c r="G907" s="55">
        <v>470</v>
      </c>
      <c r="H907" s="113"/>
      <c r="I907" s="338">
        <f t="shared" si="15"/>
        <v>100</v>
      </c>
    </row>
    <row r="908" spans="1:9" ht="15" customHeight="1">
      <c r="A908" s="87"/>
      <c r="B908" s="24"/>
      <c r="C908" s="13">
        <v>4430</v>
      </c>
      <c r="D908" s="2" t="s">
        <v>288</v>
      </c>
      <c r="E908" s="55">
        <v>915</v>
      </c>
      <c r="F908" s="112"/>
      <c r="G908" s="55">
        <v>915</v>
      </c>
      <c r="H908" s="113"/>
      <c r="I908" s="338">
        <f t="shared" si="15"/>
        <v>100</v>
      </c>
    </row>
    <row r="909" spans="1:9" ht="24" customHeight="1">
      <c r="A909" s="87"/>
      <c r="B909" s="24"/>
      <c r="C909" s="13">
        <v>4440</v>
      </c>
      <c r="D909" s="2" t="s">
        <v>578</v>
      </c>
      <c r="E909" s="55">
        <v>44437</v>
      </c>
      <c r="F909" s="112"/>
      <c r="G909" s="55">
        <v>44437</v>
      </c>
      <c r="H909" s="113"/>
      <c r="I909" s="338">
        <f t="shared" si="15"/>
        <v>100</v>
      </c>
    </row>
    <row r="910" spans="1:9" ht="27" customHeight="1">
      <c r="A910" s="87"/>
      <c r="B910" s="24"/>
      <c r="C910" s="6">
        <v>4700</v>
      </c>
      <c r="D910" s="2" t="s">
        <v>93</v>
      </c>
      <c r="E910" s="55">
        <v>510</v>
      </c>
      <c r="F910" s="112"/>
      <c r="G910" s="55">
        <v>510</v>
      </c>
      <c r="H910" s="113"/>
      <c r="I910" s="338">
        <f t="shared" si="15"/>
        <v>100</v>
      </c>
    </row>
    <row r="911" spans="1:9" ht="39.75" customHeight="1">
      <c r="A911" s="87"/>
      <c r="B911" s="36">
        <v>80140</v>
      </c>
      <c r="C911" s="31"/>
      <c r="D911" s="33" t="s">
        <v>332</v>
      </c>
      <c r="E911" s="52">
        <f>SUM(E912:E934)</f>
        <v>2779087</v>
      </c>
      <c r="F911" s="112"/>
      <c r="G911" s="52">
        <f>SUM(G912:G934)</f>
        <v>2757989.3899999997</v>
      </c>
      <c r="H911" s="113"/>
      <c r="I911" s="338">
        <f t="shared" si="15"/>
        <v>99.24084384547874</v>
      </c>
    </row>
    <row r="912" spans="1:9" ht="26.25" customHeight="1">
      <c r="A912" s="87"/>
      <c r="B912" s="22"/>
      <c r="C912" s="13">
        <v>3020</v>
      </c>
      <c r="D912" s="2" t="s">
        <v>721</v>
      </c>
      <c r="E912" s="120">
        <v>9024</v>
      </c>
      <c r="F912" s="112"/>
      <c r="G912" s="120">
        <v>8952.18</v>
      </c>
      <c r="H912" s="113"/>
      <c r="I912" s="338">
        <f t="shared" si="15"/>
        <v>99.20412234042554</v>
      </c>
    </row>
    <row r="913" spans="1:9" ht="18.75" customHeight="1">
      <c r="A913" s="87"/>
      <c r="B913" s="24"/>
      <c r="C913" s="13">
        <v>4010</v>
      </c>
      <c r="D913" s="2" t="s">
        <v>572</v>
      </c>
      <c r="E913" s="55">
        <v>1579531</v>
      </c>
      <c r="F913" s="112"/>
      <c r="G913" s="55">
        <v>1579191.04</v>
      </c>
      <c r="H913" s="113"/>
      <c r="I913" s="338">
        <f t="shared" si="15"/>
        <v>99.97847715556073</v>
      </c>
    </row>
    <row r="914" spans="1:9" ht="15" customHeight="1">
      <c r="A914" s="87"/>
      <c r="B914" s="24"/>
      <c r="C914" s="13">
        <v>4040</v>
      </c>
      <c r="D914" s="2" t="s">
        <v>575</v>
      </c>
      <c r="E914" s="55">
        <v>147270</v>
      </c>
      <c r="F914" s="112"/>
      <c r="G914" s="55">
        <v>147268.61</v>
      </c>
      <c r="H914" s="113"/>
      <c r="I914" s="338">
        <f t="shared" si="15"/>
        <v>99.99905615536089</v>
      </c>
    </row>
    <row r="915" spans="1:9" ht="15" customHeight="1">
      <c r="A915" s="87"/>
      <c r="B915" s="24"/>
      <c r="C915" s="13">
        <v>4110</v>
      </c>
      <c r="D915" s="2" t="s">
        <v>576</v>
      </c>
      <c r="E915" s="55">
        <v>288742</v>
      </c>
      <c r="F915" s="112"/>
      <c r="G915" s="55">
        <v>285692.41</v>
      </c>
      <c r="H915" s="113"/>
      <c r="I915" s="338">
        <f t="shared" si="15"/>
        <v>98.94383567336929</v>
      </c>
    </row>
    <row r="916" spans="1:9" ht="15" customHeight="1">
      <c r="A916" s="87"/>
      <c r="B916" s="24" t="s">
        <v>83</v>
      </c>
      <c r="C916" s="13">
        <v>4120</v>
      </c>
      <c r="D916" s="2" t="s">
        <v>577</v>
      </c>
      <c r="E916" s="55">
        <v>38739</v>
      </c>
      <c r="F916" s="112"/>
      <c r="G916" s="55">
        <v>38692.44</v>
      </c>
      <c r="H916" s="113"/>
      <c r="I916" s="338">
        <f t="shared" si="15"/>
        <v>99.87981104313484</v>
      </c>
    </row>
    <row r="917" spans="1:9" ht="15" customHeight="1">
      <c r="A917" s="87"/>
      <c r="B917" s="24"/>
      <c r="C917" s="6">
        <v>4170</v>
      </c>
      <c r="D917" s="2" t="s">
        <v>583</v>
      </c>
      <c r="E917" s="55">
        <v>43700</v>
      </c>
      <c r="F917" s="112"/>
      <c r="G917" s="55">
        <v>31246</v>
      </c>
      <c r="H917" s="113"/>
      <c r="I917" s="338">
        <f t="shared" si="15"/>
        <v>71.50114416475972</v>
      </c>
    </row>
    <row r="918" spans="1:9" ht="15" customHeight="1">
      <c r="A918" s="87"/>
      <c r="B918" s="24"/>
      <c r="C918" s="13">
        <v>4210</v>
      </c>
      <c r="D918" s="2" t="s">
        <v>533</v>
      </c>
      <c r="E918" s="55">
        <v>176261</v>
      </c>
      <c r="F918" s="112"/>
      <c r="G918" s="55">
        <v>176145.94</v>
      </c>
      <c r="H918" s="113"/>
      <c r="I918" s="338">
        <f t="shared" si="15"/>
        <v>99.93472180459659</v>
      </c>
    </row>
    <row r="919" spans="1:9" ht="15" customHeight="1">
      <c r="A919" s="87"/>
      <c r="B919" s="24"/>
      <c r="C919" s="6">
        <v>4220</v>
      </c>
      <c r="D919" s="2" t="s">
        <v>675</v>
      </c>
      <c r="E919" s="55">
        <v>685</v>
      </c>
      <c r="F919" s="112"/>
      <c r="G919" s="55">
        <v>684.43</v>
      </c>
      <c r="H919" s="113"/>
      <c r="I919" s="338">
        <f t="shared" si="15"/>
        <v>99.91678832116787</v>
      </c>
    </row>
    <row r="920" spans="1:9" ht="25.5" customHeight="1">
      <c r="A920" s="87"/>
      <c r="B920" s="24"/>
      <c r="C920" s="13">
        <v>4230</v>
      </c>
      <c r="D920" s="2" t="s">
        <v>726</v>
      </c>
      <c r="E920" s="55">
        <v>495</v>
      </c>
      <c r="F920" s="112"/>
      <c r="G920" s="55">
        <v>494.7</v>
      </c>
      <c r="H920" s="113"/>
      <c r="I920" s="338">
        <f t="shared" si="15"/>
        <v>99.93939393939394</v>
      </c>
    </row>
    <row r="921" spans="1:9" ht="24.75" customHeight="1">
      <c r="A921" s="87"/>
      <c r="B921" s="24"/>
      <c r="C921" s="13">
        <v>4240</v>
      </c>
      <c r="D921" s="2" t="s">
        <v>759</v>
      </c>
      <c r="E921" s="55">
        <v>17474</v>
      </c>
      <c r="F921" s="112"/>
      <c r="G921" s="55">
        <v>17473.17</v>
      </c>
      <c r="H921" s="113"/>
      <c r="I921" s="338">
        <f t="shared" si="15"/>
        <v>99.99525008584182</v>
      </c>
    </row>
    <row r="922" spans="1:9" ht="15" customHeight="1">
      <c r="A922" s="87"/>
      <c r="B922" s="24"/>
      <c r="C922" s="13">
        <v>4260</v>
      </c>
      <c r="D922" s="2" t="s">
        <v>591</v>
      </c>
      <c r="E922" s="55">
        <v>170057</v>
      </c>
      <c r="F922" s="112"/>
      <c r="G922" s="55">
        <v>166238.13</v>
      </c>
      <c r="H922" s="113"/>
      <c r="I922" s="338">
        <f t="shared" si="15"/>
        <v>97.7543588326267</v>
      </c>
    </row>
    <row r="923" spans="1:9" ht="15" customHeight="1">
      <c r="A923" s="87"/>
      <c r="B923" s="24"/>
      <c r="C923" s="13">
        <v>4270</v>
      </c>
      <c r="D923" s="2" t="s">
        <v>534</v>
      </c>
      <c r="E923" s="55">
        <v>135634</v>
      </c>
      <c r="F923" s="112"/>
      <c r="G923" s="55">
        <v>135620.78</v>
      </c>
      <c r="H923" s="113"/>
      <c r="I923" s="338">
        <f t="shared" si="15"/>
        <v>99.9902531813557</v>
      </c>
    </row>
    <row r="924" spans="1:9" ht="15" customHeight="1">
      <c r="A924" s="87"/>
      <c r="B924" s="24"/>
      <c r="C924" s="13">
        <v>4280</v>
      </c>
      <c r="D924" s="2" t="s">
        <v>723</v>
      </c>
      <c r="E924" s="55">
        <v>1875</v>
      </c>
      <c r="F924" s="112"/>
      <c r="G924" s="55">
        <v>1573.5</v>
      </c>
      <c r="H924" s="113"/>
      <c r="I924" s="338">
        <f t="shared" si="15"/>
        <v>83.91999999999999</v>
      </c>
    </row>
    <row r="925" spans="1:9" ht="15" customHeight="1">
      <c r="A925" s="87"/>
      <c r="B925" s="24"/>
      <c r="C925" s="13">
        <v>4300</v>
      </c>
      <c r="D925" s="2" t="s">
        <v>530</v>
      </c>
      <c r="E925" s="55">
        <v>56213</v>
      </c>
      <c r="F925" s="112"/>
      <c r="G925" s="55">
        <v>56154.31</v>
      </c>
      <c r="H925" s="113"/>
      <c r="I925" s="338">
        <f t="shared" si="15"/>
        <v>99.89559354597691</v>
      </c>
    </row>
    <row r="926" spans="1:9" ht="15" customHeight="1">
      <c r="A926" s="87"/>
      <c r="B926" s="24"/>
      <c r="C926" s="27">
        <v>4350</v>
      </c>
      <c r="D926" s="2" t="s">
        <v>586</v>
      </c>
      <c r="E926" s="55">
        <v>1504</v>
      </c>
      <c r="F926" s="112"/>
      <c r="G926" s="55">
        <v>1503.23</v>
      </c>
      <c r="H926" s="113"/>
      <c r="I926" s="338">
        <f t="shared" si="15"/>
        <v>99.94880319148936</v>
      </c>
    </row>
    <row r="927" spans="1:9" ht="39.75" customHeight="1">
      <c r="A927" s="87"/>
      <c r="B927" s="24"/>
      <c r="C927" s="27">
        <v>4360</v>
      </c>
      <c r="D927" s="2" t="s">
        <v>768</v>
      </c>
      <c r="E927" s="55">
        <v>67</v>
      </c>
      <c r="F927" s="112"/>
      <c r="G927" s="55">
        <v>66.59</v>
      </c>
      <c r="H927" s="113"/>
      <c r="I927" s="338">
        <f t="shared" si="15"/>
        <v>99.38805970149254</v>
      </c>
    </row>
    <row r="928" spans="1:9" ht="37.5" customHeight="1">
      <c r="A928" s="87"/>
      <c r="B928" s="24"/>
      <c r="C928" s="27">
        <v>4370</v>
      </c>
      <c r="D928" s="2" t="s">
        <v>767</v>
      </c>
      <c r="E928" s="55">
        <v>6247</v>
      </c>
      <c r="F928" s="112"/>
      <c r="G928" s="55">
        <v>6117.36</v>
      </c>
      <c r="H928" s="113"/>
      <c r="I928" s="338">
        <f t="shared" si="15"/>
        <v>97.92476388666559</v>
      </c>
    </row>
    <row r="929" spans="1:9" ht="25.5" customHeight="1">
      <c r="A929" s="87"/>
      <c r="B929" s="24"/>
      <c r="C929" s="27">
        <v>4390</v>
      </c>
      <c r="D929" s="40" t="s">
        <v>505</v>
      </c>
      <c r="E929" s="55">
        <v>409</v>
      </c>
      <c r="F929" s="112"/>
      <c r="G929" s="55">
        <v>386.99</v>
      </c>
      <c r="H929" s="113"/>
      <c r="I929" s="338">
        <f t="shared" si="15"/>
        <v>94.61858190709047</v>
      </c>
    </row>
    <row r="930" spans="1:9" ht="15" customHeight="1">
      <c r="A930" s="87"/>
      <c r="B930" s="24"/>
      <c r="C930" s="13">
        <v>4410</v>
      </c>
      <c r="D930" s="2" t="s">
        <v>580</v>
      </c>
      <c r="E930" s="55">
        <v>1653</v>
      </c>
      <c r="F930" s="112"/>
      <c r="G930" s="55">
        <v>1193.32</v>
      </c>
      <c r="H930" s="113"/>
      <c r="I930" s="338">
        <f t="shared" si="15"/>
        <v>72.19116757410768</v>
      </c>
    </row>
    <row r="931" spans="1:9" ht="15" customHeight="1">
      <c r="A931" s="87"/>
      <c r="B931" s="24"/>
      <c r="C931" s="13">
        <v>4430</v>
      </c>
      <c r="D931" s="2" t="s">
        <v>288</v>
      </c>
      <c r="E931" s="55">
        <v>11726</v>
      </c>
      <c r="F931" s="112"/>
      <c r="G931" s="55">
        <v>11521.17</v>
      </c>
      <c r="H931" s="113"/>
      <c r="I931" s="338">
        <f t="shared" si="15"/>
        <v>98.2531980214907</v>
      </c>
    </row>
    <row r="932" spans="1:9" ht="25.5" customHeight="1">
      <c r="A932" s="87"/>
      <c r="B932" s="24"/>
      <c r="C932" s="13">
        <v>4440</v>
      </c>
      <c r="D932" s="2" t="s">
        <v>578</v>
      </c>
      <c r="E932" s="55">
        <v>85566</v>
      </c>
      <c r="F932" s="112"/>
      <c r="G932" s="55">
        <v>85565.09</v>
      </c>
      <c r="H932" s="113"/>
      <c r="I932" s="338">
        <f t="shared" si="15"/>
        <v>99.99893649346703</v>
      </c>
    </row>
    <row r="933" spans="1:9" ht="20.25" customHeight="1">
      <c r="A933" s="87"/>
      <c r="B933" s="24"/>
      <c r="C933" s="13">
        <v>4480</v>
      </c>
      <c r="D933" s="2" t="s">
        <v>770</v>
      </c>
      <c r="E933" s="55">
        <v>1988</v>
      </c>
      <c r="F933" s="112"/>
      <c r="G933" s="55">
        <v>1981</v>
      </c>
      <c r="H933" s="113"/>
      <c r="I933" s="338">
        <f t="shared" si="15"/>
        <v>99.64788732394366</v>
      </c>
    </row>
    <row r="934" spans="1:9" ht="27.75" customHeight="1">
      <c r="A934" s="87"/>
      <c r="B934" s="24"/>
      <c r="C934" s="6">
        <v>4700</v>
      </c>
      <c r="D934" s="2" t="s">
        <v>93</v>
      </c>
      <c r="E934" s="55">
        <v>4227</v>
      </c>
      <c r="F934" s="112"/>
      <c r="G934" s="55">
        <v>4227</v>
      </c>
      <c r="H934" s="113"/>
      <c r="I934" s="338">
        <f t="shared" si="15"/>
        <v>100</v>
      </c>
    </row>
    <row r="935" spans="1:9" ht="30" customHeight="1">
      <c r="A935" s="87"/>
      <c r="B935" s="31">
        <v>80144</v>
      </c>
      <c r="C935" s="31"/>
      <c r="D935" s="33" t="s">
        <v>333</v>
      </c>
      <c r="E935" s="37">
        <f>SUM(E936:E949)</f>
        <v>855273</v>
      </c>
      <c r="F935" s="112"/>
      <c r="G935" s="37">
        <f>SUM(G936:G949)</f>
        <v>855270.86</v>
      </c>
      <c r="H935" s="113"/>
      <c r="I935" s="338">
        <f t="shared" si="15"/>
        <v>99.99974978749475</v>
      </c>
    </row>
    <row r="936" spans="1:9" ht="26.25" customHeight="1">
      <c r="A936" s="87"/>
      <c r="B936" s="41"/>
      <c r="C936" s="13">
        <v>3020</v>
      </c>
      <c r="D936" s="2" t="s">
        <v>721</v>
      </c>
      <c r="E936" s="120">
        <v>553</v>
      </c>
      <c r="F936" s="112"/>
      <c r="G936" s="120">
        <v>553</v>
      </c>
      <c r="H936" s="113"/>
      <c r="I936" s="338">
        <f t="shared" si="15"/>
        <v>100</v>
      </c>
    </row>
    <row r="937" spans="1:9" ht="18" customHeight="1">
      <c r="A937" s="87"/>
      <c r="B937" s="24"/>
      <c r="C937" s="13">
        <v>4010</v>
      </c>
      <c r="D937" s="2" t="s">
        <v>572</v>
      </c>
      <c r="E937" s="120">
        <v>629712</v>
      </c>
      <c r="F937" s="112"/>
      <c r="G937" s="120">
        <v>629712</v>
      </c>
      <c r="H937" s="113"/>
      <c r="I937" s="338">
        <f t="shared" si="15"/>
        <v>100</v>
      </c>
    </row>
    <row r="938" spans="1:9" ht="18" customHeight="1">
      <c r="A938" s="87"/>
      <c r="B938" s="24"/>
      <c r="C938" s="13">
        <v>4040</v>
      </c>
      <c r="D938" s="2" t="s">
        <v>575</v>
      </c>
      <c r="E938" s="55">
        <v>46251</v>
      </c>
      <c r="F938" s="112"/>
      <c r="G938" s="55">
        <v>46250.5</v>
      </c>
      <c r="H938" s="113"/>
      <c r="I938" s="338">
        <f t="shared" si="15"/>
        <v>99.99891894229313</v>
      </c>
    </row>
    <row r="939" spans="1:9" ht="16.5" customHeight="1">
      <c r="A939" s="87"/>
      <c r="B939" s="24"/>
      <c r="C939" s="13">
        <v>4110</v>
      </c>
      <c r="D939" s="2" t="s">
        <v>576</v>
      </c>
      <c r="E939" s="55">
        <v>113795</v>
      </c>
      <c r="F939" s="112"/>
      <c r="G939" s="55">
        <v>113795</v>
      </c>
      <c r="H939" s="113"/>
      <c r="I939" s="338">
        <f t="shared" si="15"/>
        <v>100</v>
      </c>
    </row>
    <row r="940" spans="1:9" ht="15" customHeight="1">
      <c r="A940" s="87"/>
      <c r="B940" s="24"/>
      <c r="C940" s="13">
        <v>4120</v>
      </c>
      <c r="D940" s="2" t="s">
        <v>577</v>
      </c>
      <c r="E940" s="55">
        <v>12041</v>
      </c>
      <c r="F940" s="112"/>
      <c r="G940" s="55">
        <v>12041</v>
      </c>
      <c r="H940" s="113"/>
      <c r="I940" s="338">
        <f t="shared" si="15"/>
        <v>100</v>
      </c>
    </row>
    <row r="941" spans="1:9" ht="15" customHeight="1">
      <c r="A941" s="87"/>
      <c r="B941" s="24"/>
      <c r="C941" s="13">
        <v>4210</v>
      </c>
      <c r="D941" s="2" t="s">
        <v>533</v>
      </c>
      <c r="E941" s="55">
        <v>6670</v>
      </c>
      <c r="F941" s="112"/>
      <c r="G941" s="55">
        <v>6670</v>
      </c>
      <c r="H941" s="113"/>
      <c r="I941" s="338">
        <f t="shared" si="15"/>
        <v>100</v>
      </c>
    </row>
    <row r="942" spans="1:9" ht="27.75" customHeight="1">
      <c r="A942" s="87"/>
      <c r="B942" s="24"/>
      <c r="C942" s="13">
        <v>4240</v>
      </c>
      <c r="D942" s="2" t="s">
        <v>759</v>
      </c>
      <c r="E942" s="55">
        <v>308</v>
      </c>
      <c r="F942" s="112"/>
      <c r="G942" s="55">
        <v>308</v>
      </c>
      <c r="H942" s="113"/>
      <c r="I942" s="338">
        <f t="shared" si="15"/>
        <v>100</v>
      </c>
    </row>
    <row r="943" spans="1:9" ht="18.75" customHeight="1">
      <c r="A943" s="87"/>
      <c r="B943" s="24"/>
      <c r="C943" s="13">
        <v>4260</v>
      </c>
      <c r="D943" s="2" t="s">
        <v>591</v>
      </c>
      <c r="E943" s="118">
        <v>6191</v>
      </c>
      <c r="F943" s="112"/>
      <c r="G943" s="118">
        <v>6191</v>
      </c>
      <c r="H943" s="113"/>
      <c r="I943" s="338">
        <f t="shared" si="15"/>
        <v>100</v>
      </c>
    </row>
    <row r="944" spans="1:9" ht="19.5" customHeight="1">
      <c r="A944" s="87"/>
      <c r="B944" s="24"/>
      <c r="C944" s="13">
        <v>4270</v>
      </c>
      <c r="D944" s="2" t="s">
        <v>534</v>
      </c>
      <c r="E944" s="118">
        <v>5173</v>
      </c>
      <c r="F944" s="112"/>
      <c r="G944" s="118">
        <v>5171.36</v>
      </c>
      <c r="H944" s="113"/>
      <c r="I944" s="338">
        <f t="shared" si="15"/>
        <v>99.96829692634834</v>
      </c>
    </row>
    <row r="945" spans="1:9" ht="19.5" customHeight="1">
      <c r="A945" s="87"/>
      <c r="B945" s="24"/>
      <c r="C945" s="13">
        <v>4280</v>
      </c>
      <c r="D945" s="2" t="s">
        <v>723</v>
      </c>
      <c r="E945" s="118">
        <v>305</v>
      </c>
      <c r="F945" s="112"/>
      <c r="G945" s="118">
        <v>305</v>
      </c>
      <c r="H945" s="113"/>
      <c r="I945" s="338">
        <f t="shared" si="15"/>
        <v>100</v>
      </c>
    </row>
    <row r="946" spans="1:9" ht="18" customHeight="1">
      <c r="A946" s="87"/>
      <c r="B946" s="24"/>
      <c r="C946" s="13">
        <v>4300</v>
      </c>
      <c r="D946" s="2" t="s">
        <v>530</v>
      </c>
      <c r="E946" s="118">
        <v>5000</v>
      </c>
      <c r="F946" s="112"/>
      <c r="G946" s="118">
        <v>5000</v>
      </c>
      <c r="H946" s="113"/>
      <c r="I946" s="338">
        <f t="shared" si="15"/>
        <v>100</v>
      </c>
    </row>
    <row r="947" spans="1:9" ht="39.75" customHeight="1">
      <c r="A947" s="87"/>
      <c r="B947" s="24"/>
      <c r="C947" s="27">
        <v>4370</v>
      </c>
      <c r="D947" s="2" t="s">
        <v>767</v>
      </c>
      <c r="E947" s="118">
        <v>220</v>
      </c>
      <c r="F947" s="112"/>
      <c r="G947" s="118">
        <v>220</v>
      </c>
      <c r="H947" s="113"/>
      <c r="I947" s="338">
        <f t="shared" si="15"/>
        <v>100</v>
      </c>
    </row>
    <row r="948" spans="1:9" ht="20.25" customHeight="1">
      <c r="A948" s="87"/>
      <c r="B948" s="24"/>
      <c r="C948" s="13">
        <v>4430</v>
      </c>
      <c r="D948" s="2" t="s">
        <v>288</v>
      </c>
      <c r="E948" s="118">
        <v>255</v>
      </c>
      <c r="F948" s="112"/>
      <c r="G948" s="118">
        <v>255</v>
      </c>
      <c r="H948" s="113"/>
      <c r="I948" s="338">
        <f t="shared" si="15"/>
        <v>100</v>
      </c>
    </row>
    <row r="949" spans="1:9" ht="31.5" customHeight="1">
      <c r="A949" s="87"/>
      <c r="B949" s="24"/>
      <c r="C949" s="13">
        <v>4440</v>
      </c>
      <c r="D949" s="2" t="s">
        <v>578</v>
      </c>
      <c r="E949" s="118">
        <v>28799</v>
      </c>
      <c r="F949" s="112"/>
      <c r="G949" s="118">
        <v>28799</v>
      </c>
      <c r="H949" s="113"/>
      <c r="I949" s="338">
        <f t="shared" si="15"/>
        <v>100</v>
      </c>
    </row>
    <row r="950" spans="1:22" s="69" customFormat="1" ht="24.75" customHeight="1">
      <c r="A950" s="107"/>
      <c r="B950" s="32">
        <v>80145</v>
      </c>
      <c r="C950" s="36"/>
      <c r="D950" s="190" t="s">
        <v>78</v>
      </c>
      <c r="E950" s="191">
        <f>SUM(E951:E956)</f>
        <v>24816</v>
      </c>
      <c r="F950" s="132"/>
      <c r="G950" s="191">
        <f>SUM(G951:G956)</f>
        <v>24587.019999999997</v>
      </c>
      <c r="H950" s="270"/>
      <c r="I950" s="338">
        <f t="shared" si="15"/>
        <v>99.07728884590585</v>
      </c>
      <c r="J950" s="447"/>
      <c r="K950" s="352"/>
      <c r="L950" s="352"/>
      <c r="M950" s="352"/>
      <c r="N950" s="352"/>
      <c r="O950" s="465"/>
      <c r="P950" s="352"/>
      <c r="Q950" s="352"/>
      <c r="R950" s="352"/>
      <c r="S950" s="352"/>
      <c r="T950" s="321"/>
      <c r="U950" s="321"/>
      <c r="V950" s="321"/>
    </row>
    <row r="951" spans="1:9" ht="19.5" customHeight="1">
      <c r="A951" s="87"/>
      <c r="B951" s="24"/>
      <c r="C951" s="13">
        <v>4110</v>
      </c>
      <c r="D951" s="2" t="s">
        <v>576</v>
      </c>
      <c r="E951" s="118">
        <v>807</v>
      </c>
      <c r="F951" s="112"/>
      <c r="G951" s="118">
        <v>806.68</v>
      </c>
      <c r="H951" s="113"/>
      <c r="I951" s="338">
        <f t="shared" si="15"/>
        <v>99.96034696406443</v>
      </c>
    </row>
    <row r="952" spans="1:9" ht="15" customHeight="1">
      <c r="A952" s="87"/>
      <c r="B952" s="24"/>
      <c r="C952" s="13">
        <v>4120</v>
      </c>
      <c r="D952" s="2" t="s">
        <v>577</v>
      </c>
      <c r="E952" s="118">
        <v>115</v>
      </c>
      <c r="F952" s="112"/>
      <c r="G952" s="118">
        <v>114.98</v>
      </c>
      <c r="H952" s="113"/>
      <c r="I952" s="338">
        <f t="shared" si="15"/>
        <v>99.98260869565217</v>
      </c>
    </row>
    <row r="953" spans="1:9" ht="16.5" customHeight="1">
      <c r="A953" s="87"/>
      <c r="B953" s="24"/>
      <c r="C953" s="6">
        <v>4170</v>
      </c>
      <c r="D953" s="2" t="s">
        <v>583</v>
      </c>
      <c r="E953" s="118">
        <v>16002</v>
      </c>
      <c r="F953" s="112"/>
      <c r="G953" s="118">
        <v>16001.8</v>
      </c>
      <c r="H953" s="113"/>
      <c r="I953" s="338">
        <f t="shared" si="15"/>
        <v>99.99875015623047</v>
      </c>
    </row>
    <row r="954" spans="1:9" ht="18.75" customHeight="1">
      <c r="A954" s="87"/>
      <c r="B954" s="24"/>
      <c r="C954" s="13">
        <v>4210</v>
      </c>
      <c r="D954" s="2" t="s">
        <v>533</v>
      </c>
      <c r="E954" s="118">
        <v>2673</v>
      </c>
      <c r="F954" s="112"/>
      <c r="G954" s="118">
        <v>2670.44</v>
      </c>
      <c r="H954" s="113"/>
      <c r="I954" s="338">
        <f t="shared" si="15"/>
        <v>99.90422745978302</v>
      </c>
    </row>
    <row r="955" spans="1:9" ht="27.75" customHeight="1">
      <c r="A955" s="87"/>
      <c r="B955" s="24"/>
      <c r="C955" s="13">
        <v>4240</v>
      </c>
      <c r="D955" s="2" t="s">
        <v>759</v>
      </c>
      <c r="E955" s="118">
        <v>2300</v>
      </c>
      <c r="F955" s="112"/>
      <c r="G955" s="118">
        <v>2299.12</v>
      </c>
      <c r="H955" s="113"/>
      <c r="I955" s="338">
        <f t="shared" si="15"/>
        <v>99.96173913043478</v>
      </c>
    </row>
    <row r="956" spans="1:9" ht="16.5" customHeight="1">
      <c r="A956" s="87"/>
      <c r="B956" s="24"/>
      <c r="C956" s="13">
        <v>4300</v>
      </c>
      <c r="D956" s="2" t="s">
        <v>530</v>
      </c>
      <c r="E956" s="118">
        <v>2919</v>
      </c>
      <c r="F956" s="112"/>
      <c r="G956" s="118">
        <v>2694</v>
      </c>
      <c r="H956" s="113"/>
      <c r="I956" s="338">
        <f t="shared" si="15"/>
        <v>92.29188078108942</v>
      </c>
    </row>
    <row r="957" spans="1:9" ht="30" customHeight="1">
      <c r="A957" s="87"/>
      <c r="B957" s="32">
        <v>80146</v>
      </c>
      <c r="C957" s="32"/>
      <c r="D957" s="33" t="s">
        <v>522</v>
      </c>
      <c r="E957" s="52">
        <f>SUM(E958:E976)</f>
        <v>756454</v>
      </c>
      <c r="F957" s="112"/>
      <c r="G957" s="52">
        <f>SUM(G958:G976)</f>
        <v>595292.22</v>
      </c>
      <c r="H957" s="113"/>
      <c r="I957" s="338">
        <f aca="true" t="shared" si="16" ref="I957:I1018">G957/E957*100</f>
        <v>78.6950984461712</v>
      </c>
    </row>
    <row r="958" spans="1:9" ht="25.5" customHeight="1">
      <c r="A958" s="87"/>
      <c r="B958" s="41"/>
      <c r="C958" s="27">
        <v>3020</v>
      </c>
      <c r="D958" s="40" t="s">
        <v>721</v>
      </c>
      <c r="E958" s="120">
        <v>950</v>
      </c>
      <c r="F958" s="112"/>
      <c r="G958" s="120">
        <v>320</v>
      </c>
      <c r="H958" s="113"/>
      <c r="I958" s="338">
        <f t="shared" si="16"/>
        <v>33.68421052631579</v>
      </c>
    </row>
    <row r="959" spans="1:9" ht="15" customHeight="1">
      <c r="A959" s="87"/>
      <c r="B959" s="41"/>
      <c r="C959" s="13">
        <v>4010</v>
      </c>
      <c r="D959" s="2" t="s">
        <v>572</v>
      </c>
      <c r="E959" s="55">
        <v>226637</v>
      </c>
      <c r="F959" s="112"/>
      <c r="G959" s="55">
        <v>214030.35</v>
      </c>
      <c r="H959" s="113"/>
      <c r="I959" s="338">
        <f t="shared" si="16"/>
        <v>94.43751461588356</v>
      </c>
    </row>
    <row r="960" spans="1:9" ht="15" customHeight="1">
      <c r="A960" s="87"/>
      <c r="B960" s="41"/>
      <c r="C960" s="13">
        <v>4040</v>
      </c>
      <c r="D960" s="2" t="s">
        <v>575</v>
      </c>
      <c r="E960" s="55">
        <v>12000</v>
      </c>
      <c r="F960" s="112"/>
      <c r="G960" s="55">
        <v>11845.68</v>
      </c>
      <c r="H960" s="113"/>
      <c r="I960" s="338">
        <f t="shared" si="16"/>
        <v>98.714</v>
      </c>
    </row>
    <row r="961" spans="1:9" ht="15" customHeight="1">
      <c r="A961" s="87"/>
      <c r="B961" s="41"/>
      <c r="C961" s="13">
        <v>4110</v>
      </c>
      <c r="D961" s="2" t="s">
        <v>576</v>
      </c>
      <c r="E961" s="55">
        <v>39137</v>
      </c>
      <c r="F961" s="112"/>
      <c r="G961" s="55">
        <v>35854.71</v>
      </c>
      <c r="H961" s="113"/>
      <c r="I961" s="338">
        <f t="shared" si="16"/>
        <v>91.61333265196618</v>
      </c>
    </row>
    <row r="962" spans="1:9" ht="15" customHeight="1">
      <c r="A962" s="87"/>
      <c r="B962" s="41"/>
      <c r="C962" s="13">
        <v>4120</v>
      </c>
      <c r="D962" s="2" t="s">
        <v>577</v>
      </c>
      <c r="E962" s="55">
        <v>5505</v>
      </c>
      <c r="F962" s="112"/>
      <c r="G962" s="55">
        <v>4966.44</v>
      </c>
      <c r="H962" s="113"/>
      <c r="I962" s="338">
        <f t="shared" si="16"/>
        <v>90.21689373297002</v>
      </c>
    </row>
    <row r="963" spans="1:9" ht="15" customHeight="1">
      <c r="A963" s="87"/>
      <c r="B963" s="41"/>
      <c r="C963" s="6">
        <v>4170</v>
      </c>
      <c r="D963" s="2" t="s">
        <v>583</v>
      </c>
      <c r="E963" s="55">
        <v>71000</v>
      </c>
      <c r="F963" s="112"/>
      <c r="G963" s="55">
        <v>47092.78</v>
      </c>
      <c r="H963" s="113"/>
      <c r="I963" s="338">
        <f t="shared" si="16"/>
        <v>66.32785915492958</v>
      </c>
    </row>
    <row r="964" spans="1:9" ht="15" customHeight="1">
      <c r="A964" s="87"/>
      <c r="B964" s="41"/>
      <c r="C964" s="13">
        <v>4210</v>
      </c>
      <c r="D964" s="2" t="s">
        <v>533</v>
      </c>
      <c r="E964" s="55">
        <v>27666</v>
      </c>
      <c r="F964" s="112"/>
      <c r="G964" s="55">
        <v>24431</v>
      </c>
      <c r="H964" s="113"/>
      <c r="I964" s="338">
        <f t="shared" si="16"/>
        <v>88.30694715535314</v>
      </c>
    </row>
    <row r="965" spans="1:9" ht="25.5" customHeight="1">
      <c r="A965" s="87"/>
      <c r="B965" s="41"/>
      <c r="C965" s="13">
        <v>4240</v>
      </c>
      <c r="D965" s="2" t="s">
        <v>759</v>
      </c>
      <c r="E965" s="55">
        <v>3900</v>
      </c>
      <c r="F965" s="112"/>
      <c r="G965" s="55">
        <v>2737.75</v>
      </c>
      <c r="H965" s="113"/>
      <c r="I965" s="338">
        <f t="shared" si="16"/>
        <v>70.19871794871794</v>
      </c>
    </row>
    <row r="966" spans="1:9" ht="15" customHeight="1">
      <c r="A966" s="87"/>
      <c r="B966" s="41"/>
      <c r="C966" s="13">
        <v>4270</v>
      </c>
      <c r="D966" s="2" t="s">
        <v>534</v>
      </c>
      <c r="E966" s="55">
        <v>1000</v>
      </c>
      <c r="F966" s="112"/>
      <c r="G966" s="55">
        <v>787.2</v>
      </c>
      <c r="H966" s="113"/>
      <c r="I966" s="338">
        <f t="shared" si="16"/>
        <v>78.72</v>
      </c>
    </row>
    <row r="967" spans="1:9" ht="15" customHeight="1">
      <c r="A967" s="87"/>
      <c r="B967" s="41"/>
      <c r="C967" s="13">
        <v>4280</v>
      </c>
      <c r="D967" s="2" t="s">
        <v>723</v>
      </c>
      <c r="E967" s="55">
        <v>100</v>
      </c>
      <c r="F967" s="112"/>
      <c r="G967" s="55">
        <v>100</v>
      </c>
      <c r="H967" s="113"/>
      <c r="I967" s="338">
        <f t="shared" si="16"/>
        <v>100</v>
      </c>
    </row>
    <row r="968" spans="1:9" ht="15" customHeight="1">
      <c r="A968" s="87"/>
      <c r="B968" s="24"/>
      <c r="C968" s="13">
        <v>4300</v>
      </c>
      <c r="D968" s="2" t="s">
        <v>530</v>
      </c>
      <c r="E968" s="55">
        <v>165745</v>
      </c>
      <c r="F968" s="112"/>
      <c r="G968" s="55">
        <v>101931.96</v>
      </c>
      <c r="H968" s="113"/>
      <c r="I968" s="338">
        <f t="shared" si="16"/>
        <v>61.49926694621256</v>
      </c>
    </row>
    <row r="969" spans="1:9" ht="15" customHeight="1">
      <c r="A969" s="87"/>
      <c r="B969" s="24"/>
      <c r="C969" s="13">
        <v>4350</v>
      </c>
      <c r="D969" s="2" t="s">
        <v>586</v>
      </c>
      <c r="E969" s="55">
        <v>1000</v>
      </c>
      <c r="F969" s="112"/>
      <c r="G969" s="55">
        <v>774.35</v>
      </c>
      <c r="H969" s="113"/>
      <c r="I969" s="338">
        <f t="shared" si="16"/>
        <v>77.435</v>
      </c>
    </row>
    <row r="970" spans="1:9" ht="39" customHeight="1">
      <c r="A970" s="87"/>
      <c r="B970" s="24"/>
      <c r="C970" s="27">
        <v>4370</v>
      </c>
      <c r="D970" s="2" t="s">
        <v>767</v>
      </c>
      <c r="E970" s="55">
        <v>6000</v>
      </c>
      <c r="F970" s="112"/>
      <c r="G970" s="55">
        <v>4613.43</v>
      </c>
      <c r="H970" s="113"/>
      <c r="I970" s="338">
        <f t="shared" si="16"/>
        <v>76.8905</v>
      </c>
    </row>
    <row r="971" spans="1:9" ht="27.75" customHeight="1">
      <c r="A971" s="87"/>
      <c r="B971" s="24"/>
      <c r="C971" s="27">
        <v>4400</v>
      </c>
      <c r="D971" s="40" t="s">
        <v>334</v>
      </c>
      <c r="E971" s="55">
        <v>32990</v>
      </c>
      <c r="F971" s="112"/>
      <c r="G971" s="55">
        <v>32979.29</v>
      </c>
      <c r="H971" s="113"/>
      <c r="I971" s="338">
        <f t="shared" si="16"/>
        <v>99.9675356168536</v>
      </c>
    </row>
    <row r="972" spans="1:9" ht="15" customHeight="1">
      <c r="A972" s="87"/>
      <c r="B972" s="24"/>
      <c r="C972" s="13">
        <v>4410</v>
      </c>
      <c r="D972" s="2" t="s">
        <v>580</v>
      </c>
      <c r="E972" s="55">
        <v>31956</v>
      </c>
      <c r="F972" s="112"/>
      <c r="G972" s="55">
        <v>20132.29</v>
      </c>
      <c r="H972" s="113"/>
      <c r="I972" s="338">
        <f t="shared" si="16"/>
        <v>63.00003129302792</v>
      </c>
    </row>
    <row r="973" spans="1:9" ht="15" customHeight="1">
      <c r="A973" s="87"/>
      <c r="B973" s="24"/>
      <c r="C973" s="13">
        <v>4420</v>
      </c>
      <c r="D973" s="2" t="s">
        <v>588</v>
      </c>
      <c r="E973" s="55">
        <v>1960</v>
      </c>
      <c r="F973" s="112"/>
      <c r="G973" s="55">
        <v>1959.19</v>
      </c>
      <c r="H973" s="113"/>
      <c r="I973" s="338">
        <f t="shared" si="16"/>
        <v>99.95867346938776</v>
      </c>
    </row>
    <row r="974" spans="1:9" ht="15" customHeight="1">
      <c r="A974" s="87"/>
      <c r="B974" s="24"/>
      <c r="C974" s="13">
        <v>4430</v>
      </c>
      <c r="D974" s="2" t="s">
        <v>288</v>
      </c>
      <c r="E974" s="55">
        <v>2000</v>
      </c>
      <c r="F974" s="112"/>
      <c r="G974" s="55">
        <v>910</v>
      </c>
      <c r="H974" s="113"/>
      <c r="I974" s="338">
        <f t="shared" si="16"/>
        <v>45.5</v>
      </c>
    </row>
    <row r="975" spans="1:9" ht="25.5" customHeight="1">
      <c r="A975" s="87"/>
      <c r="B975" s="24"/>
      <c r="C975" s="13">
        <v>4440</v>
      </c>
      <c r="D975" s="2" t="s">
        <v>578</v>
      </c>
      <c r="E975" s="55">
        <v>6566</v>
      </c>
      <c r="F975" s="112"/>
      <c r="G975" s="55">
        <v>6565.11</v>
      </c>
      <c r="H975" s="113"/>
      <c r="I975" s="338">
        <f t="shared" si="16"/>
        <v>99.9864453243984</v>
      </c>
    </row>
    <row r="976" spans="1:9" ht="30" customHeight="1">
      <c r="A976" s="87"/>
      <c r="B976" s="24"/>
      <c r="C976" s="13">
        <v>4700</v>
      </c>
      <c r="D976" s="2" t="s">
        <v>93</v>
      </c>
      <c r="E976" s="55">
        <v>120342</v>
      </c>
      <c r="F976" s="112"/>
      <c r="G976" s="55">
        <v>83260.69</v>
      </c>
      <c r="H976" s="113"/>
      <c r="I976" s="338">
        <f t="shared" si="16"/>
        <v>69.1867261637666</v>
      </c>
    </row>
    <row r="977" spans="1:9" ht="23.25" customHeight="1">
      <c r="A977" s="87"/>
      <c r="B977" s="32">
        <v>80148</v>
      </c>
      <c r="C977" s="32"/>
      <c r="D977" s="33" t="s">
        <v>638</v>
      </c>
      <c r="E977" s="52">
        <f>SUM(E978:E989)</f>
        <v>533737</v>
      </c>
      <c r="F977" s="112"/>
      <c r="G977" s="52">
        <f>SUM(G978:G989)</f>
        <v>523916.51</v>
      </c>
      <c r="H977" s="113"/>
      <c r="I977" s="338">
        <f t="shared" si="16"/>
        <v>98.16005073659873</v>
      </c>
    </row>
    <row r="978" spans="1:9" ht="24.75" customHeight="1">
      <c r="A978" s="87"/>
      <c r="B978" s="24"/>
      <c r="C978" s="27">
        <v>3020</v>
      </c>
      <c r="D978" s="40" t="s">
        <v>721</v>
      </c>
      <c r="E978" s="120">
        <v>2066</v>
      </c>
      <c r="F978" s="112"/>
      <c r="G978" s="120">
        <v>2065.87</v>
      </c>
      <c r="H978" s="113"/>
      <c r="I978" s="338">
        <f t="shared" si="16"/>
        <v>99.99370764762826</v>
      </c>
    </row>
    <row r="979" spans="1:9" ht="17.25" customHeight="1">
      <c r="A979" s="87"/>
      <c r="B979" s="24"/>
      <c r="C979" s="13">
        <v>4010</v>
      </c>
      <c r="D979" s="2" t="s">
        <v>572</v>
      </c>
      <c r="E979" s="55">
        <v>161720</v>
      </c>
      <c r="F979" s="112"/>
      <c r="G979" s="55">
        <v>161711.37</v>
      </c>
      <c r="H979" s="113"/>
      <c r="I979" s="338">
        <f t="shared" si="16"/>
        <v>99.99466361612663</v>
      </c>
    </row>
    <row r="980" spans="1:9" ht="15" customHeight="1">
      <c r="A980" s="87"/>
      <c r="B980" s="24"/>
      <c r="C980" s="13">
        <v>4040</v>
      </c>
      <c r="D980" s="2" t="s">
        <v>575</v>
      </c>
      <c r="E980" s="55">
        <v>8504</v>
      </c>
      <c r="F980" s="112"/>
      <c r="G980" s="55">
        <v>8502.67</v>
      </c>
      <c r="H980" s="113"/>
      <c r="I980" s="338">
        <f t="shared" si="16"/>
        <v>99.9843603010348</v>
      </c>
    </row>
    <row r="981" spans="1:9" ht="15" customHeight="1">
      <c r="A981" s="87"/>
      <c r="B981" s="24"/>
      <c r="C981" s="13">
        <v>4110</v>
      </c>
      <c r="D981" s="2" t="s">
        <v>576</v>
      </c>
      <c r="E981" s="55">
        <v>23375</v>
      </c>
      <c r="F981" s="112"/>
      <c r="G981" s="55">
        <v>23349.29</v>
      </c>
      <c r="H981" s="113"/>
      <c r="I981" s="338">
        <f t="shared" si="16"/>
        <v>99.89001069518717</v>
      </c>
    </row>
    <row r="982" spans="1:9" ht="15" customHeight="1">
      <c r="A982" s="87"/>
      <c r="B982" s="24"/>
      <c r="C982" s="13">
        <v>4120</v>
      </c>
      <c r="D982" s="2" t="s">
        <v>577</v>
      </c>
      <c r="E982" s="55">
        <v>3211</v>
      </c>
      <c r="F982" s="112"/>
      <c r="G982" s="55">
        <v>3205.87</v>
      </c>
      <c r="H982" s="113"/>
      <c r="I982" s="338">
        <f t="shared" si="16"/>
        <v>99.84023668639053</v>
      </c>
    </row>
    <row r="983" spans="1:9" ht="15" customHeight="1">
      <c r="A983" s="87"/>
      <c r="B983" s="24"/>
      <c r="C983" s="13">
        <v>4210</v>
      </c>
      <c r="D983" s="2" t="s">
        <v>533</v>
      </c>
      <c r="E983" s="55">
        <v>22779</v>
      </c>
      <c r="F983" s="112"/>
      <c r="G983" s="55">
        <v>22723.54</v>
      </c>
      <c r="H983" s="113"/>
      <c r="I983" s="338">
        <f t="shared" si="16"/>
        <v>99.75653013740727</v>
      </c>
    </row>
    <row r="984" spans="1:9" ht="15" customHeight="1">
      <c r="A984" s="87"/>
      <c r="B984" s="24"/>
      <c r="C984" s="6">
        <v>4220</v>
      </c>
      <c r="D984" s="2" t="s">
        <v>675</v>
      </c>
      <c r="E984" s="55">
        <v>203000</v>
      </c>
      <c r="F984" s="112"/>
      <c r="G984" s="55">
        <v>196397.71</v>
      </c>
      <c r="H984" s="113"/>
      <c r="I984" s="338">
        <f t="shared" si="16"/>
        <v>96.74764039408866</v>
      </c>
    </row>
    <row r="985" spans="1:9" ht="15" customHeight="1">
      <c r="A985" s="87"/>
      <c r="B985" s="24"/>
      <c r="C985" s="13">
        <v>4260</v>
      </c>
      <c r="D985" s="2" t="s">
        <v>591</v>
      </c>
      <c r="E985" s="55">
        <v>73000</v>
      </c>
      <c r="F985" s="112"/>
      <c r="G985" s="55">
        <v>70283.08</v>
      </c>
      <c r="H985" s="113"/>
      <c r="I985" s="338">
        <f t="shared" si="16"/>
        <v>96.27819178082191</v>
      </c>
    </row>
    <row r="986" spans="1:9" ht="15" customHeight="1">
      <c r="A986" s="87"/>
      <c r="B986" s="24"/>
      <c r="C986" s="13">
        <v>4270</v>
      </c>
      <c r="D986" s="2" t="s">
        <v>534</v>
      </c>
      <c r="E986" s="55">
        <v>10165</v>
      </c>
      <c r="F986" s="112"/>
      <c r="G986" s="55">
        <v>10016.44</v>
      </c>
      <c r="H986" s="113"/>
      <c r="I986" s="338">
        <f t="shared" si="16"/>
        <v>98.53851451057551</v>
      </c>
    </row>
    <row r="987" spans="1:9" ht="15" customHeight="1">
      <c r="A987" s="87"/>
      <c r="B987" s="24"/>
      <c r="C987" s="13">
        <v>4280</v>
      </c>
      <c r="D987" s="2" t="s">
        <v>723</v>
      </c>
      <c r="E987" s="55">
        <v>244</v>
      </c>
      <c r="F987" s="112"/>
      <c r="G987" s="55">
        <v>244</v>
      </c>
      <c r="H987" s="113"/>
      <c r="I987" s="338">
        <f t="shared" si="16"/>
        <v>100</v>
      </c>
    </row>
    <row r="988" spans="1:9" ht="15" customHeight="1">
      <c r="A988" s="87"/>
      <c r="B988" s="24"/>
      <c r="C988" s="13">
        <v>4300</v>
      </c>
      <c r="D988" s="2" t="s">
        <v>530</v>
      </c>
      <c r="E988" s="55">
        <v>17720</v>
      </c>
      <c r="F988" s="112"/>
      <c r="G988" s="55">
        <v>17464.18</v>
      </c>
      <c r="H988" s="113"/>
      <c r="I988" s="338">
        <f t="shared" si="16"/>
        <v>98.55632054176073</v>
      </c>
    </row>
    <row r="989" spans="1:9" ht="25.5" customHeight="1">
      <c r="A989" s="87"/>
      <c r="B989" s="24"/>
      <c r="C989" s="13">
        <v>4440</v>
      </c>
      <c r="D989" s="2" t="s">
        <v>578</v>
      </c>
      <c r="E989" s="55">
        <v>7953</v>
      </c>
      <c r="F989" s="112"/>
      <c r="G989" s="55">
        <v>7952.49</v>
      </c>
      <c r="H989" s="113"/>
      <c r="I989" s="338">
        <f t="shared" si="16"/>
        <v>99.99358732553752</v>
      </c>
    </row>
    <row r="990" spans="1:9" ht="22.5" customHeight="1">
      <c r="A990" s="87"/>
      <c r="B990" s="32">
        <v>80195</v>
      </c>
      <c r="C990" s="32"/>
      <c r="D990" s="33" t="s">
        <v>494</v>
      </c>
      <c r="E990" s="37">
        <f>SUM(E991:E1003)</f>
        <v>937864.34</v>
      </c>
      <c r="F990" s="112"/>
      <c r="G990" s="37">
        <f>SUM(G991:G1003)</f>
        <v>904258.81</v>
      </c>
      <c r="H990" s="113"/>
      <c r="I990" s="338">
        <f t="shared" si="16"/>
        <v>96.41680266892332</v>
      </c>
    </row>
    <row r="991" spans="1:9" ht="18" customHeight="1">
      <c r="A991" s="87"/>
      <c r="B991" s="41"/>
      <c r="C991" s="13">
        <v>4111</v>
      </c>
      <c r="D991" s="2" t="s">
        <v>576</v>
      </c>
      <c r="E991" s="120">
        <v>1838</v>
      </c>
      <c r="F991" s="112"/>
      <c r="G991" s="120">
        <v>1340.04</v>
      </c>
      <c r="H991" s="113"/>
      <c r="I991" s="338">
        <f t="shared" si="16"/>
        <v>72.9075081610446</v>
      </c>
    </row>
    <row r="992" spans="1:9" ht="18.75" customHeight="1">
      <c r="A992" s="87"/>
      <c r="B992" s="41"/>
      <c r="C992" s="13">
        <v>4121</v>
      </c>
      <c r="D992" s="2" t="s">
        <v>577</v>
      </c>
      <c r="E992" s="120">
        <v>294</v>
      </c>
      <c r="F992" s="112"/>
      <c r="G992" s="120">
        <v>151.43</v>
      </c>
      <c r="H992" s="113"/>
      <c r="I992" s="338">
        <f t="shared" si="16"/>
        <v>51.50680272108844</v>
      </c>
    </row>
    <row r="993" spans="1:9" ht="15" customHeight="1">
      <c r="A993" s="87"/>
      <c r="B993" s="41"/>
      <c r="C993" s="27">
        <v>4170</v>
      </c>
      <c r="D993" s="40" t="s">
        <v>583</v>
      </c>
      <c r="E993" s="120">
        <v>3688</v>
      </c>
      <c r="F993" s="112"/>
      <c r="G993" s="120">
        <v>88</v>
      </c>
      <c r="H993" s="113"/>
      <c r="I993" s="338">
        <f t="shared" si="16"/>
        <v>2.386117136659436</v>
      </c>
    </row>
    <row r="994" spans="1:9" ht="16.5" customHeight="1">
      <c r="A994" s="87"/>
      <c r="B994" s="41"/>
      <c r="C994" s="27">
        <v>4171</v>
      </c>
      <c r="D994" s="40" t="s">
        <v>583</v>
      </c>
      <c r="E994" s="120">
        <v>12971</v>
      </c>
      <c r="F994" s="112"/>
      <c r="G994" s="120">
        <v>9080</v>
      </c>
      <c r="H994" s="113"/>
      <c r="I994" s="338">
        <f t="shared" si="16"/>
        <v>70.00231285174621</v>
      </c>
    </row>
    <row r="995" spans="1:9" ht="15" customHeight="1">
      <c r="A995" s="87"/>
      <c r="B995" s="24"/>
      <c r="C995" s="13">
        <v>4210</v>
      </c>
      <c r="D995" s="2" t="s">
        <v>335</v>
      </c>
      <c r="E995" s="55">
        <v>2800</v>
      </c>
      <c r="F995" s="112"/>
      <c r="G995" s="55">
        <v>2798</v>
      </c>
      <c r="H995" s="113"/>
      <c r="I995" s="338">
        <f t="shared" si="16"/>
        <v>99.92857142857143</v>
      </c>
    </row>
    <row r="996" spans="1:9" ht="15" customHeight="1">
      <c r="A996" s="87"/>
      <c r="B996" s="24"/>
      <c r="C996" s="13">
        <v>4211</v>
      </c>
      <c r="D996" s="2" t="s">
        <v>335</v>
      </c>
      <c r="E996" s="55">
        <v>10642.94</v>
      </c>
      <c r="F996" s="112"/>
      <c r="G996" s="55">
        <v>10182.09</v>
      </c>
      <c r="H996" s="113"/>
      <c r="I996" s="338">
        <f t="shared" si="16"/>
        <v>95.66989948266175</v>
      </c>
    </row>
    <row r="997" spans="1:9" ht="24.75" customHeight="1">
      <c r="A997" s="87"/>
      <c r="B997" s="24"/>
      <c r="C997" s="13">
        <v>4241</v>
      </c>
      <c r="D997" s="2" t="s">
        <v>759</v>
      </c>
      <c r="E997" s="55">
        <v>2300</v>
      </c>
      <c r="F997" s="112"/>
      <c r="G997" s="55">
        <v>2090.13</v>
      </c>
      <c r="H997" s="113"/>
      <c r="I997" s="338">
        <f t="shared" si="16"/>
        <v>90.87521739130435</v>
      </c>
    </row>
    <row r="998" spans="1:9" ht="15" customHeight="1">
      <c r="A998" s="87"/>
      <c r="B998" s="24"/>
      <c r="C998" s="13">
        <v>4300</v>
      </c>
      <c r="D998" s="2" t="s">
        <v>530</v>
      </c>
      <c r="E998" s="55">
        <v>26600</v>
      </c>
      <c r="F998" s="112"/>
      <c r="G998" s="55">
        <v>24895.5</v>
      </c>
      <c r="H998" s="113"/>
      <c r="I998" s="338">
        <f t="shared" si="16"/>
        <v>93.5921052631579</v>
      </c>
    </row>
    <row r="999" spans="1:9" ht="15" customHeight="1">
      <c r="A999" s="87"/>
      <c r="B999" s="24"/>
      <c r="C999" s="13">
        <v>4301</v>
      </c>
      <c r="D999" s="2" t="s">
        <v>530</v>
      </c>
      <c r="E999" s="55">
        <v>225715.4</v>
      </c>
      <c r="F999" s="112"/>
      <c r="G999" s="55">
        <v>209108.42</v>
      </c>
      <c r="H999" s="113"/>
      <c r="I999" s="338">
        <f t="shared" si="16"/>
        <v>92.64251353695849</v>
      </c>
    </row>
    <row r="1000" spans="1:9" ht="39.75" customHeight="1">
      <c r="A1000" s="87"/>
      <c r="B1000" s="24"/>
      <c r="C1000" s="13">
        <v>4361</v>
      </c>
      <c r="D1000" s="2" t="s">
        <v>768</v>
      </c>
      <c r="E1000" s="55">
        <v>350</v>
      </c>
      <c r="F1000" s="112"/>
      <c r="G1000" s="55">
        <v>100</v>
      </c>
      <c r="H1000" s="113"/>
      <c r="I1000" s="338">
        <f t="shared" si="16"/>
        <v>28.57142857142857</v>
      </c>
    </row>
    <row r="1001" spans="1:9" ht="15" customHeight="1">
      <c r="A1001" s="87"/>
      <c r="B1001" s="24"/>
      <c r="C1001" s="13">
        <v>4421</v>
      </c>
      <c r="D1001" s="2" t="s">
        <v>588</v>
      </c>
      <c r="E1001" s="55">
        <v>29601</v>
      </c>
      <c r="F1001" s="112"/>
      <c r="G1001" s="55">
        <v>23361.2</v>
      </c>
      <c r="H1001" s="113"/>
      <c r="I1001" s="338">
        <f t="shared" si="16"/>
        <v>78.9203067463937</v>
      </c>
    </row>
    <row r="1002" spans="1:9" ht="27" customHeight="1">
      <c r="A1002" s="87"/>
      <c r="B1002" s="24"/>
      <c r="C1002" s="13">
        <v>4440</v>
      </c>
      <c r="D1002" s="2" t="s">
        <v>578</v>
      </c>
      <c r="E1002" s="55">
        <v>620564</v>
      </c>
      <c r="F1002" s="112"/>
      <c r="G1002" s="55">
        <v>620564</v>
      </c>
      <c r="H1002" s="113"/>
      <c r="I1002" s="338">
        <f t="shared" si="16"/>
        <v>100</v>
      </c>
    </row>
    <row r="1003" spans="1:9" ht="27" customHeight="1">
      <c r="A1003" s="87"/>
      <c r="B1003" s="24"/>
      <c r="C1003" s="22">
        <v>4701</v>
      </c>
      <c r="D1003" s="39" t="s">
        <v>93</v>
      </c>
      <c r="E1003" s="55">
        <v>500</v>
      </c>
      <c r="F1003" s="112"/>
      <c r="G1003" s="55">
        <v>500</v>
      </c>
      <c r="H1003" s="113"/>
      <c r="I1003" s="338">
        <f t="shared" si="16"/>
        <v>100</v>
      </c>
    </row>
    <row r="1004" spans="1:9" ht="25.5" customHeight="1">
      <c r="A1004" s="16">
        <v>851</v>
      </c>
      <c r="B1004" s="16"/>
      <c r="C1004" s="16"/>
      <c r="D1004" s="44" t="s">
        <v>694</v>
      </c>
      <c r="E1004" s="45">
        <f>E1005</f>
        <v>1545.8</v>
      </c>
      <c r="F1004" s="45">
        <f>F1005</f>
        <v>1545</v>
      </c>
      <c r="G1004" s="45">
        <f>G1005</f>
        <v>1545.2</v>
      </c>
      <c r="H1004" s="45">
        <f>H1005</f>
        <v>1544.4</v>
      </c>
      <c r="I1004" s="339">
        <f t="shared" si="16"/>
        <v>99.96118514684953</v>
      </c>
    </row>
    <row r="1005" spans="1:9" ht="41.25" customHeight="1">
      <c r="A1005" s="12"/>
      <c r="B1005" s="31">
        <v>85156</v>
      </c>
      <c r="C1005" s="6"/>
      <c r="D1005" s="33" t="s">
        <v>314</v>
      </c>
      <c r="E1005" s="37">
        <f>E1006+E1007</f>
        <v>1545.8</v>
      </c>
      <c r="F1005" s="37">
        <f>F1006+F1007</f>
        <v>1545</v>
      </c>
      <c r="G1005" s="37">
        <f>G1006+G1007</f>
        <v>1545.2</v>
      </c>
      <c r="H1005" s="37">
        <f>H1006+H1007</f>
        <v>1544.4</v>
      </c>
      <c r="I1005" s="338">
        <f t="shared" si="16"/>
        <v>99.96118514684953</v>
      </c>
    </row>
    <row r="1006" spans="1:9" ht="75" customHeight="1">
      <c r="A1006" s="12"/>
      <c r="B1006" s="15"/>
      <c r="C1006" s="6">
        <v>2910</v>
      </c>
      <c r="D1006" s="40" t="s">
        <v>440</v>
      </c>
      <c r="E1006" s="232">
        <v>0.8</v>
      </c>
      <c r="F1006" s="231"/>
      <c r="G1006" s="232">
        <v>0.8</v>
      </c>
      <c r="H1006" s="231"/>
      <c r="I1006" s="338">
        <f t="shared" si="16"/>
        <v>100</v>
      </c>
    </row>
    <row r="1007" spans="1:9" ht="20.25" customHeight="1">
      <c r="A1007" s="5"/>
      <c r="B1007" s="15"/>
      <c r="C1007" s="6">
        <v>4130</v>
      </c>
      <c r="D1007" s="2" t="s">
        <v>729</v>
      </c>
      <c r="E1007" s="232">
        <v>1545</v>
      </c>
      <c r="F1007" s="115">
        <v>1545</v>
      </c>
      <c r="G1007" s="232">
        <v>1544.4</v>
      </c>
      <c r="H1007" s="230">
        <v>1544.4</v>
      </c>
      <c r="I1007" s="338">
        <f t="shared" si="16"/>
        <v>99.9611650485437</v>
      </c>
    </row>
    <row r="1008" spans="1:9" ht="22.5" customHeight="1">
      <c r="A1008" s="78">
        <v>852</v>
      </c>
      <c r="B1008" s="77"/>
      <c r="C1008" s="16"/>
      <c r="D1008" s="44" t="s">
        <v>322</v>
      </c>
      <c r="E1008" s="45">
        <f>E1009+E1034+E1059+E1067+E1073+E1075+E1077</f>
        <v>11815556</v>
      </c>
      <c r="F1008" s="45">
        <f>F1009+F1034+F1059+F1067+F1073+F1075+F1077</f>
        <v>0</v>
      </c>
      <c r="G1008" s="45">
        <f>G1009+G1034+G1059+G1067+G1073+G1075+G1077</f>
        <v>11619441.41</v>
      </c>
      <c r="H1008" s="45">
        <f>H1009+H1034+H1059+H1067+H1073+H1075+H1077</f>
        <v>0</v>
      </c>
      <c r="I1008" s="339">
        <f t="shared" si="16"/>
        <v>98.3402000718375</v>
      </c>
    </row>
    <row r="1009" spans="1:9" ht="24" customHeight="1">
      <c r="A1009" s="78"/>
      <c r="B1009" s="31">
        <v>85201</v>
      </c>
      <c r="C1009" s="32"/>
      <c r="D1009" s="33" t="s">
        <v>323</v>
      </c>
      <c r="E1009" s="53">
        <f>SUM(E1010:E1033)</f>
        <v>2252850</v>
      </c>
      <c r="F1009" s="130"/>
      <c r="G1009" s="53">
        <f>SUM(G1010:G1033)</f>
        <v>2174349.4600000004</v>
      </c>
      <c r="H1009" s="269"/>
      <c r="I1009" s="338">
        <f t="shared" si="16"/>
        <v>96.51550081008502</v>
      </c>
    </row>
    <row r="1010" spans="1:9" ht="54" customHeight="1">
      <c r="A1010" s="87"/>
      <c r="B1010" s="24"/>
      <c r="C1010" s="13">
        <v>2320</v>
      </c>
      <c r="D1010" s="2" t="s">
        <v>544</v>
      </c>
      <c r="E1010" s="120">
        <v>600000</v>
      </c>
      <c r="F1010" s="112"/>
      <c r="G1010" s="120">
        <v>552405.71</v>
      </c>
      <c r="H1010" s="113"/>
      <c r="I1010" s="338">
        <f t="shared" si="16"/>
        <v>92.06761833333333</v>
      </c>
    </row>
    <row r="1011" spans="1:9" ht="75.75" customHeight="1">
      <c r="A1011" s="87"/>
      <c r="B1011" s="24"/>
      <c r="C1011" s="6">
        <v>2360</v>
      </c>
      <c r="D1011" s="2" t="s">
        <v>428</v>
      </c>
      <c r="E1011" s="120">
        <v>165000</v>
      </c>
      <c r="F1011" s="112"/>
      <c r="G1011" s="120">
        <v>165000</v>
      </c>
      <c r="H1011" s="113"/>
      <c r="I1011" s="338">
        <f t="shared" si="16"/>
        <v>100</v>
      </c>
    </row>
    <row r="1012" spans="1:9" ht="39.75" customHeight="1">
      <c r="A1012" s="87"/>
      <c r="B1012" s="24"/>
      <c r="C1012" s="6">
        <v>2820</v>
      </c>
      <c r="D1012" s="2" t="s">
        <v>735</v>
      </c>
      <c r="E1012" s="55">
        <v>195000</v>
      </c>
      <c r="F1012" s="112"/>
      <c r="G1012" s="55">
        <v>195000</v>
      </c>
      <c r="H1012" s="113"/>
      <c r="I1012" s="338">
        <f t="shared" si="16"/>
        <v>100</v>
      </c>
    </row>
    <row r="1013" spans="1:9" ht="27" customHeight="1">
      <c r="A1013" s="87"/>
      <c r="B1013" s="24"/>
      <c r="C1013" s="13">
        <v>3020</v>
      </c>
      <c r="D1013" s="2" t="s">
        <v>721</v>
      </c>
      <c r="E1013" s="55">
        <v>700</v>
      </c>
      <c r="F1013" s="112"/>
      <c r="G1013" s="55">
        <v>699.12</v>
      </c>
      <c r="H1013" s="113"/>
      <c r="I1013" s="338">
        <f t="shared" si="16"/>
        <v>99.87428571428572</v>
      </c>
    </row>
    <row r="1014" spans="1:9" ht="15" customHeight="1">
      <c r="A1014" s="87"/>
      <c r="B1014" s="41"/>
      <c r="C1014" s="6">
        <v>3110</v>
      </c>
      <c r="D1014" s="2" t="s">
        <v>737</v>
      </c>
      <c r="E1014" s="55">
        <v>6900</v>
      </c>
      <c r="F1014" s="112"/>
      <c r="G1014" s="55">
        <v>6900</v>
      </c>
      <c r="H1014" s="113"/>
      <c r="I1014" s="338">
        <f t="shared" si="16"/>
        <v>100</v>
      </c>
    </row>
    <row r="1015" spans="1:9" ht="20.25" customHeight="1">
      <c r="A1015" s="87"/>
      <c r="B1015" s="24"/>
      <c r="C1015" s="6">
        <v>4010</v>
      </c>
      <c r="D1015" s="2" t="s">
        <v>572</v>
      </c>
      <c r="E1015" s="55">
        <v>800000</v>
      </c>
      <c r="F1015" s="112"/>
      <c r="G1015" s="55">
        <v>786338.41</v>
      </c>
      <c r="H1015" s="113"/>
      <c r="I1015" s="338">
        <f t="shared" si="16"/>
        <v>98.29230125000001</v>
      </c>
    </row>
    <row r="1016" spans="1:9" ht="15" customHeight="1">
      <c r="A1016" s="87"/>
      <c r="B1016" s="24"/>
      <c r="C1016" s="6">
        <v>4040</v>
      </c>
      <c r="D1016" s="2" t="s">
        <v>575</v>
      </c>
      <c r="E1016" s="55">
        <v>58900</v>
      </c>
      <c r="F1016" s="112"/>
      <c r="G1016" s="55">
        <v>58888.41</v>
      </c>
      <c r="H1016" s="113"/>
      <c r="I1016" s="338">
        <f t="shared" si="16"/>
        <v>99.98032258064516</v>
      </c>
    </row>
    <row r="1017" spans="1:9" ht="15" customHeight="1">
      <c r="A1017" s="87"/>
      <c r="B1017" s="24"/>
      <c r="C1017" s="6">
        <v>4110</v>
      </c>
      <c r="D1017" s="2" t="s">
        <v>576</v>
      </c>
      <c r="E1017" s="55">
        <v>144000</v>
      </c>
      <c r="F1017" s="112"/>
      <c r="G1017" s="55">
        <v>140440.84</v>
      </c>
      <c r="H1017" s="113"/>
      <c r="I1017" s="338">
        <f t="shared" si="16"/>
        <v>97.52836111111111</v>
      </c>
    </row>
    <row r="1018" spans="1:9" ht="15" customHeight="1">
      <c r="A1018" s="87"/>
      <c r="B1018" s="24"/>
      <c r="C1018" s="6">
        <v>4120</v>
      </c>
      <c r="D1018" s="2" t="s">
        <v>577</v>
      </c>
      <c r="E1018" s="55">
        <v>15200</v>
      </c>
      <c r="F1018" s="112"/>
      <c r="G1018" s="55">
        <v>15027.03</v>
      </c>
      <c r="H1018" s="113"/>
      <c r="I1018" s="338">
        <f t="shared" si="16"/>
        <v>98.86203947368422</v>
      </c>
    </row>
    <row r="1019" spans="1:9" ht="15" customHeight="1">
      <c r="A1019" s="87"/>
      <c r="B1019" s="24"/>
      <c r="C1019" s="6">
        <v>4170</v>
      </c>
      <c r="D1019" s="2" t="s">
        <v>583</v>
      </c>
      <c r="E1019" s="55">
        <v>2400</v>
      </c>
      <c r="F1019" s="112"/>
      <c r="G1019" s="55">
        <v>2400</v>
      </c>
      <c r="H1019" s="113"/>
      <c r="I1019" s="338">
        <f aca="true" t="shared" si="17" ref="I1019:I1077">G1019/E1019*100</f>
        <v>100</v>
      </c>
    </row>
    <row r="1020" spans="1:9" ht="15" customHeight="1">
      <c r="A1020" s="87"/>
      <c r="B1020" s="24"/>
      <c r="C1020" s="6">
        <v>4210</v>
      </c>
      <c r="D1020" s="2" t="s">
        <v>533</v>
      </c>
      <c r="E1020" s="55">
        <v>26200</v>
      </c>
      <c r="F1020" s="112"/>
      <c r="G1020" s="55">
        <v>22761.85</v>
      </c>
      <c r="H1020" s="113"/>
      <c r="I1020" s="338">
        <f t="shared" si="17"/>
        <v>86.87729007633587</v>
      </c>
    </row>
    <row r="1021" spans="1:9" ht="15" customHeight="1">
      <c r="A1021" s="87"/>
      <c r="B1021" s="24"/>
      <c r="C1021" s="6">
        <v>4220</v>
      </c>
      <c r="D1021" s="2" t="s">
        <v>675</v>
      </c>
      <c r="E1021" s="55">
        <v>5100</v>
      </c>
      <c r="F1021" s="112"/>
      <c r="G1021" s="55">
        <v>5096.57</v>
      </c>
      <c r="H1021" s="113"/>
      <c r="I1021" s="338">
        <f t="shared" si="17"/>
        <v>99.9327450980392</v>
      </c>
    </row>
    <row r="1022" spans="1:9" ht="27.75" customHeight="1">
      <c r="A1022" s="87"/>
      <c r="B1022" s="24"/>
      <c r="C1022" s="6">
        <v>4240</v>
      </c>
      <c r="D1022" s="2" t="s">
        <v>759</v>
      </c>
      <c r="E1022" s="55">
        <v>5600</v>
      </c>
      <c r="F1022" s="112"/>
      <c r="G1022" s="55">
        <v>5591.74</v>
      </c>
      <c r="H1022" s="113"/>
      <c r="I1022" s="338">
        <f t="shared" si="17"/>
        <v>99.8525</v>
      </c>
    </row>
    <row r="1023" spans="1:9" ht="15" customHeight="1">
      <c r="A1023" s="87"/>
      <c r="B1023" s="24"/>
      <c r="C1023" s="6">
        <v>4260</v>
      </c>
      <c r="D1023" s="2" t="s">
        <v>591</v>
      </c>
      <c r="E1023" s="55">
        <v>34000</v>
      </c>
      <c r="F1023" s="112"/>
      <c r="G1023" s="55">
        <v>33237.39</v>
      </c>
      <c r="H1023" s="113"/>
      <c r="I1023" s="338">
        <f t="shared" si="17"/>
        <v>97.7570294117647</v>
      </c>
    </row>
    <row r="1024" spans="1:9" ht="15" customHeight="1">
      <c r="A1024" s="87"/>
      <c r="B1024" s="24"/>
      <c r="C1024" s="6">
        <v>4270</v>
      </c>
      <c r="D1024" s="2" t="s">
        <v>534</v>
      </c>
      <c r="E1024" s="55">
        <v>42500</v>
      </c>
      <c r="F1024" s="112"/>
      <c r="G1024" s="55">
        <v>42479.62</v>
      </c>
      <c r="H1024" s="113"/>
      <c r="I1024" s="338">
        <f t="shared" si="17"/>
        <v>99.95204705882354</v>
      </c>
    </row>
    <row r="1025" spans="1:9" ht="15" customHeight="1">
      <c r="A1025" s="87"/>
      <c r="B1025" s="24"/>
      <c r="C1025" s="6">
        <v>4280</v>
      </c>
      <c r="D1025" s="2" t="s">
        <v>723</v>
      </c>
      <c r="E1025" s="55">
        <v>580</v>
      </c>
      <c r="F1025" s="112"/>
      <c r="G1025" s="55">
        <v>565</v>
      </c>
      <c r="H1025" s="113"/>
      <c r="I1025" s="338">
        <f t="shared" si="17"/>
        <v>97.41379310344827</v>
      </c>
    </row>
    <row r="1026" spans="1:9" ht="15" customHeight="1">
      <c r="A1026" s="87"/>
      <c r="B1026" s="24"/>
      <c r="C1026" s="6">
        <v>4300</v>
      </c>
      <c r="D1026" s="2" t="s">
        <v>530</v>
      </c>
      <c r="E1026" s="55">
        <v>92250</v>
      </c>
      <c r="F1026" s="112"/>
      <c r="G1026" s="55">
        <v>87300.65</v>
      </c>
      <c r="H1026" s="113"/>
      <c r="I1026" s="338">
        <f t="shared" si="17"/>
        <v>94.63485094850948</v>
      </c>
    </row>
    <row r="1027" spans="1:9" ht="15" customHeight="1">
      <c r="A1027" s="87"/>
      <c r="B1027" s="24"/>
      <c r="C1027" s="27">
        <v>4350</v>
      </c>
      <c r="D1027" s="2" t="s">
        <v>586</v>
      </c>
      <c r="E1027" s="55">
        <v>800</v>
      </c>
      <c r="F1027" s="112"/>
      <c r="G1027" s="55">
        <v>774.36</v>
      </c>
      <c r="H1027" s="113"/>
      <c r="I1027" s="338">
        <f t="shared" si="17"/>
        <v>96.795</v>
      </c>
    </row>
    <row r="1028" spans="1:9" ht="40.5" customHeight="1">
      <c r="A1028" s="87"/>
      <c r="B1028" s="24"/>
      <c r="C1028" s="27">
        <v>4370</v>
      </c>
      <c r="D1028" s="2" t="s">
        <v>767</v>
      </c>
      <c r="E1028" s="55">
        <v>6000</v>
      </c>
      <c r="F1028" s="112"/>
      <c r="G1028" s="55">
        <v>5286.44</v>
      </c>
      <c r="H1028" s="113"/>
      <c r="I1028" s="338">
        <f t="shared" si="17"/>
        <v>88.10733333333333</v>
      </c>
    </row>
    <row r="1029" spans="1:9" ht="15" customHeight="1">
      <c r="A1029" s="87"/>
      <c r="B1029" s="24"/>
      <c r="C1029" s="6">
        <v>4410</v>
      </c>
      <c r="D1029" s="2" t="s">
        <v>580</v>
      </c>
      <c r="E1029" s="55">
        <v>14000</v>
      </c>
      <c r="F1029" s="112"/>
      <c r="G1029" s="55">
        <v>11212.1</v>
      </c>
      <c r="H1029" s="113"/>
      <c r="I1029" s="338">
        <f t="shared" si="17"/>
        <v>80.08642857142857</v>
      </c>
    </row>
    <row r="1030" spans="1:9" ht="15" customHeight="1">
      <c r="A1030" s="87"/>
      <c r="B1030" s="24"/>
      <c r="C1030" s="6">
        <v>4430</v>
      </c>
      <c r="D1030" s="2" t="s">
        <v>288</v>
      </c>
      <c r="E1030" s="55">
        <v>2300</v>
      </c>
      <c r="F1030" s="112"/>
      <c r="G1030" s="55">
        <v>2010.22</v>
      </c>
      <c r="H1030" s="113"/>
      <c r="I1030" s="338">
        <f t="shared" si="17"/>
        <v>87.40086956521739</v>
      </c>
    </row>
    <row r="1031" spans="1:9" ht="27.75" customHeight="1">
      <c r="A1031" s="87"/>
      <c r="B1031" s="24"/>
      <c r="C1031" s="6">
        <v>4440</v>
      </c>
      <c r="D1031" s="2" t="s">
        <v>578</v>
      </c>
      <c r="E1031" s="55">
        <v>29900</v>
      </c>
      <c r="F1031" s="112"/>
      <c r="G1031" s="55">
        <v>29900</v>
      </c>
      <c r="H1031" s="113"/>
      <c r="I1031" s="338">
        <f t="shared" si="17"/>
        <v>100</v>
      </c>
    </row>
    <row r="1032" spans="1:9" ht="20.25" customHeight="1">
      <c r="A1032" s="87"/>
      <c r="B1032" s="24"/>
      <c r="C1032" s="13">
        <v>4480</v>
      </c>
      <c r="D1032" s="2" t="s">
        <v>306</v>
      </c>
      <c r="E1032" s="55">
        <v>2920</v>
      </c>
      <c r="F1032" s="112"/>
      <c r="G1032" s="55">
        <v>2915</v>
      </c>
      <c r="H1032" s="113"/>
      <c r="I1032" s="338">
        <f t="shared" si="17"/>
        <v>99.82876712328768</v>
      </c>
    </row>
    <row r="1033" spans="1:9" ht="27.75" customHeight="1">
      <c r="A1033" s="87"/>
      <c r="B1033" s="24"/>
      <c r="C1033" s="13">
        <v>4700</v>
      </c>
      <c r="D1033" s="2" t="s">
        <v>93</v>
      </c>
      <c r="E1033" s="55">
        <v>2600</v>
      </c>
      <c r="F1033" s="112"/>
      <c r="G1033" s="55">
        <v>2119</v>
      </c>
      <c r="H1033" s="113"/>
      <c r="I1033" s="338">
        <f t="shared" si="17"/>
        <v>81.5</v>
      </c>
    </row>
    <row r="1034" spans="1:9" ht="21.75" customHeight="1">
      <c r="A1034" s="87"/>
      <c r="B1034" s="36">
        <v>85202</v>
      </c>
      <c r="C1034" s="32"/>
      <c r="D1034" s="33" t="s">
        <v>336</v>
      </c>
      <c r="E1034" s="52">
        <f>SUM(E1035:E1058)</f>
        <v>7370502.000000001</v>
      </c>
      <c r="F1034" s="112"/>
      <c r="G1034" s="52">
        <f>SUM(G1035:G1058)</f>
        <v>7364009.45</v>
      </c>
      <c r="H1034" s="113"/>
      <c r="I1034" s="338">
        <f t="shared" si="17"/>
        <v>99.91191169882322</v>
      </c>
    </row>
    <row r="1035" spans="1:9" ht="24.75" customHeight="1">
      <c r="A1035" s="87"/>
      <c r="B1035" s="36"/>
      <c r="C1035" s="13">
        <v>3020</v>
      </c>
      <c r="D1035" s="2" t="s">
        <v>721</v>
      </c>
      <c r="E1035" s="120">
        <v>3089.94</v>
      </c>
      <c r="F1035" s="112"/>
      <c r="G1035" s="120">
        <v>3066.05</v>
      </c>
      <c r="H1035" s="113"/>
      <c r="I1035" s="338">
        <f t="shared" si="17"/>
        <v>99.2268458287216</v>
      </c>
    </row>
    <row r="1036" spans="1:9" ht="20.25" customHeight="1">
      <c r="A1036" s="87"/>
      <c r="B1036" s="24"/>
      <c r="C1036" s="13">
        <v>4010</v>
      </c>
      <c r="D1036" s="2" t="s">
        <v>572</v>
      </c>
      <c r="E1036" s="55">
        <v>2951055</v>
      </c>
      <c r="F1036" s="112"/>
      <c r="G1036" s="55">
        <v>2950837.53</v>
      </c>
      <c r="H1036" s="113"/>
      <c r="I1036" s="338">
        <f t="shared" si="17"/>
        <v>99.99263077102934</v>
      </c>
    </row>
    <row r="1037" spans="1:9" ht="15" customHeight="1">
      <c r="A1037" s="87"/>
      <c r="B1037" s="24"/>
      <c r="C1037" s="13">
        <v>4040</v>
      </c>
      <c r="D1037" s="2" t="s">
        <v>575</v>
      </c>
      <c r="E1037" s="55">
        <v>221235.63</v>
      </c>
      <c r="F1037" s="112"/>
      <c r="G1037" s="55">
        <v>221235.63</v>
      </c>
      <c r="H1037" s="113"/>
      <c r="I1037" s="338">
        <f t="shared" si="17"/>
        <v>100</v>
      </c>
    </row>
    <row r="1038" spans="1:9" ht="15" customHeight="1">
      <c r="A1038" s="87"/>
      <c r="B1038" s="24"/>
      <c r="C1038" s="13">
        <v>4110</v>
      </c>
      <c r="D1038" s="2" t="s">
        <v>576</v>
      </c>
      <c r="E1038" s="55">
        <v>528716</v>
      </c>
      <c r="F1038" s="112"/>
      <c r="G1038" s="55">
        <v>528458.15</v>
      </c>
      <c r="H1038" s="113"/>
      <c r="I1038" s="338">
        <f t="shared" si="17"/>
        <v>99.95123090657366</v>
      </c>
    </row>
    <row r="1039" spans="1:9" ht="15" customHeight="1">
      <c r="A1039" s="87"/>
      <c r="B1039" s="24"/>
      <c r="C1039" s="13">
        <v>4120</v>
      </c>
      <c r="D1039" s="2" t="s">
        <v>577</v>
      </c>
      <c r="E1039" s="55">
        <v>55628</v>
      </c>
      <c r="F1039" s="112"/>
      <c r="G1039" s="55">
        <v>55620.32</v>
      </c>
      <c r="H1039" s="113"/>
      <c r="I1039" s="338">
        <f t="shared" si="17"/>
        <v>99.98619400302006</v>
      </c>
    </row>
    <row r="1040" spans="1:9" ht="15" customHeight="1">
      <c r="A1040" s="87"/>
      <c r="B1040" s="24"/>
      <c r="C1040" s="6">
        <v>4170</v>
      </c>
      <c r="D1040" s="2" t="s">
        <v>583</v>
      </c>
      <c r="E1040" s="55">
        <v>240</v>
      </c>
      <c r="F1040" s="112"/>
      <c r="G1040" s="55">
        <v>240</v>
      </c>
      <c r="H1040" s="113"/>
      <c r="I1040" s="338">
        <f t="shared" si="17"/>
        <v>100</v>
      </c>
    </row>
    <row r="1041" spans="1:9" ht="15" customHeight="1">
      <c r="A1041" s="87"/>
      <c r="B1041" s="24"/>
      <c r="C1041" s="13">
        <v>4210</v>
      </c>
      <c r="D1041" s="2" t="s">
        <v>533</v>
      </c>
      <c r="E1041" s="55">
        <v>176124</v>
      </c>
      <c r="F1041" s="112"/>
      <c r="G1041" s="55">
        <v>176115.91</v>
      </c>
      <c r="H1041" s="113"/>
      <c r="I1041" s="338">
        <f t="shared" si="17"/>
        <v>99.99540664531807</v>
      </c>
    </row>
    <row r="1042" spans="1:9" ht="15" customHeight="1">
      <c r="A1042" s="87"/>
      <c r="B1042" s="24"/>
      <c r="C1042" s="13">
        <v>4220</v>
      </c>
      <c r="D1042" s="2" t="s">
        <v>675</v>
      </c>
      <c r="E1042" s="55">
        <v>438372</v>
      </c>
      <c r="F1042" s="112"/>
      <c r="G1042" s="55">
        <v>438372</v>
      </c>
      <c r="H1042" s="113"/>
      <c r="I1042" s="338">
        <f t="shared" si="17"/>
        <v>100</v>
      </c>
    </row>
    <row r="1043" spans="1:9" ht="25.5" customHeight="1">
      <c r="A1043" s="87"/>
      <c r="B1043" s="24"/>
      <c r="C1043" s="13">
        <v>4230</v>
      </c>
      <c r="D1043" s="2" t="s">
        <v>726</v>
      </c>
      <c r="E1043" s="55">
        <v>40836.53</v>
      </c>
      <c r="F1043" s="112"/>
      <c r="G1043" s="55">
        <v>40833.32</v>
      </c>
      <c r="H1043" s="113"/>
      <c r="I1043" s="338">
        <f t="shared" si="17"/>
        <v>99.99213939088361</v>
      </c>
    </row>
    <row r="1044" spans="1:9" ht="15" customHeight="1">
      <c r="A1044" s="87"/>
      <c r="B1044" s="24"/>
      <c r="C1044" s="13">
        <v>4260</v>
      </c>
      <c r="D1044" s="2" t="s">
        <v>591</v>
      </c>
      <c r="E1044" s="55">
        <v>322438</v>
      </c>
      <c r="F1044" s="112"/>
      <c r="G1044" s="55">
        <v>322438</v>
      </c>
      <c r="H1044" s="113"/>
      <c r="I1044" s="338">
        <f t="shared" si="17"/>
        <v>100</v>
      </c>
    </row>
    <row r="1045" spans="1:9" ht="15" customHeight="1">
      <c r="A1045" s="87"/>
      <c r="B1045" s="24"/>
      <c r="C1045" s="13">
        <v>4270</v>
      </c>
      <c r="D1045" s="2" t="s">
        <v>534</v>
      </c>
      <c r="E1045" s="55">
        <v>72040</v>
      </c>
      <c r="F1045" s="112"/>
      <c r="G1045" s="55">
        <v>72039.27</v>
      </c>
      <c r="H1045" s="113"/>
      <c r="I1045" s="338">
        <f t="shared" si="17"/>
        <v>99.99898667406997</v>
      </c>
    </row>
    <row r="1046" spans="1:9" ht="15" customHeight="1">
      <c r="A1046" s="87"/>
      <c r="B1046" s="24"/>
      <c r="C1046" s="13">
        <v>4280</v>
      </c>
      <c r="D1046" s="2" t="s">
        <v>723</v>
      </c>
      <c r="E1046" s="55">
        <v>44346</v>
      </c>
      <c r="F1046" s="112"/>
      <c r="G1046" s="55">
        <v>44008</v>
      </c>
      <c r="H1046" s="113"/>
      <c r="I1046" s="338">
        <f t="shared" si="17"/>
        <v>99.23781175303297</v>
      </c>
    </row>
    <row r="1047" spans="1:9" ht="16.5" customHeight="1">
      <c r="A1047" s="87"/>
      <c r="B1047" s="24"/>
      <c r="C1047" s="13">
        <v>4300</v>
      </c>
      <c r="D1047" s="2" t="s">
        <v>530</v>
      </c>
      <c r="E1047" s="55">
        <v>1331400</v>
      </c>
      <c r="F1047" s="112"/>
      <c r="G1047" s="55">
        <v>1328564.74</v>
      </c>
      <c r="H1047" s="113"/>
      <c r="I1047" s="338">
        <f t="shared" si="17"/>
        <v>99.78704671774072</v>
      </c>
    </row>
    <row r="1048" spans="1:9" ht="38.25" customHeight="1">
      <c r="A1048" s="87"/>
      <c r="B1048" s="24"/>
      <c r="C1048" s="13">
        <v>4330</v>
      </c>
      <c r="D1048" s="2" t="s">
        <v>691</v>
      </c>
      <c r="E1048" s="55">
        <v>1049700</v>
      </c>
      <c r="F1048" s="112"/>
      <c r="G1048" s="55">
        <v>1046899.63</v>
      </c>
      <c r="H1048" s="113"/>
      <c r="I1048" s="338">
        <f t="shared" si="17"/>
        <v>99.73322187291606</v>
      </c>
    </row>
    <row r="1049" spans="1:13" ht="17.25" customHeight="1">
      <c r="A1049" s="87"/>
      <c r="B1049" s="24"/>
      <c r="C1049" s="27">
        <v>4350</v>
      </c>
      <c r="D1049" s="2" t="s">
        <v>586</v>
      </c>
      <c r="E1049" s="55">
        <v>2282.16</v>
      </c>
      <c r="F1049" s="112"/>
      <c r="G1049" s="55">
        <v>2282.16</v>
      </c>
      <c r="H1049" s="113"/>
      <c r="I1049" s="338">
        <f t="shared" si="17"/>
        <v>100</v>
      </c>
      <c r="K1049" s="449"/>
      <c r="L1049" s="449"/>
      <c r="M1049" s="449"/>
    </row>
    <row r="1050" spans="1:9" ht="40.5" customHeight="1">
      <c r="A1050" s="87"/>
      <c r="B1050" s="24"/>
      <c r="C1050" s="27">
        <v>4360</v>
      </c>
      <c r="D1050" s="2" t="s">
        <v>768</v>
      </c>
      <c r="E1050" s="55">
        <v>3258.22</v>
      </c>
      <c r="F1050" s="112"/>
      <c r="G1050" s="55">
        <v>3258.22</v>
      </c>
      <c r="H1050" s="113"/>
      <c r="I1050" s="338">
        <f t="shared" si="17"/>
        <v>100</v>
      </c>
    </row>
    <row r="1051" spans="1:9" ht="40.5" customHeight="1">
      <c r="A1051" s="87"/>
      <c r="B1051" s="24"/>
      <c r="C1051" s="27">
        <v>4370</v>
      </c>
      <c r="D1051" s="2" t="s">
        <v>767</v>
      </c>
      <c r="E1051" s="55">
        <v>7488.65</v>
      </c>
      <c r="F1051" s="112"/>
      <c r="G1051" s="55">
        <v>7488.65</v>
      </c>
      <c r="H1051" s="113"/>
      <c r="I1051" s="338">
        <f t="shared" si="17"/>
        <v>100</v>
      </c>
    </row>
    <row r="1052" spans="1:9" ht="15" customHeight="1">
      <c r="A1052" s="87"/>
      <c r="B1052" s="24"/>
      <c r="C1052" s="13">
        <v>4410</v>
      </c>
      <c r="D1052" s="2" t="s">
        <v>580</v>
      </c>
      <c r="E1052" s="55">
        <v>437.4</v>
      </c>
      <c r="F1052" s="112"/>
      <c r="G1052" s="55">
        <v>437.4</v>
      </c>
      <c r="H1052" s="113"/>
      <c r="I1052" s="338">
        <f t="shared" si="17"/>
        <v>100</v>
      </c>
    </row>
    <row r="1053" spans="1:9" ht="15" customHeight="1">
      <c r="A1053" s="87"/>
      <c r="B1053" s="24"/>
      <c r="C1053" s="13">
        <v>4430</v>
      </c>
      <c r="D1053" s="2" t="s">
        <v>692</v>
      </c>
      <c r="E1053" s="55">
        <v>8799</v>
      </c>
      <c r="F1053" s="112"/>
      <c r="G1053" s="55">
        <v>8799</v>
      </c>
      <c r="H1053" s="113"/>
      <c r="I1053" s="338">
        <f t="shared" si="17"/>
        <v>100</v>
      </c>
    </row>
    <row r="1054" spans="1:9" ht="26.25" customHeight="1">
      <c r="A1054" s="87"/>
      <c r="B1054" s="24"/>
      <c r="C1054" s="13">
        <v>4440</v>
      </c>
      <c r="D1054" s="2" t="s">
        <v>578</v>
      </c>
      <c r="E1054" s="55">
        <v>101800</v>
      </c>
      <c r="F1054" s="112"/>
      <c r="G1054" s="55">
        <v>101800</v>
      </c>
      <c r="H1054" s="113"/>
      <c r="I1054" s="338">
        <f t="shared" si="17"/>
        <v>100</v>
      </c>
    </row>
    <row r="1055" spans="1:9" ht="17.25" customHeight="1">
      <c r="A1055" s="87"/>
      <c r="B1055" s="24"/>
      <c r="C1055" s="13">
        <v>4480</v>
      </c>
      <c r="D1055" s="2" t="s">
        <v>306</v>
      </c>
      <c r="E1055" s="55">
        <v>4504</v>
      </c>
      <c r="F1055" s="112"/>
      <c r="G1055" s="55">
        <v>4504</v>
      </c>
      <c r="H1055" s="113"/>
      <c r="I1055" s="338">
        <f t="shared" si="17"/>
        <v>100</v>
      </c>
    </row>
    <row r="1056" spans="1:9" ht="24.75" customHeight="1">
      <c r="A1056" s="87"/>
      <c r="B1056" s="24"/>
      <c r="C1056" s="13">
        <v>4500</v>
      </c>
      <c r="D1056" s="2" t="s">
        <v>311</v>
      </c>
      <c r="E1056" s="55">
        <v>45</v>
      </c>
      <c r="F1056" s="112"/>
      <c r="G1056" s="55">
        <v>45</v>
      </c>
      <c r="H1056" s="113"/>
      <c r="I1056" s="338">
        <f t="shared" si="17"/>
        <v>100</v>
      </c>
    </row>
    <row r="1057" spans="1:9" ht="25.5" customHeight="1">
      <c r="A1057" s="87"/>
      <c r="B1057" s="24"/>
      <c r="C1057" s="13">
        <v>4520</v>
      </c>
      <c r="D1057" s="2" t="s">
        <v>92</v>
      </c>
      <c r="E1057" s="55">
        <v>9.47</v>
      </c>
      <c r="F1057" s="112"/>
      <c r="G1057" s="55">
        <v>9.47</v>
      </c>
      <c r="H1057" s="113"/>
      <c r="I1057" s="338">
        <f t="shared" si="17"/>
        <v>100</v>
      </c>
    </row>
    <row r="1058" spans="1:9" ht="30" customHeight="1">
      <c r="A1058" s="87"/>
      <c r="B1058" s="24"/>
      <c r="C1058" s="13">
        <v>4700</v>
      </c>
      <c r="D1058" s="2" t="s">
        <v>93</v>
      </c>
      <c r="E1058" s="55">
        <v>6657</v>
      </c>
      <c r="F1058" s="112"/>
      <c r="G1058" s="55">
        <v>6657</v>
      </c>
      <c r="H1058" s="113"/>
      <c r="I1058" s="338">
        <f t="shared" si="17"/>
        <v>100</v>
      </c>
    </row>
    <row r="1059" spans="1:9" ht="27" customHeight="1">
      <c r="A1059" s="87"/>
      <c r="B1059" s="36">
        <v>85204</v>
      </c>
      <c r="C1059" s="31"/>
      <c r="D1059" s="33" t="s">
        <v>315</v>
      </c>
      <c r="E1059" s="52">
        <f>SUM(E1060:E1066)</f>
        <v>2084022</v>
      </c>
      <c r="F1059" s="112"/>
      <c r="G1059" s="52">
        <f>SUM(G1060:G1066)</f>
        <v>1993190.5</v>
      </c>
      <c r="H1059" s="113"/>
      <c r="I1059" s="338">
        <f t="shared" si="17"/>
        <v>95.64152873626094</v>
      </c>
    </row>
    <row r="1060" spans="1:9" ht="54.75" customHeight="1">
      <c r="A1060" s="90"/>
      <c r="B1060" s="20"/>
      <c r="C1060" s="13">
        <v>2320</v>
      </c>
      <c r="D1060" s="2" t="s">
        <v>544</v>
      </c>
      <c r="E1060" s="120">
        <v>370000</v>
      </c>
      <c r="F1060" s="112"/>
      <c r="G1060" s="120">
        <v>292071.88</v>
      </c>
      <c r="H1060" s="113"/>
      <c r="I1060" s="338">
        <f t="shared" si="17"/>
        <v>78.93834594594594</v>
      </c>
    </row>
    <row r="1061" spans="1:9" ht="15" customHeight="1">
      <c r="A1061" s="90"/>
      <c r="B1061" s="12"/>
      <c r="C1061" s="13">
        <v>3110</v>
      </c>
      <c r="D1061" s="40" t="s">
        <v>737</v>
      </c>
      <c r="E1061" s="120">
        <v>1482450</v>
      </c>
      <c r="F1061" s="112"/>
      <c r="G1061" s="120">
        <v>1477305.33</v>
      </c>
      <c r="H1061" s="113"/>
      <c r="I1061" s="338">
        <f t="shared" si="17"/>
        <v>99.65296165132045</v>
      </c>
    </row>
    <row r="1062" spans="1:9" ht="15" customHeight="1">
      <c r="A1062" s="90"/>
      <c r="B1062" s="12"/>
      <c r="C1062" s="13">
        <v>4010</v>
      </c>
      <c r="D1062" s="40" t="s">
        <v>572</v>
      </c>
      <c r="E1062" s="120">
        <v>100000</v>
      </c>
      <c r="F1062" s="112"/>
      <c r="G1062" s="120">
        <v>100000</v>
      </c>
      <c r="H1062" s="113"/>
      <c r="I1062" s="338">
        <f t="shared" si="17"/>
        <v>100</v>
      </c>
    </row>
    <row r="1063" spans="1:9" ht="15" customHeight="1">
      <c r="A1063" s="90"/>
      <c r="B1063" s="12"/>
      <c r="C1063" s="13">
        <v>4110</v>
      </c>
      <c r="D1063" s="2" t="s">
        <v>576</v>
      </c>
      <c r="E1063" s="55">
        <v>32980</v>
      </c>
      <c r="F1063" s="112"/>
      <c r="G1063" s="55">
        <v>30738.6</v>
      </c>
      <c r="H1063" s="113"/>
      <c r="I1063" s="338">
        <f t="shared" si="17"/>
        <v>93.20375985445725</v>
      </c>
    </row>
    <row r="1064" spans="1:9" ht="15" customHeight="1">
      <c r="A1064" s="90"/>
      <c r="B1064" s="12"/>
      <c r="C1064" s="13">
        <v>4120</v>
      </c>
      <c r="D1064" s="2" t="s">
        <v>577</v>
      </c>
      <c r="E1064" s="55">
        <v>3630</v>
      </c>
      <c r="F1064" s="112"/>
      <c r="G1064" s="55">
        <v>3285.03</v>
      </c>
      <c r="H1064" s="113"/>
      <c r="I1064" s="338">
        <f t="shared" si="17"/>
        <v>90.49669421487604</v>
      </c>
    </row>
    <row r="1065" spans="1:9" ht="15" customHeight="1">
      <c r="A1065" s="90"/>
      <c r="B1065" s="12"/>
      <c r="C1065" s="22">
        <v>4170</v>
      </c>
      <c r="D1065" s="39" t="s">
        <v>583</v>
      </c>
      <c r="E1065" s="118">
        <v>94462</v>
      </c>
      <c r="F1065" s="112"/>
      <c r="G1065" s="118">
        <v>89289.66</v>
      </c>
      <c r="H1065" s="113"/>
      <c r="I1065" s="338">
        <f t="shared" si="17"/>
        <v>94.52442251910821</v>
      </c>
    </row>
    <row r="1066" spans="1:9" ht="20.25" customHeight="1">
      <c r="A1066" s="90"/>
      <c r="B1066" s="5"/>
      <c r="C1066" s="13">
        <v>4300</v>
      </c>
      <c r="D1066" s="2" t="s">
        <v>530</v>
      </c>
      <c r="E1066" s="118">
        <v>500</v>
      </c>
      <c r="F1066" s="112"/>
      <c r="G1066" s="118">
        <v>500</v>
      </c>
      <c r="H1066" s="113"/>
      <c r="I1066" s="338">
        <f t="shared" si="17"/>
        <v>100</v>
      </c>
    </row>
    <row r="1067" spans="1:9" ht="24" customHeight="1">
      <c r="A1067" s="87"/>
      <c r="B1067" s="48">
        <v>85218</v>
      </c>
      <c r="C1067" s="32"/>
      <c r="D1067" s="33" t="s">
        <v>693</v>
      </c>
      <c r="E1067" s="124">
        <f>SUM(E1068:E1072)</f>
        <v>72232</v>
      </c>
      <c r="F1067" s="112"/>
      <c r="G1067" s="124">
        <f>SUM(G1068:G1072)</f>
        <v>72232</v>
      </c>
      <c r="H1067" s="113"/>
      <c r="I1067" s="338">
        <f t="shared" si="17"/>
        <v>100</v>
      </c>
    </row>
    <row r="1068" spans="1:9" ht="20.25" customHeight="1">
      <c r="A1068" s="87"/>
      <c r="B1068" s="24"/>
      <c r="C1068" s="5">
        <v>4010</v>
      </c>
      <c r="D1068" s="40" t="s">
        <v>572</v>
      </c>
      <c r="E1068" s="120">
        <v>50470</v>
      </c>
      <c r="F1068" s="112"/>
      <c r="G1068" s="120">
        <v>50470</v>
      </c>
      <c r="H1068" s="113"/>
      <c r="I1068" s="338">
        <f t="shared" si="17"/>
        <v>100</v>
      </c>
    </row>
    <row r="1069" spans="1:9" ht="15" customHeight="1">
      <c r="A1069" s="87"/>
      <c r="B1069" s="24"/>
      <c r="C1069" s="6">
        <v>4040</v>
      </c>
      <c r="D1069" s="2" t="s">
        <v>575</v>
      </c>
      <c r="E1069" s="55">
        <v>7100</v>
      </c>
      <c r="F1069" s="112"/>
      <c r="G1069" s="55">
        <v>7100</v>
      </c>
      <c r="H1069" s="113"/>
      <c r="I1069" s="338">
        <f t="shared" si="17"/>
        <v>100</v>
      </c>
    </row>
    <row r="1070" spans="1:9" ht="15" customHeight="1">
      <c r="A1070" s="87"/>
      <c r="B1070" s="24"/>
      <c r="C1070" s="6">
        <v>4110</v>
      </c>
      <c r="D1070" s="2" t="s">
        <v>576</v>
      </c>
      <c r="E1070" s="55">
        <v>11275</v>
      </c>
      <c r="F1070" s="112"/>
      <c r="G1070" s="55">
        <v>11275</v>
      </c>
      <c r="H1070" s="113"/>
      <c r="I1070" s="338">
        <f t="shared" si="17"/>
        <v>100</v>
      </c>
    </row>
    <row r="1071" spans="1:9" ht="15" customHeight="1">
      <c r="A1071" s="87"/>
      <c r="B1071" s="24"/>
      <c r="C1071" s="6">
        <v>4120</v>
      </c>
      <c r="D1071" s="2" t="s">
        <v>577</v>
      </c>
      <c r="E1071" s="55">
        <v>1087</v>
      </c>
      <c r="F1071" s="112"/>
      <c r="G1071" s="55">
        <v>1087</v>
      </c>
      <c r="H1071" s="113"/>
      <c r="I1071" s="338">
        <f t="shared" si="17"/>
        <v>100</v>
      </c>
    </row>
    <row r="1072" spans="1:9" ht="27.75" customHeight="1">
      <c r="A1072" s="87"/>
      <c r="B1072" s="24"/>
      <c r="C1072" s="20">
        <v>4440</v>
      </c>
      <c r="D1072" s="169" t="s">
        <v>578</v>
      </c>
      <c r="E1072" s="118">
        <v>2300</v>
      </c>
      <c r="F1072" s="112"/>
      <c r="G1072" s="118">
        <v>2300</v>
      </c>
      <c r="H1072" s="113"/>
      <c r="I1072" s="338">
        <f t="shared" si="17"/>
        <v>100</v>
      </c>
    </row>
    <row r="1073" spans="1:9" ht="42" customHeight="1">
      <c r="A1073" s="87"/>
      <c r="B1073" s="32">
        <v>85220</v>
      </c>
      <c r="C1073" s="245"/>
      <c r="D1073" s="46" t="s">
        <v>604</v>
      </c>
      <c r="E1073" s="124">
        <f>E1074</f>
        <v>12000</v>
      </c>
      <c r="F1073" s="132"/>
      <c r="G1073" s="124">
        <f>G1074</f>
        <v>12000</v>
      </c>
      <c r="H1073" s="113"/>
      <c r="I1073" s="338">
        <f t="shared" si="17"/>
        <v>100</v>
      </c>
    </row>
    <row r="1074" spans="1:9" ht="22.5" customHeight="1">
      <c r="A1074" s="87"/>
      <c r="B1074" s="24"/>
      <c r="C1074" s="5">
        <v>4010</v>
      </c>
      <c r="D1074" s="40" t="s">
        <v>572</v>
      </c>
      <c r="E1074" s="118">
        <v>12000</v>
      </c>
      <c r="F1074" s="112"/>
      <c r="G1074" s="118">
        <v>12000</v>
      </c>
      <c r="H1074" s="113"/>
      <c r="I1074" s="338">
        <f t="shared" si="17"/>
        <v>100</v>
      </c>
    </row>
    <row r="1075" spans="1:9" ht="26.25" customHeight="1">
      <c r="A1075" s="87"/>
      <c r="B1075" s="32">
        <v>85233</v>
      </c>
      <c r="C1075" s="6"/>
      <c r="D1075" s="33" t="s">
        <v>522</v>
      </c>
      <c r="E1075" s="52">
        <f>E1076</f>
        <v>1850</v>
      </c>
      <c r="F1075" s="112"/>
      <c r="G1075" s="52">
        <f>G1076</f>
        <v>560</v>
      </c>
      <c r="H1075" s="113"/>
      <c r="I1075" s="338">
        <f t="shared" si="17"/>
        <v>30.270270270270274</v>
      </c>
    </row>
    <row r="1076" spans="1:9" ht="26.25" customHeight="1">
      <c r="A1076" s="87"/>
      <c r="B1076" s="15"/>
      <c r="C1076" s="12">
        <v>4700</v>
      </c>
      <c r="D1076" s="170" t="s">
        <v>93</v>
      </c>
      <c r="E1076" s="72">
        <v>1850</v>
      </c>
      <c r="F1076" s="112"/>
      <c r="G1076" s="72">
        <v>560</v>
      </c>
      <c r="H1076" s="113"/>
      <c r="I1076" s="338">
        <f t="shared" si="17"/>
        <v>30.270270270270274</v>
      </c>
    </row>
    <row r="1077" spans="1:16" ht="20.25" customHeight="1">
      <c r="A1077" s="87"/>
      <c r="B1077" s="32">
        <v>85295</v>
      </c>
      <c r="C1077" s="32"/>
      <c r="D1077" s="33" t="s">
        <v>494</v>
      </c>
      <c r="E1077" s="52">
        <f>SUM(E1078:E1080)</f>
        <v>22100</v>
      </c>
      <c r="F1077" s="112"/>
      <c r="G1077" s="52">
        <f>SUM(G1078:G1080)</f>
        <v>3100</v>
      </c>
      <c r="H1077" s="113"/>
      <c r="I1077" s="338">
        <f t="shared" si="17"/>
        <v>14.027149321266968</v>
      </c>
      <c r="K1077" s="352"/>
      <c r="L1077" s="352"/>
      <c r="M1077" s="352"/>
      <c r="N1077" s="352"/>
      <c r="O1077" s="465"/>
      <c r="P1077" s="352"/>
    </row>
    <row r="1078" spans="1:9" ht="27" customHeight="1">
      <c r="A1078" s="87"/>
      <c r="B1078" s="41"/>
      <c r="C1078" s="27">
        <v>3020</v>
      </c>
      <c r="D1078" s="40" t="s">
        <v>721</v>
      </c>
      <c r="E1078" s="120">
        <v>2000</v>
      </c>
      <c r="F1078" s="112"/>
      <c r="G1078" s="120">
        <v>0</v>
      </c>
      <c r="H1078" s="113"/>
      <c r="I1078" s="338"/>
    </row>
    <row r="1079" spans="1:9" ht="15" customHeight="1">
      <c r="A1079" s="87"/>
      <c r="B1079" s="41"/>
      <c r="C1079" s="13">
        <v>3110</v>
      </c>
      <c r="D1079" s="2" t="s">
        <v>737</v>
      </c>
      <c r="E1079" s="55">
        <v>17000</v>
      </c>
      <c r="F1079" s="112"/>
      <c r="G1079" s="55">
        <v>0</v>
      </c>
      <c r="H1079" s="113"/>
      <c r="I1079" s="338"/>
    </row>
    <row r="1080" spans="1:9" ht="27.75" customHeight="1">
      <c r="A1080" s="87"/>
      <c r="B1080" s="41"/>
      <c r="C1080" s="13">
        <v>4440</v>
      </c>
      <c r="D1080" s="2" t="s">
        <v>578</v>
      </c>
      <c r="E1080" s="55">
        <v>3100</v>
      </c>
      <c r="F1080" s="112"/>
      <c r="G1080" s="55">
        <v>3100</v>
      </c>
      <c r="H1080" s="113"/>
      <c r="I1080" s="338">
        <f aca="true" t="shared" si="18" ref="I1080:I1137">G1080/E1080*100</f>
        <v>100</v>
      </c>
    </row>
    <row r="1081" spans="1:9" ht="33" customHeight="1">
      <c r="A1081" s="77">
        <v>853</v>
      </c>
      <c r="B1081" s="77"/>
      <c r="C1081" s="17"/>
      <c r="D1081" s="44" t="s">
        <v>523</v>
      </c>
      <c r="E1081" s="45">
        <f>E1082+E1085+E1093+E1095</f>
        <v>4009772.74</v>
      </c>
      <c r="F1081" s="234">
        <f>F1082+F1085+F1093+F1095</f>
        <v>183025</v>
      </c>
      <c r="G1081" s="45">
        <f>G1082+G1085+G1093+G1095</f>
        <v>3905352.2</v>
      </c>
      <c r="H1081" s="275">
        <f>H1082+H1085+H1093+H1095</f>
        <v>183025</v>
      </c>
      <c r="I1081" s="339">
        <f t="shared" si="18"/>
        <v>97.39584892284942</v>
      </c>
    </row>
    <row r="1082" spans="1:22" s="76" customFormat="1" ht="30.75" customHeight="1">
      <c r="A1082" s="104"/>
      <c r="B1082" s="138">
        <v>85311</v>
      </c>
      <c r="C1082" s="50"/>
      <c r="D1082" s="139" t="s">
        <v>302</v>
      </c>
      <c r="E1082" s="37">
        <f>SUM(E1083:E1084)</f>
        <v>338605</v>
      </c>
      <c r="F1082" s="131"/>
      <c r="G1082" s="37">
        <f>SUM(G1083:G1084)</f>
        <v>333878.16</v>
      </c>
      <c r="H1082" s="271"/>
      <c r="I1082" s="338">
        <f t="shared" si="18"/>
        <v>98.60402533925961</v>
      </c>
      <c r="J1082" s="326"/>
      <c r="K1082" s="341"/>
      <c r="L1082" s="341"/>
      <c r="M1082" s="341"/>
      <c r="N1082" s="341"/>
      <c r="O1082" s="466"/>
      <c r="P1082" s="341"/>
      <c r="Q1082" s="341"/>
      <c r="R1082" s="341"/>
      <c r="S1082" s="341"/>
      <c r="T1082" s="92"/>
      <c r="U1082" s="92"/>
      <c r="V1082" s="92"/>
    </row>
    <row r="1083" spans="1:22" s="76" customFormat="1" ht="40.5" customHeight="1">
      <c r="A1083" s="104"/>
      <c r="B1083" s="100"/>
      <c r="C1083" s="27">
        <v>2580</v>
      </c>
      <c r="D1083" s="40" t="s">
        <v>303</v>
      </c>
      <c r="E1083" s="35">
        <v>308105</v>
      </c>
      <c r="F1083" s="115"/>
      <c r="G1083" s="35">
        <v>305495.56</v>
      </c>
      <c r="H1083" s="230"/>
      <c r="I1083" s="338">
        <f t="shared" si="18"/>
        <v>99.15306794761526</v>
      </c>
      <c r="J1083" s="326"/>
      <c r="K1083" s="341"/>
      <c r="L1083" s="341"/>
      <c r="M1083" s="341"/>
      <c r="N1083" s="341"/>
      <c r="O1083" s="466"/>
      <c r="P1083" s="341"/>
      <c r="Q1083" s="341"/>
      <c r="R1083" s="341"/>
      <c r="S1083" s="341"/>
      <c r="T1083" s="92"/>
      <c r="U1083" s="92"/>
      <c r="V1083" s="92"/>
    </row>
    <row r="1084" spans="1:22" s="76" customFormat="1" ht="27.75" customHeight="1">
      <c r="A1084" s="104"/>
      <c r="B1084" s="116"/>
      <c r="C1084" s="13">
        <v>6060</v>
      </c>
      <c r="D1084" s="2" t="s">
        <v>598</v>
      </c>
      <c r="E1084" s="68">
        <v>30500</v>
      </c>
      <c r="F1084" s="227"/>
      <c r="G1084" s="35">
        <v>28382.6</v>
      </c>
      <c r="H1084" s="134"/>
      <c r="I1084" s="338">
        <f t="shared" si="18"/>
        <v>93.05770491803278</v>
      </c>
      <c r="J1084" s="326"/>
      <c r="K1084" s="341"/>
      <c r="L1084" s="341"/>
      <c r="M1084" s="341"/>
      <c r="N1084" s="341"/>
      <c r="O1084" s="466"/>
      <c r="P1084" s="341"/>
      <c r="Q1084" s="341"/>
      <c r="R1084" s="341"/>
      <c r="S1084" s="341"/>
      <c r="T1084" s="92"/>
      <c r="U1084" s="92"/>
      <c r="V1084" s="92"/>
    </row>
    <row r="1085" spans="1:12" ht="26.25" customHeight="1">
      <c r="A1085" s="140"/>
      <c r="B1085" s="101">
        <v>85321</v>
      </c>
      <c r="C1085" s="48"/>
      <c r="D1085" s="139" t="s">
        <v>324</v>
      </c>
      <c r="E1085" s="124">
        <f>SUM(E1086:E1092)</f>
        <v>514514.00000000006</v>
      </c>
      <c r="F1085" s="228">
        <f>SUM(F1086:F1092)</f>
        <v>183025</v>
      </c>
      <c r="G1085" s="124">
        <f>SUM(G1086:G1092)</f>
        <v>514514.00000000006</v>
      </c>
      <c r="H1085" s="267">
        <f>SUM(H1086:H1092)</f>
        <v>183025</v>
      </c>
      <c r="I1085" s="338">
        <f t="shared" si="18"/>
        <v>100</v>
      </c>
      <c r="K1085" s="451"/>
      <c r="L1085" s="451"/>
    </row>
    <row r="1086" spans="1:9" ht="18.75" customHeight="1">
      <c r="A1086" s="104"/>
      <c r="B1086" s="100"/>
      <c r="C1086" s="6">
        <v>4010</v>
      </c>
      <c r="D1086" s="2" t="s">
        <v>572</v>
      </c>
      <c r="E1086" s="68">
        <v>314997.84</v>
      </c>
      <c r="F1086" s="134">
        <v>103685.3</v>
      </c>
      <c r="G1086" s="68">
        <v>314997.84</v>
      </c>
      <c r="H1086" s="134">
        <v>103685.3</v>
      </c>
      <c r="I1086" s="338">
        <f t="shared" si="18"/>
        <v>100</v>
      </c>
    </row>
    <row r="1087" spans="1:9" ht="15" customHeight="1">
      <c r="A1087" s="104"/>
      <c r="B1087" s="105"/>
      <c r="C1087" s="6">
        <v>4040</v>
      </c>
      <c r="D1087" s="2" t="s">
        <v>575</v>
      </c>
      <c r="E1087" s="68">
        <v>24086.96</v>
      </c>
      <c r="F1087" s="134">
        <v>7917.96</v>
      </c>
      <c r="G1087" s="68">
        <v>24086.96</v>
      </c>
      <c r="H1087" s="134">
        <v>7917.96</v>
      </c>
      <c r="I1087" s="338">
        <f t="shared" si="18"/>
        <v>100</v>
      </c>
    </row>
    <row r="1088" spans="1:9" ht="15" customHeight="1">
      <c r="A1088" s="104"/>
      <c r="B1088" s="105"/>
      <c r="C1088" s="6">
        <v>4110</v>
      </c>
      <c r="D1088" s="2" t="s">
        <v>576</v>
      </c>
      <c r="E1088" s="68">
        <v>57950.83</v>
      </c>
      <c r="F1088" s="134">
        <v>25227.6</v>
      </c>
      <c r="G1088" s="68">
        <v>57950.83</v>
      </c>
      <c r="H1088" s="134">
        <v>25227.6</v>
      </c>
      <c r="I1088" s="338">
        <f t="shared" si="18"/>
        <v>100</v>
      </c>
    </row>
    <row r="1089" spans="1:9" ht="15" customHeight="1">
      <c r="A1089" s="104"/>
      <c r="B1089" s="105"/>
      <c r="C1089" s="6">
        <v>4120</v>
      </c>
      <c r="D1089" s="2" t="s">
        <v>577</v>
      </c>
      <c r="E1089" s="68">
        <v>6820.65</v>
      </c>
      <c r="F1089" s="134">
        <v>2691.25</v>
      </c>
      <c r="G1089" s="68">
        <v>6820.65</v>
      </c>
      <c r="H1089" s="134">
        <v>2691.25</v>
      </c>
      <c r="I1089" s="338">
        <f t="shared" si="18"/>
        <v>100</v>
      </c>
    </row>
    <row r="1090" spans="1:9" ht="15" customHeight="1">
      <c r="A1090" s="104"/>
      <c r="B1090" s="105"/>
      <c r="C1090" s="6">
        <v>4170</v>
      </c>
      <c r="D1090" s="2" t="s">
        <v>583</v>
      </c>
      <c r="E1090" s="68">
        <v>23996</v>
      </c>
      <c r="F1090" s="134">
        <v>9799</v>
      </c>
      <c r="G1090" s="68">
        <v>23996</v>
      </c>
      <c r="H1090" s="134">
        <v>9799</v>
      </c>
      <c r="I1090" s="338">
        <f t="shared" si="18"/>
        <v>100</v>
      </c>
    </row>
    <row r="1091" spans="1:9" ht="15" customHeight="1">
      <c r="A1091" s="104"/>
      <c r="B1091" s="105"/>
      <c r="C1091" s="6">
        <v>4300</v>
      </c>
      <c r="D1091" s="2" t="s">
        <v>530</v>
      </c>
      <c r="E1091" s="68">
        <v>76820</v>
      </c>
      <c r="F1091" s="134">
        <v>29514.14</v>
      </c>
      <c r="G1091" s="68">
        <v>76820</v>
      </c>
      <c r="H1091" s="134">
        <v>29514.14</v>
      </c>
      <c r="I1091" s="338">
        <f t="shared" si="18"/>
        <v>100</v>
      </c>
    </row>
    <row r="1092" spans="1:9" ht="28.5" customHeight="1">
      <c r="A1092" s="104"/>
      <c r="B1092" s="105"/>
      <c r="C1092" s="20">
        <v>4440</v>
      </c>
      <c r="D1092" s="2" t="s">
        <v>578</v>
      </c>
      <c r="E1092" s="94">
        <v>9841.72</v>
      </c>
      <c r="F1092" s="134">
        <v>4189.75</v>
      </c>
      <c r="G1092" s="94">
        <v>9841.72</v>
      </c>
      <c r="H1092" s="134">
        <v>4189.75</v>
      </c>
      <c r="I1092" s="338">
        <f t="shared" si="18"/>
        <v>100</v>
      </c>
    </row>
    <row r="1093" spans="1:9" ht="26.25" customHeight="1">
      <c r="A1093" s="104"/>
      <c r="B1093" s="158">
        <v>85333</v>
      </c>
      <c r="C1093" s="6"/>
      <c r="D1093" s="159" t="s">
        <v>316</v>
      </c>
      <c r="E1093" s="124">
        <f>E1094</f>
        <v>1105000</v>
      </c>
      <c r="F1093" s="130"/>
      <c r="G1093" s="124">
        <f>G1094</f>
        <v>1089547.19</v>
      </c>
      <c r="H1093" s="269"/>
      <c r="I1093" s="338">
        <f t="shared" si="18"/>
        <v>98.6015556561086</v>
      </c>
    </row>
    <row r="1094" spans="1:9" ht="52.5" customHeight="1">
      <c r="A1094" s="104"/>
      <c r="B1094" s="114"/>
      <c r="C1094" s="6">
        <v>2320</v>
      </c>
      <c r="D1094" s="2" t="s">
        <v>544</v>
      </c>
      <c r="E1094" s="72">
        <v>1105000</v>
      </c>
      <c r="F1094" s="130"/>
      <c r="G1094" s="72">
        <v>1089547.19</v>
      </c>
      <c r="H1094" s="269"/>
      <c r="I1094" s="338">
        <f t="shared" si="18"/>
        <v>98.6015556561086</v>
      </c>
    </row>
    <row r="1095" spans="1:22" s="69" customFormat="1" ht="21.75" customHeight="1">
      <c r="A1095" s="142"/>
      <c r="B1095" s="61">
        <v>85395</v>
      </c>
      <c r="C1095" s="32"/>
      <c r="D1095" s="33" t="s">
        <v>494</v>
      </c>
      <c r="E1095" s="37">
        <f>SUM(E1096:E1113)</f>
        <v>2051653.74</v>
      </c>
      <c r="F1095" s="132"/>
      <c r="G1095" s="37">
        <f>SUM(G1096:G1113)</f>
        <v>1967412.85</v>
      </c>
      <c r="H1095" s="270"/>
      <c r="I1095" s="338">
        <f t="shared" si="18"/>
        <v>95.89400061240354</v>
      </c>
      <c r="J1095" s="447"/>
      <c r="K1095" s="352"/>
      <c r="L1095" s="352"/>
      <c r="M1095" s="352"/>
      <c r="N1095" s="352"/>
      <c r="O1095" s="465"/>
      <c r="P1095" s="352"/>
      <c r="Q1095" s="352"/>
      <c r="R1095" s="352"/>
      <c r="S1095" s="352"/>
      <c r="T1095" s="321"/>
      <c r="U1095" s="321"/>
      <c r="V1095" s="321"/>
    </row>
    <row r="1096" spans="1:9" ht="21.75" customHeight="1">
      <c r="A1096" s="104"/>
      <c r="B1096" s="105"/>
      <c r="C1096" s="6">
        <v>4017</v>
      </c>
      <c r="D1096" s="2" t="s">
        <v>572</v>
      </c>
      <c r="E1096" s="55">
        <v>113646.47</v>
      </c>
      <c r="F1096" s="112"/>
      <c r="G1096" s="68">
        <v>111039.84</v>
      </c>
      <c r="H1096" s="113"/>
      <c r="I1096" s="338">
        <f t="shared" si="18"/>
        <v>97.70636958631447</v>
      </c>
    </row>
    <row r="1097" spans="1:9" ht="21.75" customHeight="1">
      <c r="A1097" s="104"/>
      <c r="B1097" s="105"/>
      <c r="C1097" s="6">
        <v>4019</v>
      </c>
      <c r="D1097" s="2" t="s">
        <v>572</v>
      </c>
      <c r="E1097" s="55">
        <v>7476.28</v>
      </c>
      <c r="F1097" s="112"/>
      <c r="G1097" s="68">
        <v>7461.88</v>
      </c>
      <c r="H1097" s="113"/>
      <c r="I1097" s="338">
        <f t="shared" si="18"/>
        <v>99.80739084143451</v>
      </c>
    </row>
    <row r="1098" spans="1:9" ht="21.75" customHeight="1">
      <c r="A1098" s="104"/>
      <c r="B1098" s="105"/>
      <c r="C1098" s="6">
        <v>4117</v>
      </c>
      <c r="D1098" s="2" t="s">
        <v>576</v>
      </c>
      <c r="E1098" s="55">
        <v>32758.69</v>
      </c>
      <c r="F1098" s="112"/>
      <c r="G1098" s="68">
        <v>31572.8</v>
      </c>
      <c r="H1098" s="113"/>
      <c r="I1098" s="338">
        <f t="shared" si="18"/>
        <v>96.3799223961642</v>
      </c>
    </row>
    <row r="1099" spans="1:9" ht="21.75" customHeight="1">
      <c r="A1099" s="104"/>
      <c r="B1099" s="105"/>
      <c r="C1099" s="6">
        <v>4119</v>
      </c>
      <c r="D1099" s="2" t="s">
        <v>576</v>
      </c>
      <c r="E1099" s="55">
        <v>1425.36</v>
      </c>
      <c r="F1099" s="112"/>
      <c r="G1099" s="68">
        <v>1362.28</v>
      </c>
      <c r="H1099" s="113"/>
      <c r="I1099" s="338">
        <f t="shared" si="18"/>
        <v>95.57445136667229</v>
      </c>
    </row>
    <row r="1100" spans="1:9" ht="21.75" customHeight="1">
      <c r="A1100" s="104"/>
      <c r="B1100" s="105"/>
      <c r="C1100" s="6">
        <v>4127</v>
      </c>
      <c r="D1100" s="2" t="s">
        <v>577</v>
      </c>
      <c r="E1100" s="55">
        <v>4719.61</v>
      </c>
      <c r="F1100" s="112"/>
      <c r="G1100" s="68">
        <v>4661.91</v>
      </c>
      <c r="H1100" s="113"/>
      <c r="I1100" s="338">
        <f t="shared" si="18"/>
        <v>98.77744135638326</v>
      </c>
    </row>
    <row r="1101" spans="1:9" ht="21.75" customHeight="1">
      <c r="A1101" s="104"/>
      <c r="B1101" s="105"/>
      <c r="C1101" s="6">
        <v>4129</v>
      </c>
      <c r="D1101" s="2" t="s">
        <v>577</v>
      </c>
      <c r="E1101" s="55">
        <v>181.59</v>
      </c>
      <c r="F1101" s="112"/>
      <c r="G1101" s="68">
        <v>181.27</v>
      </c>
      <c r="H1101" s="113"/>
      <c r="I1101" s="338">
        <f t="shared" si="18"/>
        <v>99.82377884244727</v>
      </c>
    </row>
    <row r="1102" spans="1:9" ht="21.75" customHeight="1">
      <c r="A1102" s="104"/>
      <c r="B1102" s="105"/>
      <c r="C1102" s="6">
        <v>4177</v>
      </c>
      <c r="D1102" s="2" t="s">
        <v>583</v>
      </c>
      <c r="E1102" s="55">
        <v>430726.09</v>
      </c>
      <c r="F1102" s="112"/>
      <c r="G1102" s="68">
        <v>403113.94</v>
      </c>
      <c r="H1102" s="113"/>
      <c r="I1102" s="338">
        <f t="shared" si="18"/>
        <v>93.5893945964592</v>
      </c>
    </row>
    <row r="1103" spans="1:9" ht="21.75" customHeight="1">
      <c r="A1103" s="104"/>
      <c r="B1103" s="105"/>
      <c r="C1103" s="6">
        <v>4179</v>
      </c>
      <c r="D1103" s="2" t="s">
        <v>583</v>
      </c>
      <c r="E1103" s="55">
        <v>33173.93</v>
      </c>
      <c r="F1103" s="112"/>
      <c r="G1103" s="68">
        <v>30093.19</v>
      </c>
      <c r="H1103" s="113"/>
      <c r="I1103" s="338">
        <f t="shared" si="18"/>
        <v>90.7133704086311</v>
      </c>
    </row>
    <row r="1104" spans="1:9" ht="21.75" customHeight="1">
      <c r="A1104" s="104"/>
      <c r="B1104" s="105"/>
      <c r="C1104" s="6">
        <v>4217</v>
      </c>
      <c r="D1104" s="2" t="s">
        <v>584</v>
      </c>
      <c r="E1104" s="55">
        <v>23254.88</v>
      </c>
      <c r="F1104" s="112"/>
      <c r="G1104" s="68">
        <v>14010.96</v>
      </c>
      <c r="H1104" s="113"/>
      <c r="I1104" s="338">
        <f t="shared" si="18"/>
        <v>60.24954762183249</v>
      </c>
    </row>
    <row r="1105" spans="1:9" ht="21.75" customHeight="1">
      <c r="A1105" s="104"/>
      <c r="B1105" s="105"/>
      <c r="C1105" s="6">
        <v>4219</v>
      </c>
      <c r="D1105" s="2" t="s">
        <v>584</v>
      </c>
      <c r="E1105" s="55">
        <v>2110.98</v>
      </c>
      <c r="F1105" s="112"/>
      <c r="G1105" s="68">
        <v>757.93</v>
      </c>
      <c r="H1105" s="113"/>
      <c r="I1105" s="338">
        <f t="shared" si="18"/>
        <v>35.90417720679495</v>
      </c>
    </row>
    <row r="1106" spans="1:9" ht="25.5" customHeight="1">
      <c r="A1106" s="104"/>
      <c r="B1106" s="105"/>
      <c r="C1106" s="6">
        <v>4247</v>
      </c>
      <c r="D1106" s="2" t="s">
        <v>759</v>
      </c>
      <c r="E1106" s="55">
        <v>246370.55</v>
      </c>
      <c r="F1106" s="112"/>
      <c r="G1106" s="68">
        <v>238728.32</v>
      </c>
      <c r="H1106" s="113"/>
      <c r="I1106" s="338">
        <f t="shared" si="18"/>
        <v>96.89807487136754</v>
      </c>
    </row>
    <row r="1107" spans="1:9" ht="25.5" customHeight="1">
      <c r="A1107" s="104"/>
      <c r="B1107" s="105"/>
      <c r="C1107" s="6">
        <v>4249</v>
      </c>
      <c r="D1107" s="2" t="s">
        <v>759</v>
      </c>
      <c r="E1107" s="55">
        <v>10950.16</v>
      </c>
      <c r="F1107" s="112"/>
      <c r="G1107" s="68">
        <v>9613.23</v>
      </c>
      <c r="H1107" s="113"/>
      <c r="I1107" s="338">
        <f t="shared" si="18"/>
        <v>87.79077200698437</v>
      </c>
    </row>
    <row r="1108" spans="1:9" ht="21.75" customHeight="1">
      <c r="A1108" s="104"/>
      <c r="B1108" s="105"/>
      <c r="C1108" s="6">
        <v>4307</v>
      </c>
      <c r="D1108" s="2" t="s">
        <v>730</v>
      </c>
      <c r="E1108" s="55">
        <v>844544.1</v>
      </c>
      <c r="F1108" s="112"/>
      <c r="G1108" s="68">
        <v>829978.43</v>
      </c>
      <c r="H1108" s="113"/>
      <c r="I1108" s="338">
        <f t="shared" si="18"/>
        <v>98.27532156106473</v>
      </c>
    </row>
    <row r="1109" spans="1:9" ht="21.75" customHeight="1">
      <c r="A1109" s="104"/>
      <c r="B1109" s="105"/>
      <c r="C1109" s="6">
        <v>4309</v>
      </c>
      <c r="D1109" s="2" t="s">
        <v>730</v>
      </c>
      <c r="E1109" s="55">
        <v>13915.05</v>
      </c>
      <c r="F1109" s="112"/>
      <c r="G1109" s="68">
        <v>11620.87</v>
      </c>
      <c r="H1109" s="113"/>
      <c r="I1109" s="338">
        <f t="shared" si="18"/>
        <v>83.51295899044561</v>
      </c>
    </row>
    <row r="1110" spans="1:22" s="69" customFormat="1" ht="27.75" customHeight="1">
      <c r="A1110" s="142"/>
      <c r="B1110" s="140"/>
      <c r="C1110" s="6">
        <v>4407</v>
      </c>
      <c r="D1110" s="2" t="s">
        <v>728</v>
      </c>
      <c r="E1110" s="55">
        <v>13650</v>
      </c>
      <c r="F1110" s="132"/>
      <c r="G1110" s="68">
        <v>2155.6</v>
      </c>
      <c r="H1110" s="270"/>
      <c r="I1110" s="338">
        <f t="shared" si="18"/>
        <v>15.791941391941391</v>
      </c>
      <c r="J1110" s="447"/>
      <c r="K1110" s="352"/>
      <c r="L1110" s="352"/>
      <c r="M1110" s="352"/>
      <c r="N1110" s="352"/>
      <c r="O1110" s="465"/>
      <c r="P1110" s="352"/>
      <c r="Q1110" s="352"/>
      <c r="R1110" s="352"/>
      <c r="S1110" s="352"/>
      <c r="T1110" s="321"/>
      <c r="U1110" s="321"/>
      <c r="V1110" s="321"/>
    </row>
    <row r="1111" spans="1:9" ht="26.25" customHeight="1">
      <c r="A1111" s="104"/>
      <c r="B1111" s="105"/>
      <c r="C1111" s="6">
        <v>4409</v>
      </c>
      <c r="D1111" s="2" t="s">
        <v>728</v>
      </c>
      <c r="E1111" s="55">
        <v>1350</v>
      </c>
      <c r="F1111" s="112"/>
      <c r="G1111" s="68">
        <v>380.4</v>
      </c>
      <c r="H1111" s="113"/>
      <c r="I1111" s="338">
        <f t="shared" si="18"/>
        <v>28.177777777777774</v>
      </c>
    </row>
    <row r="1112" spans="1:9" ht="27" customHeight="1">
      <c r="A1112" s="104"/>
      <c r="B1112" s="105"/>
      <c r="C1112" s="6">
        <v>4707</v>
      </c>
      <c r="D1112" s="2" t="s">
        <v>93</v>
      </c>
      <c r="E1112" s="55">
        <v>271174.95</v>
      </c>
      <c r="F1112" s="112"/>
      <c r="G1112" s="68">
        <v>270454.95</v>
      </c>
      <c r="H1112" s="113"/>
      <c r="I1112" s="338">
        <f t="shared" si="18"/>
        <v>99.7344887497905</v>
      </c>
    </row>
    <row r="1113" spans="1:9" ht="27" customHeight="1">
      <c r="A1113" s="104"/>
      <c r="B1113" s="105"/>
      <c r="C1113" s="6">
        <v>4709</v>
      </c>
      <c r="D1113" s="2" t="s">
        <v>93</v>
      </c>
      <c r="E1113" s="55">
        <v>225.05</v>
      </c>
      <c r="F1113" s="112"/>
      <c r="G1113" s="68">
        <v>225.05</v>
      </c>
      <c r="H1113" s="113"/>
      <c r="I1113" s="338">
        <f t="shared" si="18"/>
        <v>100</v>
      </c>
    </row>
    <row r="1114" spans="1:9" ht="27.75" customHeight="1">
      <c r="A1114" s="77">
        <v>854</v>
      </c>
      <c r="B1114" s="77"/>
      <c r="C1114" s="9" t="s">
        <v>83</v>
      </c>
      <c r="D1114" s="44" t="s">
        <v>325</v>
      </c>
      <c r="E1114" s="45">
        <f>E1115+E1138+E1160+E1181+E1203+E1224+E1226+E1228+E1248</f>
        <v>10833605</v>
      </c>
      <c r="F1114" s="134"/>
      <c r="G1114" s="45">
        <f>G1115+G1138+G1160+G1181+G1203+G1224+G1226+G1228+G1248</f>
        <v>10764692.14</v>
      </c>
      <c r="H1114" s="173"/>
      <c r="I1114" s="339">
        <f t="shared" si="18"/>
        <v>99.36389724380759</v>
      </c>
    </row>
    <row r="1115" spans="1:9" ht="23.25" customHeight="1">
      <c r="A1115" s="87"/>
      <c r="B1115" s="31">
        <v>85401</v>
      </c>
      <c r="C1115" s="32" t="s">
        <v>83</v>
      </c>
      <c r="D1115" s="33" t="s">
        <v>695</v>
      </c>
      <c r="E1115" s="52">
        <f>SUM(E1116:E1137)</f>
        <v>606789</v>
      </c>
      <c r="F1115" s="130"/>
      <c r="G1115" s="52">
        <f>SUM(G1116:G1137)</f>
        <v>605288.57</v>
      </c>
      <c r="H1115" s="269"/>
      <c r="I1115" s="338">
        <f t="shared" si="18"/>
        <v>99.75272623597328</v>
      </c>
    </row>
    <row r="1116" spans="1:9" ht="27.75" customHeight="1">
      <c r="A1116" s="87"/>
      <c r="B1116" s="15"/>
      <c r="C1116" s="6">
        <v>3020</v>
      </c>
      <c r="D1116" s="2" t="s">
        <v>696</v>
      </c>
      <c r="E1116" s="120">
        <v>1410</v>
      </c>
      <c r="F1116" s="112"/>
      <c r="G1116" s="120">
        <v>977.68</v>
      </c>
      <c r="H1116" s="113"/>
      <c r="I1116" s="338">
        <f t="shared" si="18"/>
        <v>69.33900709219859</v>
      </c>
    </row>
    <row r="1117" spans="1:9" ht="19.5" customHeight="1">
      <c r="A1117" s="87"/>
      <c r="B1117" s="15"/>
      <c r="C1117" s="6">
        <v>4010</v>
      </c>
      <c r="D1117" s="2" t="s">
        <v>572</v>
      </c>
      <c r="E1117" s="55">
        <v>382249</v>
      </c>
      <c r="F1117" s="112"/>
      <c r="G1117" s="55">
        <v>382237.27</v>
      </c>
      <c r="H1117" s="113"/>
      <c r="I1117" s="338">
        <f t="shared" si="18"/>
        <v>99.99693131963721</v>
      </c>
    </row>
    <row r="1118" spans="1:9" ht="15" customHeight="1">
      <c r="A1118" s="87"/>
      <c r="B1118" s="15"/>
      <c r="C1118" s="6">
        <v>4040</v>
      </c>
      <c r="D1118" s="2" t="s">
        <v>575</v>
      </c>
      <c r="E1118" s="55">
        <v>30951</v>
      </c>
      <c r="F1118" s="112"/>
      <c r="G1118" s="55">
        <v>30948.58</v>
      </c>
      <c r="H1118" s="113"/>
      <c r="I1118" s="338">
        <f t="shared" si="18"/>
        <v>99.99218118962231</v>
      </c>
    </row>
    <row r="1119" spans="1:9" ht="15" customHeight="1">
      <c r="A1119" s="87"/>
      <c r="B1119" s="15"/>
      <c r="C1119" s="6">
        <v>4110</v>
      </c>
      <c r="D1119" s="2" t="s">
        <v>576</v>
      </c>
      <c r="E1119" s="55">
        <v>67978</v>
      </c>
      <c r="F1119" s="112"/>
      <c r="G1119" s="55">
        <v>67723</v>
      </c>
      <c r="H1119" s="113"/>
      <c r="I1119" s="338">
        <f t="shared" si="18"/>
        <v>99.62487863720617</v>
      </c>
    </row>
    <row r="1120" spans="1:9" ht="15" customHeight="1">
      <c r="A1120" s="87"/>
      <c r="B1120" s="15"/>
      <c r="C1120" s="6">
        <v>4120</v>
      </c>
      <c r="D1120" s="2" t="s">
        <v>577</v>
      </c>
      <c r="E1120" s="55">
        <v>7870</v>
      </c>
      <c r="F1120" s="112"/>
      <c r="G1120" s="55">
        <v>7863.24</v>
      </c>
      <c r="H1120" s="113"/>
      <c r="I1120" s="338">
        <f t="shared" si="18"/>
        <v>99.9141041931385</v>
      </c>
    </row>
    <row r="1121" spans="1:9" ht="15.75" customHeight="1">
      <c r="A1121" s="87"/>
      <c r="B1121" s="15"/>
      <c r="C1121" s="6">
        <v>4170</v>
      </c>
      <c r="D1121" s="2" t="s">
        <v>583</v>
      </c>
      <c r="E1121" s="55">
        <v>27</v>
      </c>
      <c r="F1121" s="112"/>
      <c r="G1121" s="55">
        <v>23.85</v>
      </c>
      <c r="H1121" s="113"/>
      <c r="I1121" s="338">
        <f t="shared" si="18"/>
        <v>88.33333333333334</v>
      </c>
    </row>
    <row r="1122" spans="1:9" ht="13.5" customHeight="1">
      <c r="A1122" s="87"/>
      <c r="B1122" s="15"/>
      <c r="C1122" s="6">
        <v>4210</v>
      </c>
      <c r="D1122" s="2" t="s">
        <v>533</v>
      </c>
      <c r="E1122" s="55">
        <v>7116</v>
      </c>
      <c r="F1122" s="112"/>
      <c r="G1122" s="55">
        <v>7058.79</v>
      </c>
      <c r="H1122" s="113"/>
      <c r="I1122" s="338">
        <f t="shared" si="18"/>
        <v>99.19603709949409</v>
      </c>
    </row>
    <row r="1123" spans="1:9" ht="15.75" customHeight="1">
      <c r="A1123" s="87"/>
      <c r="B1123" s="15"/>
      <c r="C1123" s="6">
        <v>4220</v>
      </c>
      <c r="D1123" s="2" t="s">
        <v>675</v>
      </c>
      <c r="E1123" s="55">
        <v>43490</v>
      </c>
      <c r="F1123" s="112"/>
      <c r="G1123" s="55">
        <v>43490</v>
      </c>
      <c r="H1123" s="113"/>
      <c r="I1123" s="338">
        <f t="shared" si="18"/>
        <v>100</v>
      </c>
    </row>
    <row r="1124" spans="1:9" ht="23.25" customHeight="1">
      <c r="A1124" s="87"/>
      <c r="B1124" s="15"/>
      <c r="C1124" s="6">
        <v>4240</v>
      </c>
      <c r="D1124" s="2" t="s">
        <v>759</v>
      </c>
      <c r="E1124" s="55">
        <v>525</v>
      </c>
      <c r="F1124" s="112"/>
      <c r="G1124" s="55">
        <v>525</v>
      </c>
      <c r="H1124" s="113"/>
      <c r="I1124" s="338">
        <f t="shared" si="18"/>
        <v>100</v>
      </c>
    </row>
    <row r="1125" spans="1:9" ht="15" customHeight="1">
      <c r="A1125" s="87"/>
      <c r="B1125" s="15"/>
      <c r="C1125" s="6">
        <v>4260</v>
      </c>
      <c r="D1125" s="2" t="s">
        <v>591</v>
      </c>
      <c r="E1125" s="55">
        <v>27526</v>
      </c>
      <c r="F1125" s="112"/>
      <c r="G1125" s="55">
        <v>27319.59</v>
      </c>
      <c r="H1125" s="113"/>
      <c r="I1125" s="338">
        <f t="shared" si="18"/>
        <v>99.25012715251036</v>
      </c>
    </row>
    <row r="1126" spans="1:9" ht="15" customHeight="1">
      <c r="A1126" s="87"/>
      <c r="B1126" s="15"/>
      <c r="C1126" s="6">
        <v>4270</v>
      </c>
      <c r="D1126" s="2" t="s">
        <v>534</v>
      </c>
      <c r="E1126" s="55">
        <v>2380</v>
      </c>
      <c r="F1126" s="112"/>
      <c r="G1126" s="55">
        <v>2351.65</v>
      </c>
      <c r="H1126" s="113"/>
      <c r="I1126" s="338">
        <f t="shared" si="18"/>
        <v>98.80882352941177</v>
      </c>
    </row>
    <row r="1127" spans="1:9" ht="15" customHeight="1">
      <c r="A1127" s="87"/>
      <c r="B1127" s="15"/>
      <c r="C1127" s="6">
        <v>4280</v>
      </c>
      <c r="D1127" s="2" t="s">
        <v>723</v>
      </c>
      <c r="E1127" s="55">
        <v>194</v>
      </c>
      <c r="F1127" s="112"/>
      <c r="G1127" s="55">
        <v>161.27</v>
      </c>
      <c r="H1127" s="113"/>
      <c r="I1127" s="338">
        <f t="shared" si="18"/>
        <v>83.12886597938144</v>
      </c>
    </row>
    <row r="1128" spans="1:9" ht="15" customHeight="1">
      <c r="A1128" s="87"/>
      <c r="B1128" s="15"/>
      <c r="C1128" s="6">
        <v>4300</v>
      </c>
      <c r="D1128" s="2" t="s">
        <v>530</v>
      </c>
      <c r="E1128" s="55">
        <v>6675</v>
      </c>
      <c r="F1128" s="112"/>
      <c r="G1128" s="55">
        <v>6330.55</v>
      </c>
      <c r="H1128" s="113"/>
      <c r="I1128" s="338">
        <f t="shared" si="18"/>
        <v>94.83970037453184</v>
      </c>
    </row>
    <row r="1129" spans="1:9" ht="15" customHeight="1">
      <c r="A1129" s="87"/>
      <c r="B1129" s="15"/>
      <c r="C1129" s="6">
        <v>4350</v>
      </c>
      <c r="D1129" s="2" t="s">
        <v>586</v>
      </c>
      <c r="E1129" s="55">
        <v>104</v>
      </c>
      <c r="F1129" s="112"/>
      <c r="G1129" s="55">
        <v>75.94</v>
      </c>
      <c r="H1129" s="113"/>
      <c r="I1129" s="338">
        <f t="shared" si="18"/>
        <v>73.01923076923077</v>
      </c>
    </row>
    <row r="1130" spans="1:9" ht="40.5" customHeight="1">
      <c r="A1130" s="87"/>
      <c r="B1130" s="15"/>
      <c r="C1130" s="5">
        <v>4360</v>
      </c>
      <c r="D1130" s="2" t="s">
        <v>768</v>
      </c>
      <c r="E1130" s="55">
        <v>4</v>
      </c>
      <c r="F1130" s="112"/>
      <c r="G1130" s="55">
        <v>4</v>
      </c>
      <c r="H1130" s="113"/>
      <c r="I1130" s="338">
        <f t="shared" si="18"/>
        <v>100</v>
      </c>
    </row>
    <row r="1131" spans="1:9" ht="42.75" customHeight="1">
      <c r="A1131" s="87"/>
      <c r="B1131" s="15"/>
      <c r="C1131" s="5">
        <v>4370</v>
      </c>
      <c r="D1131" s="2" t="s">
        <v>767</v>
      </c>
      <c r="E1131" s="55">
        <v>454</v>
      </c>
      <c r="F1131" s="112"/>
      <c r="G1131" s="55">
        <v>406.33</v>
      </c>
      <c r="H1131" s="113"/>
      <c r="I1131" s="338">
        <f t="shared" si="18"/>
        <v>89.5</v>
      </c>
    </row>
    <row r="1132" spans="1:9" ht="18" customHeight="1">
      <c r="A1132" s="87"/>
      <c r="B1132" s="15"/>
      <c r="C1132" s="6">
        <v>4410</v>
      </c>
      <c r="D1132" s="2" t="s">
        <v>580</v>
      </c>
      <c r="E1132" s="55">
        <v>30</v>
      </c>
      <c r="F1132" s="112"/>
      <c r="G1132" s="55">
        <v>19.39</v>
      </c>
      <c r="H1132" s="113"/>
      <c r="I1132" s="338">
        <f t="shared" si="18"/>
        <v>64.63333333333333</v>
      </c>
    </row>
    <row r="1133" spans="1:9" ht="18" customHeight="1">
      <c r="A1133" s="87"/>
      <c r="B1133" s="15"/>
      <c r="C1133" s="6">
        <v>4420</v>
      </c>
      <c r="D1133" s="2" t="s">
        <v>588</v>
      </c>
      <c r="E1133" s="55">
        <v>6</v>
      </c>
      <c r="F1133" s="112"/>
      <c r="G1133" s="55">
        <v>5.18</v>
      </c>
      <c r="H1133" s="113"/>
      <c r="I1133" s="338">
        <f t="shared" si="18"/>
        <v>86.33333333333333</v>
      </c>
    </row>
    <row r="1134" spans="1:9" ht="17.25" customHeight="1">
      <c r="A1134" s="87"/>
      <c r="B1134" s="15"/>
      <c r="C1134" s="6">
        <v>4430</v>
      </c>
      <c r="D1134" s="2" t="s">
        <v>288</v>
      </c>
      <c r="E1134" s="55">
        <v>321</v>
      </c>
      <c r="F1134" s="112"/>
      <c r="G1134" s="55">
        <v>290.74</v>
      </c>
      <c r="H1134" s="113"/>
      <c r="I1134" s="338">
        <f t="shared" si="18"/>
        <v>90.57320872274144</v>
      </c>
    </row>
    <row r="1135" spans="1:9" ht="27.75" customHeight="1">
      <c r="A1135" s="87"/>
      <c r="B1135" s="15"/>
      <c r="C1135" s="6">
        <v>4440</v>
      </c>
      <c r="D1135" s="2" t="s">
        <v>578</v>
      </c>
      <c r="E1135" s="55">
        <v>27419</v>
      </c>
      <c r="F1135" s="112"/>
      <c r="G1135" s="55">
        <v>27417.29</v>
      </c>
      <c r="H1135" s="113"/>
      <c r="I1135" s="338">
        <f t="shared" si="18"/>
        <v>99.99376344870345</v>
      </c>
    </row>
    <row r="1136" spans="1:9" ht="21" customHeight="1">
      <c r="A1136" s="87"/>
      <c r="B1136" s="15"/>
      <c r="C1136" s="6">
        <v>4480</v>
      </c>
      <c r="D1136" s="2" t="s">
        <v>306</v>
      </c>
      <c r="E1136" s="55">
        <v>3</v>
      </c>
      <c r="F1136" s="112"/>
      <c r="G1136" s="55">
        <v>3</v>
      </c>
      <c r="H1136" s="113"/>
      <c r="I1136" s="338">
        <f t="shared" si="18"/>
        <v>100</v>
      </c>
    </row>
    <row r="1137" spans="1:9" ht="30" customHeight="1">
      <c r="A1137" s="87"/>
      <c r="B1137" s="15"/>
      <c r="C1137" s="6">
        <v>4700</v>
      </c>
      <c r="D1137" s="2" t="s">
        <v>93</v>
      </c>
      <c r="E1137" s="55">
        <v>57</v>
      </c>
      <c r="F1137" s="112"/>
      <c r="G1137" s="55">
        <v>56.23</v>
      </c>
      <c r="H1137" s="113"/>
      <c r="I1137" s="338">
        <f t="shared" si="18"/>
        <v>98.64912280701755</v>
      </c>
    </row>
    <row r="1138" spans="1:9" ht="25.5" customHeight="1">
      <c r="A1138" s="87"/>
      <c r="B1138" s="31">
        <v>85403</v>
      </c>
      <c r="C1138" s="32"/>
      <c r="D1138" s="33" t="s">
        <v>326</v>
      </c>
      <c r="E1138" s="52">
        <f>SUM(E1139:E1159)</f>
        <v>3977897</v>
      </c>
      <c r="F1138" s="112"/>
      <c r="G1138" s="52">
        <f>SUM(G1139:G1159)</f>
        <v>3961948.09</v>
      </c>
      <c r="H1138" s="113"/>
      <c r="I1138" s="338">
        <f aca="true" t="shared" si="19" ref="I1138:I1198">G1138/E1138*100</f>
        <v>99.59906176555099</v>
      </c>
    </row>
    <row r="1139" spans="1:9" ht="30.75" customHeight="1">
      <c r="A1139" s="87"/>
      <c r="B1139" s="38"/>
      <c r="C1139" s="6">
        <v>2540</v>
      </c>
      <c r="D1139" s="2" t="s">
        <v>725</v>
      </c>
      <c r="E1139" s="120">
        <v>1328920</v>
      </c>
      <c r="F1139" s="112"/>
      <c r="G1139" s="120">
        <v>1328920</v>
      </c>
      <c r="H1139" s="113"/>
      <c r="I1139" s="338">
        <f t="shared" si="19"/>
        <v>100</v>
      </c>
    </row>
    <row r="1140" spans="1:9" ht="25.5" customHeight="1">
      <c r="A1140" s="87"/>
      <c r="B1140" s="15"/>
      <c r="C1140" s="6">
        <v>3020</v>
      </c>
      <c r="D1140" s="2" t="s">
        <v>721</v>
      </c>
      <c r="E1140" s="55">
        <v>4940</v>
      </c>
      <c r="F1140" s="112"/>
      <c r="G1140" s="55">
        <v>4939.99</v>
      </c>
      <c r="H1140" s="113"/>
      <c r="I1140" s="338">
        <f t="shared" si="19"/>
        <v>99.9997975708502</v>
      </c>
    </row>
    <row r="1141" spans="1:9" ht="15" customHeight="1">
      <c r="A1141" s="87"/>
      <c r="B1141" s="15"/>
      <c r="C1141" s="6">
        <v>3110</v>
      </c>
      <c r="D1141" s="2" t="s">
        <v>737</v>
      </c>
      <c r="E1141" s="55">
        <v>1300</v>
      </c>
      <c r="F1141" s="112"/>
      <c r="G1141" s="55">
        <v>1300</v>
      </c>
      <c r="H1141" s="113"/>
      <c r="I1141" s="338">
        <f t="shared" si="19"/>
        <v>100</v>
      </c>
    </row>
    <row r="1142" spans="1:9" ht="18" customHeight="1">
      <c r="A1142" s="87"/>
      <c r="B1142" s="15"/>
      <c r="C1142" s="6">
        <v>4010</v>
      </c>
      <c r="D1142" s="2" t="s">
        <v>572</v>
      </c>
      <c r="E1142" s="55">
        <v>1798443</v>
      </c>
      <c r="F1142" s="112"/>
      <c r="G1142" s="55">
        <v>1798443</v>
      </c>
      <c r="H1142" s="113"/>
      <c r="I1142" s="338">
        <f t="shared" si="19"/>
        <v>100</v>
      </c>
    </row>
    <row r="1143" spans="1:9" ht="15" customHeight="1">
      <c r="A1143" s="87"/>
      <c r="B1143" s="15"/>
      <c r="C1143" s="6">
        <v>4040</v>
      </c>
      <c r="D1143" s="2" t="s">
        <v>575</v>
      </c>
      <c r="E1143" s="55">
        <v>146557</v>
      </c>
      <c r="F1143" s="112"/>
      <c r="G1143" s="55">
        <v>146556.05</v>
      </c>
      <c r="H1143" s="113"/>
      <c r="I1143" s="338">
        <f t="shared" si="19"/>
        <v>99.99935178804151</v>
      </c>
    </row>
    <row r="1144" spans="1:9" ht="15" customHeight="1">
      <c r="A1144" s="87"/>
      <c r="B1144" s="15"/>
      <c r="C1144" s="6">
        <v>4110</v>
      </c>
      <c r="D1144" s="2" t="s">
        <v>576</v>
      </c>
      <c r="E1144" s="55">
        <v>306427</v>
      </c>
      <c r="F1144" s="112"/>
      <c r="G1144" s="55">
        <v>306427</v>
      </c>
      <c r="H1144" s="113"/>
      <c r="I1144" s="338">
        <f t="shared" si="19"/>
        <v>100</v>
      </c>
    </row>
    <row r="1145" spans="1:9" ht="15" customHeight="1">
      <c r="A1145" s="87"/>
      <c r="B1145" s="15"/>
      <c r="C1145" s="6">
        <v>4120</v>
      </c>
      <c r="D1145" s="2" t="s">
        <v>577</v>
      </c>
      <c r="E1145" s="55">
        <v>32912</v>
      </c>
      <c r="F1145" s="112"/>
      <c r="G1145" s="55">
        <v>32912</v>
      </c>
      <c r="H1145" s="113"/>
      <c r="I1145" s="338">
        <f t="shared" si="19"/>
        <v>100</v>
      </c>
    </row>
    <row r="1146" spans="1:9" ht="15" customHeight="1">
      <c r="A1146" s="87"/>
      <c r="B1146" s="15"/>
      <c r="C1146" s="6">
        <v>4170</v>
      </c>
      <c r="D1146" s="2" t="s">
        <v>583</v>
      </c>
      <c r="E1146" s="55">
        <v>2460</v>
      </c>
      <c r="F1146" s="112"/>
      <c r="G1146" s="55">
        <v>2460</v>
      </c>
      <c r="H1146" s="113"/>
      <c r="I1146" s="338">
        <f t="shared" si="19"/>
        <v>100</v>
      </c>
    </row>
    <row r="1147" spans="1:9" ht="15" customHeight="1">
      <c r="A1147" s="87"/>
      <c r="B1147" s="15"/>
      <c r="C1147" s="6">
        <v>4210</v>
      </c>
      <c r="D1147" s="2" t="s">
        <v>533</v>
      </c>
      <c r="E1147" s="55">
        <v>27380</v>
      </c>
      <c r="F1147" s="112"/>
      <c r="G1147" s="55">
        <v>27118.76</v>
      </c>
      <c r="H1147" s="113"/>
      <c r="I1147" s="338">
        <f t="shared" si="19"/>
        <v>99.04587289992695</v>
      </c>
    </row>
    <row r="1148" spans="1:9" ht="15" customHeight="1">
      <c r="A1148" s="87"/>
      <c r="B1148" s="15"/>
      <c r="C1148" s="6">
        <v>4220</v>
      </c>
      <c r="D1148" s="2" t="s">
        <v>675</v>
      </c>
      <c r="E1148" s="55">
        <v>65707</v>
      </c>
      <c r="F1148" s="112"/>
      <c r="G1148" s="55">
        <v>65585.44</v>
      </c>
      <c r="H1148" s="113"/>
      <c r="I1148" s="338">
        <f t="shared" si="19"/>
        <v>99.81499688008888</v>
      </c>
    </row>
    <row r="1149" spans="1:9" ht="27.75" customHeight="1">
      <c r="A1149" s="87"/>
      <c r="B1149" s="15"/>
      <c r="C1149" s="6">
        <v>4240</v>
      </c>
      <c r="D1149" s="2" t="s">
        <v>759</v>
      </c>
      <c r="E1149" s="55">
        <v>410</v>
      </c>
      <c r="F1149" s="112"/>
      <c r="G1149" s="55">
        <v>410</v>
      </c>
      <c r="H1149" s="113"/>
      <c r="I1149" s="338">
        <f t="shared" si="19"/>
        <v>100</v>
      </c>
    </row>
    <row r="1150" spans="1:9" ht="15" customHeight="1">
      <c r="A1150" s="87"/>
      <c r="B1150" s="15"/>
      <c r="C1150" s="6">
        <v>4260</v>
      </c>
      <c r="D1150" s="2" t="s">
        <v>591</v>
      </c>
      <c r="E1150" s="55">
        <v>79426</v>
      </c>
      <c r="F1150" s="112"/>
      <c r="G1150" s="55">
        <v>64789.59</v>
      </c>
      <c r="H1150" s="113"/>
      <c r="I1150" s="338">
        <f t="shared" si="19"/>
        <v>81.57226852667891</v>
      </c>
    </row>
    <row r="1151" spans="1:9" ht="15" customHeight="1">
      <c r="A1151" s="87"/>
      <c r="B1151" s="15"/>
      <c r="C1151" s="6">
        <v>4270</v>
      </c>
      <c r="D1151" s="2" t="s">
        <v>534</v>
      </c>
      <c r="E1151" s="55">
        <v>50380</v>
      </c>
      <c r="F1151" s="112"/>
      <c r="G1151" s="55">
        <v>50380</v>
      </c>
      <c r="H1151" s="113"/>
      <c r="I1151" s="338">
        <f t="shared" si="19"/>
        <v>100</v>
      </c>
    </row>
    <row r="1152" spans="1:9" ht="15" customHeight="1">
      <c r="A1152" s="87"/>
      <c r="B1152" s="15"/>
      <c r="C1152" s="6">
        <v>4280</v>
      </c>
      <c r="D1152" s="2" t="s">
        <v>723</v>
      </c>
      <c r="E1152" s="55">
        <v>3515</v>
      </c>
      <c r="F1152" s="112"/>
      <c r="G1152" s="55">
        <v>3375</v>
      </c>
      <c r="H1152" s="113"/>
      <c r="I1152" s="338">
        <f t="shared" si="19"/>
        <v>96.01706970128022</v>
      </c>
    </row>
    <row r="1153" spans="1:9" ht="15" customHeight="1">
      <c r="A1153" s="87"/>
      <c r="B1153" s="15"/>
      <c r="C1153" s="6">
        <v>4300</v>
      </c>
      <c r="D1153" s="2" t="s">
        <v>530</v>
      </c>
      <c r="E1153" s="55">
        <v>32405</v>
      </c>
      <c r="F1153" s="112"/>
      <c r="G1153" s="55">
        <v>32397.56</v>
      </c>
      <c r="H1153" s="113"/>
      <c r="I1153" s="338">
        <f t="shared" si="19"/>
        <v>99.97704058015738</v>
      </c>
    </row>
    <row r="1154" spans="1:9" ht="15" customHeight="1">
      <c r="A1154" s="87"/>
      <c r="B1154" s="15"/>
      <c r="C1154" s="6">
        <v>4350</v>
      </c>
      <c r="D1154" s="2" t="s">
        <v>586</v>
      </c>
      <c r="E1154" s="55">
        <v>300</v>
      </c>
      <c r="F1154" s="112"/>
      <c r="G1154" s="55">
        <v>297.72</v>
      </c>
      <c r="H1154" s="113"/>
      <c r="I1154" s="338">
        <f t="shared" si="19"/>
        <v>99.24000000000001</v>
      </c>
    </row>
    <row r="1155" spans="1:9" ht="40.5" customHeight="1">
      <c r="A1155" s="87"/>
      <c r="B1155" s="15"/>
      <c r="C1155" s="6">
        <v>4370</v>
      </c>
      <c r="D1155" s="2" t="s">
        <v>767</v>
      </c>
      <c r="E1155" s="55">
        <v>2210</v>
      </c>
      <c r="F1155" s="112"/>
      <c r="G1155" s="55">
        <v>2114.63</v>
      </c>
      <c r="H1155" s="113"/>
      <c r="I1155" s="338">
        <f t="shared" si="19"/>
        <v>95.68461538461538</v>
      </c>
    </row>
    <row r="1156" spans="1:9" ht="15" customHeight="1">
      <c r="A1156" s="87"/>
      <c r="B1156" s="15"/>
      <c r="C1156" s="6">
        <v>4430</v>
      </c>
      <c r="D1156" s="2" t="s">
        <v>288</v>
      </c>
      <c r="E1156" s="55">
        <v>6090</v>
      </c>
      <c r="F1156" s="112"/>
      <c r="G1156" s="55">
        <v>5406.6</v>
      </c>
      <c r="H1156" s="113"/>
      <c r="I1156" s="338">
        <f t="shared" si="19"/>
        <v>88.77832512315271</v>
      </c>
    </row>
    <row r="1157" spans="1:9" ht="24.75" customHeight="1">
      <c r="A1157" s="87"/>
      <c r="B1157" s="15"/>
      <c r="C1157" s="6">
        <v>4440</v>
      </c>
      <c r="D1157" s="2" t="s">
        <v>578</v>
      </c>
      <c r="E1157" s="55">
        <v>86575</v>
      </c>
      <c r="F1157" s="112"/>
      <c r="G1157" s="55">
        <v>86575</v>
      </c>
      <c r="H1157" s="113"/>
      <c r="I1157" s="338">
        <f t="shared" si="19"/>
        <v>100</v>
      </c>
    </row>
    <row r="1158" spans="1:9" ht="19.5" customHeight="1">
      <c r="A1158" s="87"/>
      <c r="B1158" s="15"/>
      <c r="C1158" s="6">
        <v>4480</v>
      </c>
      <c r="D1158" s="2" t="s">
        <v>306</v>
      </c>
      <c r="E1158" s="55">
        <v>120</v>
      </c>
      <c r="F1158" s="112"/>
      <c r="G1158" s="55">
        <v>119.75</v>
      </c>
      <c r="H1158" s="113"/>
      <c r="I1158" s="338">
        <f t="shared" si="19"/>
        <v>99.79166666666667</v>
      </c>
    </row>
    <row r="1159" spans="1:9" ht="28.5" customHeight="1">
      <c r="A1159" s="87"/>
      <c r="B1159" s="15"/>
      <c r="C1159" s="6">
        <v>4700</v>
      </c>
      <c r="D1159" s="2" t="s">
        <v>93</v>
      </c>
      <c r="E1159" s="55">
        <v>1420</v>
      </c>
      <c r="F1159" s="112"/>
      <c r="G1159" s="55">
        <v>1420</v>
      </c>
      <c r="H1159" s="113"/>
      <c r="I1159" s="338">
        <f t="shared" si="19"/>
        <v>100</v>
      </c>
    </row>
    <row r="1160" spans="1:9" ht="33.75" customHeight="1">
      <c r="A1160" s="87"/>
      <c r="B1160" s="31">
        <v>85406</v>
      </c>
      <c r="C1160" s="32"/>
      <c r="D1160" s="33" t="s">
        <v>697</v>
      </c>
      <c r="E1160" s="52">
        <f>SUM(E1161:E1180)</f>
        <v>1881949</v>
      </c>
      <c r="F1160" s="112"/>
      <c r="G1160" s="52">
        <f>SUM(G1161:G1180)</f>
        <v>1876530.1299999994</v>
      </c>
      <c r="H1160" s="113"/>
      <c r="I1160" s="338">
        <f t="shared" si="19"/>
        <v>99.71206074128467</v>
      </c>
    </row>
    <row r="1161" spans="1:9" ht="24.75" customHeight="1">
      <c r="A1161" s="87"/>
      <c r="B1161" s="15"/>
      <c r="C1161" s="6">
        <v>3020</v>
      </c>
      <c r="D1161" s="2" t="s">
        <v>721</v>
      </c>
      <c r="E1161" s="120">
        <v>5556</v>
      </c>
      <c r="F1161" s="112"/>
      <c r="G1161" s="120">
        <v>5468.23</v>
      </c>
      <c r="H1161" s="113"/>
      <c r="I1161" s="338">
        <f t="shared" si="19"/>
        <v>98.4202663786897</v>
      </c>
    </row>
    <row r="1162" spans="1:9" ht="20.25" customHeight="1">
      <c r="A1162" s="87"/>
      <c r="B1162" s="15"/>
      <c r="C1162" s="6">
        <v>4010</v>
      </c>
      <c r="D1162" s="2" t="s">
        <v>572</v>
      </c>
      <c r="E1162" s="55">
        <v>1388346</v>
      </c>
      <c r="F1162" s="112"/>
      <c r="G1162" s="55">
        <v>1387760.46</v>
      </c>
      <c r="H1162" s="113"/>
      <c r="I1162" s="338">
        <f t="shared" si="19"/>
        <v>99.95782463449314</v>
      </c>
    </row>
    <row r="1163" spans="1:9" ht="15" customHeight="1">
      <c r="A1163" s="87"/>
      <c r="B1163" s="15"/>
      <c r="C1163" s="6">
        <v>4040</v>
      </c>
      <c r="D1163" s="2" t="s">
        <v>575</v>
      </c>
      <c r="E1163" s="55">
        <v>95392</v>
      </c>
      <c r="F1163" s="112"/>
      <c r="G1163" s="55">
        <v>95390.1</v>
      </c>
      <c r="H1163" s="113"/>
      <c r="I1163" s="338">
        <f t="shared" si="19"/>
        <v>99.99800821871855</v>
      </c>
    </row>
    <row r="1164" spans="1:9" ht="15" customHeight="1">
      <c r="A1164" s="87"/>
      <c r="B1164" s="15"/>
      <c r="C1164" s="6">
        <v>4110</v>
      </c>
      <c r="D1164" s="2" t="s">
        <v>576</v>
      </c>
      <c r="E1164" s="55">
        <v>212010</v>
      </c>
      <c r="F1164" s="112"/>
      <c r="G1164" s="55">
        <v>212010</v>
      </c>
      <c r="H1164" s="113"/>
      <c r="I1164" s="338">
        <f t="shared" si="19"/>
        <v>100</v>
      </c>
    </row>
    <row r="1165" spans="1:9" ht="15" customHeight="1">
      <c r="A1165" s="87"/>
      <c r="B1165" s="15"/>
      <c r="C1165" s="6">
        <v>4120</v>
      </c>
      <c r="D1165" s="2" t="s">
        <v>577</v>
      </c>
      <c r="E1165" s="55">
        <v>18500</v>
      </c>
      <c r="F1165" s="112"/>
      <c r="G1165" s="55">
        <v>18079.24</v>
      </c>
      <c r="H1165" s="113"/>
      <c r="I1165" s="338">
        <f t="shared" si="19"/>
        <v>97.72562162162163</v>
      </c>
    </row>
    <row r="1166" spans="1:9" ht="27" customHeight="1">
      <c r="A1166" s="87"/>
      <c r="B1166" s="15"/>
      <c r="C1166" s="6">
        <v>4140</v>
      </c>
      <c r="D1166" s="2" t="s">
        <v>758</v>
      </c>
      <c r="E1166" s="55">
        <v>8575</v>
      </c>
      <c r="F1166" s="112"/>
      <c r="G1166" s="55">
        <v>8575</v>
      </c>
      <c r="H1166" s="113"/>
      <c r="I1166" s="338">
        <f t="shared" si="19"/>
        <v>100</v>
      </c>
    </row>
    <row r="1167" spans="1:9" ht="15" customHeight="1">
      <c r="A1167" s="87"/>
      <c r="B1167" s="15"/>
      <c r="C1167" s="6">
        <v>4170</v>
      </c>
      <c r="D1167" s="2" t="s">
        <v>583</v>
      </c>
      <c r="E1167" s="55">
        <v>4250</v>
      </c>
      <c r="F1167" s="112"/>
      <c r="G1167" s="55">
        <v>4250</v>
      </c>
      <c r="H1167" s="113"/>
      <c r="I1167" s="338">
        <f t="shared" si="19"/>
        <v>100</v>
      </c>
    </row>
    <row r="1168" spans="1:9" ht="15" customHeight="1">
      <c r="A1168" s="87"/>
      <c r="B1168" s="15"/>
      <c r="C1168" s="6">
        <v>4210</v>
      </c>
      <c r="D1168" s="2" t="s">
        <v>533</v>
      </c>
      <c r="E1168" s="55">
        <v>21398</v>
      </c>
      <c r="F1168" s="112"/>
      <c r="G1168" s="55">
        <v>21382.65</v>
      </c>
      <c r="H1168" s="113"/>
      <c r="I1168" s="338">
        <f t="shared" si="19"/>
        <v>99.92826432376857</v>
      </c>
    </row>
    <row r="1169" spans="1:9" ht="27.75" customHeight="1">
      <c r="A1169" s="87"/>
      <c r="B1169" s="15"/>
      <c r="C1169" s="6">
        <v>4240</v>
      </c>
      <c r="D1169" s="2" t="s">
        <v>759</v>
      </c>
      <c r="E1169" s="55">
        <v>6090</v>
      </c>
      <c r="F1169" s="112"/>
      <c r="G1169" s="55">
        <v>6077.67</v>
      </c>
      <c r="H1169" s="113"/>
      <c r="I1169" s="338">
        <f t="shared" si="19"/>
        <v>99.79753694581281</v>
      </c>
    </row>
    <row r="1170" spans="1:9" ht="15" customHeight="1">
      <c r="A1170" s="87"/>
      <c r="B1170" s="15"/>
      <c r="C1170" s="6">
        <v>4260</v>
      </c>
      <c r="D1170" s="2" t="s">
        <v>591</v>
      </c>
      <c r="E1170" s="55">
        <v>21000</v>
      </c>
      <c r="F1170" s="112"/>
      <c r="G1170" s="55">
        <v>20061.13</v>
      </c>
      <c r="H1170" s="113"/>
      <c r="I1170" s="338">
        <f t="shared" si="19"/>
        <v>95.52919047619048</v>
      </c>
    </row>
    <row r="1171" spans="1:9" ht="15" customHeight="1">
      <c r="A1171" s="87"/>
      <c r="B1171" s="15"/>
      <c r="C1171" s="6">
        <v>4270</v>
      </c>
      <c r="D1171" s="2" t="s">
        <v>534</v>
      </c>
      <c r="E1171" s="55">
        <v>2250</v>
      </c>
      <c r="F1171" s="112"/>
      <c r="G1171" s="55">
        <v>621.15</v>
      </c>
      <c r="H1171" s="113"/>
      <c r="I1171" s="338">
        <f t="shared" si="19"/>
        <v>27.60666666666667</v>
      </c>
    </row>
    <row r="1172" spans="1:9" ht="15" customHeight="1">
      <c r="A1172" s="87"/>
      <c r="B1172" s="15"/>
      <c r="C1172" s="6">
        <v>4280</v>
      </c>
      <c r="D1172" s="2" t="s">
        <v>723</v>
      </c>
      <c r="E1172" s="55">
        <v>500</v>
      </c>
      <c r="F1172" s="112"/>
      <c r="G1172" s="55">
        <v>110</v>
      </c>
      <c r="H1172" s="113"/>
      <c r="I1172" s="338">
        <f t="shared" si="19"/>
        <v>22</v>
      </c>
    </row>
    <row r="1173" spans="1:9" ht="15" customHeight="1">
      <c r="A1173" s="87"/>
      <c r="B1173" s="15"/>
      <c r="C1173" s="6">
        <v>4300</v>
      </c>
      <c r="D1173" s="2" t="s">
        <v>530</v>
      </c>
      <c r="E1173" s="55">
        <v>18500</v>
      </c>
      <c r="F1173" s="112"/>
      <c r="G1173" s="55">
        <v>18201.88</v>
      </c>
      <c r="H1173" s="113"/>
      <c r="I1173" s="338">
        <f t="shared" si="19"/>
        <v>98.38854054054055</v>
      </c>
    </row>
    <row r="1174" spans="1:9" ht="15" customHeight="1">
      <c r="A1174" s="87"/>
      <c r="B1174" s="15"/>
      <c r="C1174" s="6">
        <v>4350</v>
      </c>
      <c r="D1174" s="2" t="s">
        <v>586</v>
      </c>
      <c r="E1174" s="55">
        <v>710</v>
      </c>
      <c r="F1174" s="112"/>
      <c r="G1174" s="55">
        <v>653.28</v>
      </c>
      <c r="H1174" s="113"/>
      <c r="I1174" s="338">
        <f t="shared" si="19"/>
        <v>92.01126760563379</v>
      </c>
    </row>
    <row r="1175" spans="1:9" ht="38.25" customHeight="1">
      <c r="A1175" s="87"/>
      <c r="B1175" s="15"/>
      <c r="C1175" s="6">
        <v>4370</v>
      </c>
      <c r="D1175" s="2" t="s">
        <v>767</v>
      </c>
      <c r="E1175" s="55">
        <v>6500</v>
      </c>
      <c r="F1175" s="112"/>
      <c r="G1175" s="55">
        <v>5880.64</v>
      </c>
      <c r="H1175" s="113"/>
      <c r="I1175" s="338">
        <f t="shared" si="19"/>
        <v>90.47138461538462</v>
      </c>
    </row>
    <row r="1176" spans="1:9" ht="26.25" customHeight="1">
      <c r="A1176" s="87"/>
      <c r="B1176" s="15"/>
      <c r="C1176" s="6">
        <v>4390</v>
      </c>
      <c r="D1176" s="40" t="s">
        <v>505</v>
      </c>
      <c r="E1176" s="55">
        <v>50</v>
      </c>
      <c r="F1176" s="112"/>
      <c r="G1176" s="55">
        <v>36.9</v>
      </c>
      <c r="H1176" s="113"/>
      <c r="I1176" s="338">
        <f t="shared" si="19"/>
        <v>73.8</v>
      </c>
    </row>
    <row r="1177" spans="1:9" ht="15" customHeight="1">
      <c r="A1177" s="87"/>
      <c r="B1177" s="15"/>
      <c r="C1177" s="6">
        <v>4410</v>
      </c>
      <c r="D1177" s="2" t="s">
        <v>580</v>
      </c>
      <c r="E1177" s="55">
        <v>1000</v>
      </c>
      <c r="F1177" s="112"/>
      <c r="G1177" s="55">
        <v>827.8</v>
      </c>
      <c r="H1177" s="113"/>
      <c r="I1177" s="338">
        <f t="shared" si="19"/>
        <v>82.78</v>
      </c>
    </row>
    <row r="1178" spans="1:9" ht="18.75" customHeight="1">
      <c r="A1178" s="87"/>
      <c r="B1178" s="15"/>
      <c r="C1178" s="6">
        <v>4430</v>
      </c>
      <c r="D1178" s="2" t="s">
        <v>288</v>
      </c>
      <c r="E1178" s="55">
        <v>650</v>
      </c>
      <c r="F1178" s="112"/>
      <c r="G1178" s="55">
        <v>642</v>
      </c>
      <c r="H1178" s="113"/>
      <c r="I1178" s="338">
        <f t="shared" si="19"/>
        <v>98.76923076923076</v>
      </c>
    </row>
    <row r="1179" spans="1:9" ht="25.5" customHeight="1">
      <c r="A1179" s="87"/>
      <c r="B1179" s="15"/>
      <c r="C1179" s="6">
        <v>4440</v>
      </c>
      <c r="D1179" s="2" t="s">
        <v>578</v>
      </c>
      <c r="E1179" s="55">
        <v>69652</v>
      </c>
      <c r="F1179" s="112"/>
      <c r="G1179" s="55">
        <v>69652</v>
      </c>
      <c r="H1179" s="113"/>
      <c r="I1179" s="338">
        <f t="shared" si="19"/>
        <v>100</v>
      </c>
    </row>
    <row r="1180" spans="1:9" ht="27.75" customHeight="1">
      <c r="A1180" s="87"/>
      <c r="B1180" s="15"/>
      <c r="C1180" s="6">
        <v>4700</v>
      </c>
      <c r="D1180" s="2" t="s">
        <v>93</v>
      </c>
      <c r="E1180" s="55">
        <v>1020</v>
      </c>
      <c r="F1180" s="112"/>
      <c r="G1180" s="55">
        <v>850</v>
      </c>
      <c r="H1180" s="113"/>
      <c r="I1180" s="338">
        <f t="shared" si="19"/>
        <v>83.33333333333334</v>
      </c>
    </row>
    <row r="1181" spans="1:9" ht="27.75" customHeight="1">
      <c r="A1181" s="87"/>
      <c r="B1181" s="31">
        <v>85407</v>
      </c>
      <c r="C1181" s="32"/>
      <c r="D1181" s="33" t="s">
        <v>443</v>
      </c>
      <c r="E1181" s="52">
        <f>SUM(E1182:E1202)</f>
        <v>2015120</v>
      </c>
      <c r="F1181" s="112"/>
      <c r="G1181" s="52">
        <f>SUM(G1182:G1202)</f>
        <v>1985621.6500000001</v>
      </c>
      <c r="H1181" s="113"/>
      <c r="I1181" s="338">
        <f t="shared" si="19"/>
        <v>98.5361492119576</v>
      </c>
    </row>
    <row r="1182" spans="1:9" ht="27" customHeight="1">
      <c r="A1182" s="87"/>
      <c r="B1182" s="15"/>
      <c r="C1182" s="6">
        <v>3020</v>
      </c>
      <c r="D1182" s="40" t="s">
        <v>721</v>
      </c>
      <c r="E1182" s="120">
        <v>357450</v>
      </c>
      <c r="F1182" s="112"/>
      <c r="G1182" s="120">
        <v>356870.7</v>
      </c>
      <c r="H1182" s="113"/>
      <c r="I1182" s="338">
        <f t="shared" si="19"/>
        <v>99.837935375577</v>
      </c>
    </row>
    <row r="1183" spans="1:9" ht="16.5" customHeight="1">
      <c r="A1183" s="87"/>
      <c r="B1183" s="15"/>
      <c r="C1183" s="6">
        <v>4010</v>
      </c>
      <c r="D1183" s="2" t="s">
        <v>572</v>
      </c>
      <c r="E1183" s="55">
        <v>1019586</v>
      </c>
      <c r="F1183" s="112"/>
      <c r="G1183" s="55">
        <v>1011379.37</v>
      </c>
      <c r="H1183" s="113"/>
      <c r="I1183" s="338">
        <f t="shared" si="19"/>
        <v>99.19510173737184</v>
      </c>
    </row>
    <row r="1184" spans="1:9" ht="15" customHeight="1">
      <c r="A1184" s="87"/>
      <c r="B1184" s="15"/>
      <c r="C1184" s="6">
        <v>4040</v>
      </c>
      <c r="D1184" s="2" t="s">
        <v>575</v>
      </c>
      <c r="E1184" s="55">
        <v>192167</v>
      </c>
      <c r="F1184" s="112"/>
      <c r="G1184" s="55">
        <v>189205.33</v>
      </c>
      <c r="H1184" s="113"/>
      <c r="I1184" s="338">
        <f t="shared" si="19"/>
        <v>98.45880406105105</v>
      </c>
    </row>
    <row r="1185" spans="1:9" ht="15" customHeight="1">
      <c r="A1185" s="87"/>
      <c r="B1185" s="15"/>
      <c r="C1185" s="6">
        <v>4110</v>
      </c>
      <c r="D1185" s="2" t="s">
        <v>576</v>
      </c>
      <c r="E1185" s="55">
        <v>205410</v>
      </c>
      <c r="F1185" s="112"/>
      <c r="G1185" s="55">
        <v>199762.17</v>
      </c>
      <c r="H1185" s="113"/>
      <c r="I1185" s="338">
        <f t="shared" si="19"/>
        <v>97.25046005549876</v>
      </c>
    </row>
    <row r="1186" spans="1:9" ht="15" customHeight="1">
      <c r="A1186" s="87"/>
      <c r="B1186" s="15"/>
      <c r="C1186" s="6">
        <v>4120</v>
      </c>
      <c r="D1186" s="2" t="s">
        <v>577</v>
      </c>
      <c r="E1186" s="55">
        <v>27868</v>
      </c>
      <c r="F1186" s="112"/>
      <c r="G1186" s="55">
        <v>26364.76</v>
      </c>
      <c r="H1186" s="113"/>
      <c r="I1186" s="338">
        <f t="shared" si="19"/>
        <v>94.60585617913017</v>
      </c>
    </row>
    <row r="1187" spans="1:9" ht="27" customHeight="1">
      <c r="A1187" s="87"/>
      <c r="B1187" s="15"/>
      <c r="C1187" s="6">
        <v>4140</v>
      </c>
      <c r="D1187" s="2" t="s">
        <v>758</v>
      </c>
      <c r="E1187" s="55">
        <v>17652</v>
      </c>
      <c r="F1187" s="112"/>
      <c r="G1187" s="55">
        <v>17627</v>
      </c>
      <c r="H1187" s="113"/>
      <c r="I1187" s="338">
        <f t="shared" si="19"/>
        <v>99.85837298889643</v>
      </c>
    </row>
    <row r="1188" spans="1:9" ht="15" customHeight="1">
      <c r="A1188" s="87"/>
      <c r="B1188" s="15"/>
      <c r="C1188" s="6">
        <v>4170</v>
      </c>
      <c r="D1188" s="2" t="s">
        <v>583</v>
      </c>
      <c r="E1188" s="55">
        <v>9985</v>
      </c>
      <c r="F1188" s="112"/>
      <c r="G1188" s="55">
        <v>9985</v>
      </c>
      <c r="H1188" s="113"/>
      <c r="I1188" s="338">
        <f t="shared" si="19"/>
        <v>100</v>
      </c>
    </row>
    <row r="1189" spans="1:9" ht="15" customHeight="1">
      <c r="A1189" s="87"/>
      <c r="B1189" s="15"/>
      <c r="C1189" s="6">
        <v>4210</v>
      </c>
      <c r="D1189" s="2" t="s">
        <v>533</v>
      </c>
      <c r="E1189" s="55">
        <v>32296</v>
      </c>
      <c r="F1189" s="112"/>
      <c r="G1189" s="55">
        <v>31001.96</v>
      </c>
      <c r="H1189" s="113"/>
      <c r="I1189" s="338">
        <f t="shared" si="19"/>
        <v>95.99318801089917</v>
      </c>
    </row>
    <row r="1190" spans="1:9" ht="25.5" customHeight="1">
      <c r="A1190" s="87"/>
      <c r="B1190" s="15"/>
      <c r="C1190" s="6">
        <v>4240</v>
      </c>
      <c r="D1190" s="2" t="s">
        <v>759</v>
      </c>
      <c r="E1190" s="55">
        <v>200</v>
      </c>
      <c r="F1190" s="112"/>
      <c r="G1190" s="55">
        <v>198.01</v>
      </c>
      <c r="H1190" s="113"/>
      <c r="I1190" s="338">
        <f t="shared" si="19"/>
        <v>99.005</v>
      </c>
    </row>
    <row r="1191" spans="1:9" ht="15" customHeight="1">
      <c r="A1191" s="87"/>
      <c r="B1191" s="15"/>
      <c r="C1191" s="6">
        <v>4260</v>
      </c>
      <c r="D1191" s="2" t="s">
        <v>591</v>
      </c>
      <c r="E1191" s="55">
        <v>23191</v>
      </c>
      <c r="F1191" s="112"/>
      <c r="G1191" s="55">
        <v>19445.31</v>
      </c>
      <c r="H1191" s="113"/>
      <c r="I1191" s="338">
        <f t="shared" si="19"/>
        <v>83.8485188219568</v>
      </c>
    </row>
    <row r="1192" spans="1:9" ht="15" customHeight="1">
      <c r="A1192" s="87"/>
      <c r="B1192" s="15"/>
      <c r="C1192" s="6">
        <v>4270</v>
      </c>
      <c r="D1192" s="2" t="s">
        <v>534</v>
      </c>
      <c r="E1192" s="55">
        <v>3245</v>
      </c>
      <c r="F1192" s="112"/>
      <c r="G1192" s="55">
        <v>2499.23</v>
      </c>
      <c r="H1192" s="113"/>
      <c r="I1192" s="338">
        <f t="shared" si="19"/>
        <v>77.01787365177196</v>
      </c>
    </row>
    <row r="1193" spans="1:9" ht="15" customHeight="1">
      <c r="A1193" s="87"/>
      <c r="B1193" s="15"/>
      <c r="C1193" s="6">
        <v>4280</v>
      </c>
      <c r="D1193" s="2" t="s">
        <v>723</v>
      </c>
      <c r="E1193" s="55">
        <v>2200</v>
      </c>
      <c r="F1193" s="112"/>
      <c r="G1193" s="55">
        <v>1374</v>
      </c>
      <c r="H1193" s="113"/>
      <c r="I1193" s="338">
        <f t="shared" si="19"/>
        <v>62.45454545454545</v>
      </c>
    </row>
    <row r="1194" spans="1:9" ht="15" customHeight="1">
      <c r="A1194" s="87"/>
      <c r="B1194" s="15"/>
      <c r="C1194" s="6">
        <v>4300</v>
      </c>
      <c r="D1194" s="2" t="s">
        <v>530</v>
      </c>
      <c r="E1194" s="55">
        <v>47277</v>
      </c>
      <c r="F1194" s="112"/>
      <c r="G1194" s="55">
        <v>44321.1</v>
      </c>
      <c r="H1194" s="113"/>
      <c r="I1194" s="338">
        <f t="shared" si="19"/>
        <v>93.74769972714004</v>
      </c>
    </row>
    <row r="1195" spans="1:9" ht="39" customHeight="1">
      <c r="A1195" s="87"/>
      <c r="B1195" s="15"/>
      <c r="C1195" s="6">
        <v>4370</v>
      </c>
      <c r="D1195" s="2" t="s">
        <v>767</v>
      </c>
      <c r="E1195" s="55">
        <v>3692</v>
      </c>
      <c r="F1195" s="112"/>
      <c r="G1195" s="55">
        <v>3104.47</v>
      </c>
      <c r="H1195" s="113"/>
      <c r="I1195" s="338">
        <f t="shared" si="19"/>
        <v>84.08640303358612</v>
      </c>
    </row>
    <row r="1196" spans="1:9" ht="30.75" customHeight="1">
      <c r="A1196" s="87"/>
      <c r="B1196" s="15"/>
      <c r="C1196" s="6">
        <v>4390</v>
      </c>
      <c r="D1196" s="40" t="s">
        <v>505</v>
      </c>
      <c r="E1196" s="55">
        <v>100</v>
      </c>
      <c r="F1196" s="112"/>
      <c r="G1196" s="55">
        <v>0</v>
      </c>
      <c r="H1196" s="113"/>
      <c r="I1196" s="338">
        <f t="shared" si="19"/>
        <v>0</v>
      </c>
    </row>
    <row r="1197" spans="1:9" ht="27" customHeight="1">
      <c r="A1197" s="87"/>
      <c r="B1197" s="15"/>
      <c r="C1197" s="6">
        <v>4400</v>
      </c>
      <c r="D1197" s="2" t="s">
        <v>728</v>
      </c>
      <c r="E1197" s="55">
        <v>2160</v>
      </c>
      <c r="F1197" s="112"/>
      <c r="G1197" s="55">
        <v>2160</v>
      </c>
      <c r="H1197" s="113"/>
      <c r="I1197" s="338">
        <f t="shared" si="19"/>
        <v>100</v>
      </c>
    </row>
    <row r="1198" spans="1:9" ht="15" customHeight="1">
      <c r="A1198" s="87"/>
      <c r="B1198" s="15"/>
      <c r="C1198" s="6">
        <v>4410</v>
      </c>
      <c r="D1198" s="2" t="s">
        <v>580</v>
      </c>
      <c r="E1198" s="55">
        <v>1000</v>
      </c>
      <c r="F1198" s="112"/>
      <c r="G1198" s="55">
        <v>957.8</v>
      </c>
      <c r="H1198" s="113"/>
      <c r="I1198" s="338">
        <f t="shared" si="19"/>
        <v>95.78</v>
      </c>
    </row>
    <row r="1199" spans="1:9" ht="15" customHeight="1">
      <c r="A1199" s="87"/>
      <c r="B1199" s="15"/>
      <c r="C1199" s="6">
        <v>4430</v>
      </c>
      <c r="D1199" s="2" t="s">
        <v>288</v>
      </c>
      <c r="E1199" s="55">
        <v>3972</v>
      </c>
      <c r="F1199" s="112"/>
      <c r="G1199" s="55">
        <v>3826.94</v>
      </c>
      <c r="H1199" s="113"/>
      <c r="I1199" s="338">
        <f aca="true" t="shared" si="20" ref="I1199:I1257">G1199/E1199*100</f>
        <v>96.34793554884189</v>
      </c>
    </row>
    <row r="1200" spans="1:9" ht="27.75" customHeight="1">
      <c r="A1200" s="87"/>
      <c r="B1200" s="15"/>
      <c r="C1200" s="6">
        <v>4440</v>
      </c>
      <c r="D1200" s="2" t="s">
        <v>578</v>
      </c>
      <c r="E1200" s="55">
        <v>64300</v>
      </c>
      <c r="F1200" s="112"/>
      <c r="G1200" s="55">
        <v>64299.5</v>
      </c>
      <c r="H1200" s="113"/>
      <c r="I1200" s="338">
        <f t="shared" si="20"/>
        <v>99.99922239502332</v>
      </c>
    </row>
    <row r="1201" spans="1:9" ht="21" customHeight="1">
      <c r="A1201" s="87"/>
      <c r="B1201" s="15"/>
      <c r="C1201" s="6">
        <v>4480</v>
      </c>
      <c r="D1201" s="2" t="s">
        <v>306</v>
      </c>
      <c r="E1201" s="55">
        <v>10</v>
      </c>
      <c r="F1201" s="112"/>
      <c r="G1201" s="55">
        <v>10</v>
      </c>
      <c r="H1201" s="113"/>
      <c r="I1201" s="338">
        <f t="shared" si="20"/>
        <v>100</v>
      </c>
    </row>
    <row r="1202" spans="1:9" ht="29.25" customHeight="1">
      <c r="A1202" s="87"/>
      <c r="B1202" s="15"/>
      <c r="C1202" s="6">
        <v>4700</v>
      </c>
      <c r="D1202" s="2" t="s">
        <v>93</v>
      </c>
      <c r="E1202" s="55">
        <v>1359</v>
      </c>
      <c r="F1202" s="112"/>
      <c r="G1202" s="55">
        <v>1229</v>
      </c>
      <c r="H1202" s="113"/>
      <c r="I1202" s="338">
        <f t="shared" si="20"/>
        <v>90.43414275202355</v>
      </c>
    </row>
    <row r="1203" spans="1:9" ht="23.25" customHeight="1">
      <c r="A1203" s="87"/>
      <c r="B1203" s="31">
        <v>85410</v>
      </c>
      <c r="C1203" s="32"/>
      <c r="D1203" s="33" t="s">
        <v>545</v>
      </c>
      <c r="E1203" s="52">
        <f>SUM(E1204:E1223)</f>
        <v>1834083</v>
      </c>
      <c r="F1203" s="112"/>
      <c r="G1203" s="52">
        <f>SUM(G1204:G1223)</f>
        <v>1824673.82</v>
      </c>
      <c r="H1203" s="113"/>
      <c r="I1203" s="338">
        <f t="shared" si="20"/>
        <v>99.48698177781485</v>
      </c>
    </row>
    <row r="1204" spans="1:9" ht="27" customHeight="1">
      <c r="A1204" s="87"/>
      <c r="B1204" s="15"/>
      <c r="C1204" s="6">
        <v>3020</v>
      </c>
      <c r="D1204" s="2" t="s">
        <v>721</v>
      </c>
      <c r="E1204" s="120">
        <v>4039</v>
      </c>
      <c r="F1204" s="112"/>
      <c r="G1204" s="120">
        <v>4038.14</v>
      </c>
      <c r="H1204" s="113"/>
      <c r="I1204" s="338">
        <f t="shared" si="20"/>
        <v>99.9787076008913</v>
      </c>
    </row>
    <row r="1205" spans="1:9" ht="20.25" customHeight="1">
      <c r="A1205" s="87"/>
      <c r="B1205" s="15"/>
      <c r="C1205" s="6">
        <v>4010</v>
      </c>
      <c r="D1205" s="2" t="s">
        <v>572</v>
      </c>
      <c r="E1205" s="55">
        <v>944189</v>
      </c>
      <c r="F1205" s="112"/>
      <c r="G1205" s="55">
        <v>944183.1</v>
      </c>
      <c r="H1205" s="113"/>
      <c r="I1205" s="338">
        <f t="shared" si="20"/>
        <v>99.99937512510736</v>
      </c>
    </row>
    <row r="1206" spans="1:9" ht="15" customHeight="1">
      <c r="A1206" s="87"/>
      <c r="B1206" s="15"/>
      <c r="C1206" s="6">
        <v>4040</v>
      </c>
      <c r="D1206" s="2" t="s">
        <v>575</v>
      </c>
      <c r="E1206" s="55">
        <v>72077</v>
      </c>
      <c r="F1206" s="112"/>
      <c r="G1206" s="55">
        <v>72076.49</v>
      </c>
      <c r="H1206" s="113"/>
      <c r="I1206" s="338">
        <f t="shared" si="20"/>
        <v>99.99929242338055</v>
      </c>
    </row>
    <row r="1207" spans="1:9" ht="15" customHeight="1">
      <c r="A1207" s="87"/>
      <c r="B1207" s="15"/>
      <c r="C1207" s="6">
        <v>4110</v>
      </c>
      <c r="D1207" s="2" t="s">
        <v>576</v>
      </c>
      <c r="E1207" s="55">
        <v>167577</v>
      </c>
      <c r="F1207" s="112"/>
      <c r="G1207" s="55">
        <v>167575.96</v>
      </c>
      <c r="H1207" s="113"/>
      <c r="I1207" s="338">
        <f t="shared" si="20"/>
        <v>99.99937938977305</v>
      </c>
    </row>
    <row r="1208" spans="1:9" ht="15" customHeight="1">
      <c r="A1208" s="87"/>
      <c r="B1208" s="15"/>
      <c r="C1208" s="6">
        <v>4120</v>
      </c>
      <c r="D1208" s="2" t="s">
        <v>577</v>
      </c>
      <c r="E1208" s="55">
        <v>21677</v>
      </c>
      <c r="F1208" s="112"/>
      <c r="G1208" s="55">
        <v>21647</v>
      </c>
      <c r="H1208" s="113"/>
      <c r="I1208" s="338">
        <f t="shared" si="20"/>
        <v>99.86160446556258</v>
      </c>
    </row>
    <row r="1209" spans="1:9" ht="27.75" customHeight="1">
      <c r="A1209" s="87"/>
      <c r="B1209" s="15"/>
      <c r="C1209" s="6">
        <v>4140</v>
      </c>
      <c r="D1209" s="2" t="s">
        <v>758</v>
      </c>
      <c r="E1209" s="55">
        <v>9700</v>
      </c>
      <c r="F1209" s="112"/>
      <c r="G1209" s="55">
        <v>9623</v>
      </c>
      <c r="H1209" s="113"/>
      <c r="I1209" s="338">
        <f t="shared" si="20"/>
        <v>99.20618556701031</v>
      </c>
    </row>
    <row r="1210" spans="1:9" ht="15" customHeight="1">
      <c r="A1210" s="87"/>
      <c r="B1210" s="15"/>
      <c r="C1210" s="6">
        <v>4170</v>
      </c>
      <c r="D1210" s="2" t="s">
        <v>583</v>
      </c>
      <c r="E1210" s="55">
        <v>6000</v>
      </c>
      <c r="F1210" s="112"/>
      <c r="G1210" s="55">
        <v>6000</v>
      </c>
      <c r="H1210" s="113"/>
      <c r="I1210" s="338">
        <f t="shared" si="20"/>
        <v>100</v>
      </c>
    </row>
    <row r="1211" spans="1:9" ht="15" customHeight="1">
      <c r="A1211" s="87"/>
      <c r="B1211" s="15"/>
      <c r="C1211" s="6">
        <v>4210</v>
      </c>
      <c r="D1211" s="2" t="s">
        <v>533</v>
      </c>
      <c r="E1211" s="55">
        <v>42000</v>
      </c>
      <c r="F1211" s="112"/>
      <c r="G1211" s="55">
        <v>42000</v>
      </c>
      <c r="H1211" s="113"/>
      <c r="I1211" s="338">
        <f t="shared" si="20"/>
        <v>100</v>
      </c>
    </row>
    <row r="1212" spans="1:9" ht="15" customHeight="1">
      <c r="A1212" s="87"/>
      <c r="B1212" s="15"/>
      <c r="C1212" s="6">
        <v>4220</v>
      </c>
      <c r="D1212" s="2" t="s">
        <v>675</v>
      </c>
      <c r="E1212" s="55">
        <v>285000</v>
      </c>
      <c r="F1212" s="112"/>
      <c r="G1212" s="55">
        <v>284971.75</v>
      </c>
      <c r="H1212" s="113"/>
      <c r="I1212" s="338">
        <f t="shared" si="20"/>
        <v>99.99008771929824</v>
      </c>
    </row>
    <row r="1213" spans="1:9" ht="15" customHeight="1">
      <c r="A1213" s="87"/>
      <c r="B1213" s="15"/>
      <c r="C1213" s="6">
        <v>4260</v>
      </c>
      <c r="D1213" s="2" t="s">
        <v>591</v>
      </c>
      <c r="E1213" s="55">
        <v>125000</v>
      </c>
      <c r="F1213" s="112"/>
      <c r="G1213" s="55">
        <v>115821.84</v>
      </c>
      <c r="H1213" s="113"/>
      <c r="I1213" s="338">
        <f t="shared" si="20"/>
        <v>92.657472</v>
      </c>
    </row>
    <row r="1214" spans="1:9" ht="15" customHeight="1">
      <c r="A1214" s="87"/>
      <c r="B1214" s="15"/>
      <c r="C1214" s="6">
        <v>4270</v>
      </c>
      <c r="D1214" s="2" t="s">
        <v>534</v>
      </c>
      <c r="E1214" s="55">
        <v>32257</v>
      </c>
      <c r="F1214" s="112"/>
      <c r="G1214" s="55">
        <v>32257</v>
      </c>
      <c r="H1214" s="113"/>
      <c r="I1214" s="338">
        <f t="shared" si="20"/>
        <v>100</v>
      </c>
    </row>
    <row r="1215" spans="1:9" ht="15" customHeight="1">
      <c r="A1215" s="87"/>
      <c r="B1215" s="15"/>
      <c r="C1215" s="6">
        <v>4280</v>
      </c>
      <c r="D1215" s="2" t="s">
        <v>723</v>
      </c>
      <c r="E1215" s="55">
        <v>1798</v>
      </c>
      <c r="F1215" s="112"/>
      <c r="G1215" s="55">
        <v>1798</v>
      </c>
      <c r="H1215" s="113"/>
      <c r="I1215" s="338">
        <f t="shared" si="20"/>
        <v>100</v>
      </c>
    </row>
    <row r="1216" spans="1:9" ht="15" customHeight="1">
      <c r="A1216" s="87"/>
      <c r="B1216" s="15"/>
      <c r="C1216" s="6">
        <v>4300</v>
      </c>
      <c r="D1216" s="2" t="s">
        <v>530</v>
      </c>
      <c r="E1216" s="55">
        <v>66110</v>
      </c>
      <c r="F1216" s="112"/>
      <c r="G1216" s="55">
        <v>66110</v>
      </c>
      <c r="H1216" s="113"/>
      <c r="I1216" s="338">
        <f t="shared" si="20"/>
        <v>100</v>
      </c>
    </row>
    <row r="1217" spans="1:9" ht="15" customHeight="1">
      <c r="A1217" s="87"/>
      <c r="B1217" s="15"/>
      <c r="C1217" s="6">
        <v>4350</v>
      </c>
      <c r="D1217" s="2" t="s">
        <v>586</v>
      </c>
      <c r="E1217" s="55">
        <v>1193</v>
      </c>
      <c r="F1217" s="112"/>
      <c r="G1217" s="55">
        <v>1193</v>
      </c>
      <c r="H1217" s="113"/>
      <c r="I1217" s="338">
        <f t="shared" si="20"/>
        <v>100</v>
      </c>
    </row>
    <row r="1218" spans="1:9" ht="40.5" customHeight="1">
      <c r="A1218" s="87"/>
      <c r="B1218" s="15"/>
      <c r="C1218" s="6">
        <v>4360</v>
      </c>
      <c r="D1218" s="2" t="s">
        <v>768</v>
      </c>
      <c r="E1218" s="55">
        <v>575</v>
      </c>
      <c r="F1218" s="112"/>
      <c r="G1218" s="55">
        <v>527.51</v>
      </c>
      <c r="H1218" s="113"/>
      <c r="I1218" s="338">
        <f t="shared" si="20"/>
        <v>91.74086956521738</v>
      </c>
    </row>
    <row r="1219" spans="1:9" ht="40.5" customHeight="1">
      <c r="A1219" s="87"/>
      <c r="B1219" s="15"/>
      <c r="C1219" s="6">
        <v>4370</v>
      </c>
      <c r="D1219" s="2" t="s">
        <v>767</v>
      </c>
      <c r="E1219" s="55">
        <v>1351</v>
      </c>
      <c r="F1219" s="112"/>
      <c r="G1219" s="55">
        <v>1311.03</v>
      </c>
      <c r="H1219" s="113"/>
      <c r="I1219" s="338">
        <f t="shared" si="20"/>
        <v>97.04145077720206</v>
      </c>
    </row>
    <row r="1220" spans="1:9" ht="15" customHeight="1">
      <c r="A1220" s="87"/>
      <c r="B1220" s="15"/>
      <c r="C1220" s="6">
        <v>4430</v>
      </c>
      <c r="D1220" s="2" t="s">
        <v>288</v>
      </c>
      <c r="E1220" s="55">
        <v>3047</v>
      </c>
      <c r="F1220" s="112"/>
      <c r="G1220" s="55">
        <v>3047</v>
      </c>
      <c r="H1220" s="113"/>
      <c r="I1220" s="338">
        <f t="shared" si="20"/>
        <v>100</v>
      </c>
    </row>
    <row r="1221" spans="1:9" ht="27.75" customHeight="1">
      <c r="A1221" s="87"/>
      <c r="B1221" s="15"/>
      <c r="C1221" s="6">
        <v>4440</v>
      </c>
      <c r="D1221" s="2" t="s">
        <v>578</v>
      </c>
      <c r="E1221" s="55">
        <v>47780</v>
      </c>
      <c r="F1221" s="112"/>
      <c r="G1221" s="55">
        <v>47780</v>
      </c>
      <c r="H1221" s="113"/>
      <c r="I1221" s="338">
        <f t="shared" si="20"/>
        <v>100</v>
      </c>
    </row>
    <row r="1222" spans="1:9" ht="19.5" customHeight="1">
      <c r="A1222" s="87"/>
      <c r="B1222" s="15"/>
      <c r="C1222" s="6">
        <v>4480</v>
      </c>
      <c r="D1222" s="2" t="s">
        <v>306</v>
      </c>
      <c r="E1222" s="55">
        <v>1833</v>
      </c>
      <c r="F1222" s="112"/>
      <c r="G1222" s="55">
        <v>1833</v>
      </c>
      <c r="H1222" s="113"/>
      <c r="I1222" s="338">
        <f t="shared" si="20"/>
        <v>100</v>
      </c>
    </row>
    <row r="1223" spans="1:9" ht="31.5" customHeight="1">
      <c r="A1223" s="87"/>
      <c r="B1223" s="15"/>
      <c r="C1223" s="6">
        <v>4700</v>
      </c>
      <c r="D1223" s="2" t="s">
        <v>93</v>
      </c>
      <c r="E1223" s="55">
        <v>880</v>
      </c>
      <c r="F1223" s="112"/>
      <c r="G1223" s="55">
        <v>880</v>
      </c>
      <c r="H1223" s="113"/>
      <c r="I1223" s="338">
        <f t="shared" si="20"/>
        <v>100</v>
      </c>
    </row>
    <row r="1224" spans="1:22" s="69" customFormat="1" ht="43.5" customHeight="1">
      <c r="A1224" s="107"/>
      <c r="B1224" s="32">
        <v>85412</v>
      </c>
      <c r="C1224" s="32"/>
      <c r="D1224" s="33" t="s">
        <v>459</v>
      </c>
      <c r="E1224" s="52">
        <f>E1225</f>
        <v>51000</v>
      </c>
      <c r="F1224" s="132"/>
      <c r="G1224" s="52">
        <f>G1225</f>
        <v>50961.31</v>
      </c>
      <c r="H1224" s="270"/>
      <c r="I1224" s="338">
        <f t="shared" si="20"/>
        <v>99.92413725490195</v>
      </c>
      <c r="J1224" s="447"/>
      <c r="K1224" s="352"/>
      <c r="L1224" s="352"/>
      <c r="M1224" s="352"/>
      <c r="N1224" s="352"/>
      <c r="O1224" s="465"/>
      <c r="P1224" s="352"/>
      <c r="Q1224" s="352"/>
      <c r="R1224" s="352"/>
      <c r="S1224" s="352"/>
      <c r="T1224" s="321"/>
      <c r="U1224" s="321"/>
      <c r="V1224" s="321"/>
    </row>
    <row r="1225" spans="1:9" ht="19.5" customHeight="1">
      <c r="A1225" s="87"/>
      <c r="B1225" s="15"/>
      <c r="C1225" s="6">
        <v>4300</v>
      </c>
      <c r="D1225" s="2" t="s">
        <v>530</v>
      </c>
      <c r="E1225" s="72">
        <v>51000</v>
      </c>
      <c r="F1225" s="112"/>
      <c r="G1225" s="72">
        <v>50961.31</v>
      </c>
      <c r="H1225" s="113"/>
      <c r="I1225" s="338">
        <f t="shared" si="20"/>
        <v>99.92413725490195</v>
      </c>
    </row>
    <row r="1226" spans="1:9" ht="23.25" customHeight="1">
      <c r="A1226" s="87"/>
      <c r="B1226" s="32">
        <v>85415</v>
      </c>
      <c r="C1226" s="32"/>
      <c r="D1226" s="33" t="s">
        <v>444</v>
      </c>
      <c r="E1226" s="52">
        <f>SUM(E1227:E1227)</f>
        <v>50000</v>
      </c>
      <c r="F1226" s="112"/>
      <c r="G1226" s="52">
        <f>SUM(G1227:G1227)</f>
        <v>49996</v>
      </c>
      <c r="H1226" s="113"/>
      <c r="I1226" s="338">
        <f t="shared" si="20"/>
        <v>99.992</v>
      </c>
    </row>
    <row r="1227" spans="1:9" ht="21" customHeight="1">
      <c r="A1227" s="87"/>
      <c r="B1227" s="15"/>
      <c r="C1227" s="6">
        <v>3240</v>
      </c>
      <c r="D1227" s="2" t="s">
        <v>445</v>
      </c>
      <c r="E1227" s="72">
        <v>50000</v>
      </c>
      <c r="F1227" s="112"/>
      <c r="G1227" s="72">
        <v>49996</v>
      </c>
      <c r="H1227" s="113"/>
      <c r="I1227" s="338">
        <f t="shared" si="20"/>
        <v>99.992</v>
      </c>
    </row>
    <row r="1228" spans="1:9" ht="20.25" customHeight="1">
      <c r="A1228" s="87"/>
      <c r="B1228" s="31">
        <v>85417</v>
      </c>
      <c r="C1228" s="32"/>
      <c r="D1228" s="33" t="s">
        <v>546</v>
      </c>
      <c r="E1228" s="52">
        <f>SUM(E1229:E1247)</f>
        <v>389421</v>
      </c>
      <c r="F1228" s="112"/>
      <c r="G1228" s="52">
        <f>SUM(G1229:G1247)</f>
        <v>388827.35000000003</v>
      </c>
      <c r="H1228" s="113"/>
      <c r="I1228" s="338">
        <f t="shared" si="20"/>
        <v>99.84755573017378</v>
      </c>
    </row>
    <row r="1229" spans="1:9" ht="27" customHeight="1">
      <c r="A1229" s="87"/>
      <c r="B1229" s="15"/>
      <c r="C1229" s="6">
        <v>3020</v>
      </c>
      <c r="D1229" s="2" t="s">
        <v>721</v>
      </c>
      <c r="E1229" s="120">
        <v>700</v>
      </c>
      <c r="F1229" s="112"/>
      <c r="G1229" s="120">
        <v>697.15</v>
      </c>
      <c r="H1229" s="113"/>
      <c r="I1229" s="338"/>
    </row>
    <row r="1230" spans="1:9" ht="16.5" customHeight="1">
      <c r="A1230" s="87"/>
      <c r="B1230" s="15"/>
      <c r="C1230" s="6">
        <v>4010</v>
      </c>
      <c r="D1230" s="2" t="s">
        <v>572</v>
      </c>
      <c r="E1230" s="55">
        <v>190170</v>
      </c>
      <c r="F1230" s="112"/>
      <c r="G1230" s="55">
        <v>190035.3</v>
      </c>
      <c r="H1230" s="113"/>
      <c r="I1230" s="338">
        <f t="shared" si="20"/>
        <v>99.92916863858652</v>
      </c>
    </row>
    <row r="1231" spans="1:9" ht="15" customHeight="1">
      <c r="A1231" s="87"/>
      <c r="B1231" s="15"/>
      <c r="C1231" s="6">
        <v>4040</v>
      </c>
      <c r="D1231" s="2" t="s">
        <v>575</v>
      </c>
      <c r="E1231" s="55">
        <v>14356</v>
      </c>
      <c r="F1231" s="112"/>
      <c r="G1231" s="55">
        <v>14345.97</v>
      </c>
      <c r="H1231" s="113"/>
      <c r="I1231" s="338">
        <f t="shared" si="20"/>
        <v>99.93013374198941</v>
      </c>
    </row>
    <row r="1232" spans="1:9" ht="15" customHeight="1">
      <c r="A1232" s="87"/>
      <c r="B1232" s="15"/>
      <c r="C1232" s="6">
        <v>4110</v>
      </c>
      <c r="D1232" s="2" t="s">
        <v>576</v>
      </c>
      <c r="E1232" s="55">
        <v>36200</v>
      </c>
      <c r="F1232" s="112"/>
      <c r="G1232" s="55">
        <v>36046.46</v>
      </c>
      <c r="H1232" s="113"/>
      <c r="I1232" s="338">
        <f t="shared" si="20"/>
        <v>99.57585635359115</v>
      </c>
    </row>
    <row r="1233" spans="1:9" ht="15" customHeight="1">
      <c r="A1233" s="87"/>
      <c r="B1233" s="15"/>
      <c r="C1233" s="6">
        <v>4120</v>
      </c>
      <c r="D1233" s="2" t="s">
        <v>577</v>
      </c>
      <c r="E1233" s="55">
        <v>2300</v>
      </c>
      <c r="F1233" s="112"/>
      <c r="G1233" s="55">
        <v>2226.38</v>
      </c>
      <c r="H1233" s="113"/>
      <c r="I1233" s="338">
        <f t="shared" si="20"/>
        <v>96.79913043478261</v>
      </c>
    </row>
    <row r="1234" spans="1:9" ht="15" customHeight="1">
      <c r="A1234" s="87"/>
      <c r="B1234" s="15"/>
      <c r="C1234" s="6">
        <v>4170</v>
      </c>
      <c r="D1234" s="2" t="s">
        <v>583</v>
      </c>
      <c r="E1234" s="55">
        <v>14065</v>
      </c>
      <c r="F1234" s="112"/>
      <c r="G1234" s="55">
        <v>14058.5</v>
      </c>
      <c r="H1234" s="113"/>
      <c r="I1234" s="338">
        <f t="shared" si="20"/>
        <v>99.95378599360114</v>
      </c>
    </row>
    <row r="1235" spans="1:9" ht="15" customHeight="1">
      <c r="A1235" s="87"/>
      <c r="B1235" s="15"/>
      <c r="C1235" s="6">
        <v>4210</v>
      </c>
      <c r="D1235" s="2" t="s">
        <v>533</v>
      </c>
      <c r="E1235" s="55">
        <v>17620</v>
      </c>
      <c r="F1235" s="112"/>
      <c r="G1235" s="55">
        <v>17618.61</v>
      </c>
      <c r="H1235" s="113"/>
      <c r="I1235" s="338">
        <f t="shared" si="20"/>
        <v>99.99211123723042</v>
      </c>
    </row>
    <row r="1236" spans="1:9" ht="15" customHeight="1">
      <c r="A1236" s="87"/>
      <c r="B1236" s="15"/>
      <c r="C1236" s="6">
        <v>4260</v>
      </c>
      <c r="D1236" s="2" t="s">
        <v>591</v>
      </c>
      <c r="E1236" s="55">
        <v>18879</v>
      </c>
      <c r="F1236" s="112"/>
      <c r="G1236" s="55">
        <v>18807.39</v>
      </c>
      <c r="H1236" s="113"/>
      <c r="I1236" s="338">
        <f t="shared" si="20"/>
        <v>99.62068965517241</v>
      </c>
    </row>
    <row r="1237" spans="1:9" ht="15" customHeight="1">
      <c r="A1237" s="87"/>
      <c r="B1237" s="15"/>
      <c r="C1237" s="6">
        <v>4270</v>
      </c>
      <c r="D1237" s="2" t="s">
        <v>534</v>
      </c>
      <c r="E1237" s="55">
        <v>20500</v>
      </c>
      <c r="F1237" s="112"/>
      <c r="G1237" s="55">
        <v>20445</v>
      </c>
      <c r="H1237" s="113"/>
      <c r="I1237" s="338">
        <f t="shared" si="20"/>
        <v>99.73170731707317</v>
      </c>
    </row>
    <row r="1238" spans="1:9" ht="15" customHeight="1">
      <c r="A1238" s="87"/>
      <c r="B1238" s="15"/>
      <c r="C1238" s="6">
        <v>4280</v>
      </c>
      <c r="D1238" s="2" t="s">
        <v>723</v>
      </c>
      <c r="E1238" s="55">
        <v>216</v>
      </c>
      <c r="F1238" s="112"/>
      <c r="G1238" s="55">
        <v>216</v>
      </c>
      <c r="H1238" s="113"/>
      <c r="I1238" s="338">
        <f t="shared" si="20"/>
        <v>100</v>
      </c>
    </row>
    <row r="1239" spans="1:9" ht="15" customHeight="1">
      <c r="A1239" s="87"/>
      <c r="B1239" s="15"/>
      <c r="C1239" s="6">
        <v>4300</v>
      </c>
      <c r="D1239" s="2" t="s">
        <v>530</v>
      </c>
      <c r="E1239" s="55">
        <v>48783</v>
      </c>
      <c r="F1239" s="112"/>
      <c r="G1239" s="55">
        <v>48733.57</v>
      </c>
      <c r="H1239" s="113"/>
      <c r="I1239" s="338">
        <f t="shared" si="20"/>
        <v>99.89867371830351</v>
      </c>
    </row>
    <row r="1240" spans="1:9" ht="15" customHeight="1">
      <c r="A1240" s="87"/>
      <c r="B1240" s="15"/>
      <c r="C1240" s="6">
        <v>4350</v>
      </c>
      <c r="D1240" s="2" t="s">
        <v>586</v>
      </c>
      <c r="E1240" s="55">
        <v>948</v>
      </c>
      <c r="F1240" s="112"/>
      <c r="G1240" s="55">
        <v>948</v>
      </c>
      <c r="H1240" s="113"/>
      <c r="I1240" s="338">
        <f t="shared" si="20"/>
        <v>100</v>
      </c>
    </row>
    <row r="1241" spans="1:9" ht="39.75" customHeight="1">
      <c r="A1241" s="87"/>
      <c r="B1241" s="15"/>
      <c r="C1241" s="6">
        <v>4360</v>
      </c>
      <c r="D1241" s="2" t="s">
        <v>768</v>
      </c>
      <c r="E1241" s="55">
        <v>810</v>
      </c>
      <c r="F1241" s="112"/>
      <c r="G1241" s="55">
        <v>807.45</v>
      </c>
      <c r="H1241" s="113"/>
      <c r="I1241" s="338">
        <f t="shared" si="20"/>
        <v>99.68518518518519</v>
      </c>
    </row>
    <row r="1242" spans="1:9" ht="42" customHeight="1">
      <c r="A1242" s="87"/>
      <c r="B1242" s="15"/>
      <c r="C1242" s="6">
        <v>4370</v>
      </c>
      <c r="D1242" s="2" t="s">
        <v>767</v>
      </c>
      <c r="E1242" s="55">
        <v>1227</v>
      </c>
      <c r="F1242" s="112"/>
      <c r="G1242" s="55">
        <v>1194.58</v>
      </c>
      <c r="H1242" s="113"/>
      <c r="I1242" s="338">
        <f t="shared" si="20"/>
        <v>97.35778321108394</v>
      </c>
    </row>
    <row r="1243" spans="1:9" ht="15" customHeight="1">
      <c r="A1243" s="87"/>
      <c r="B1243" s="15"/>
      <c r="C1243" s="6">
        <v>4410</v>
      </c>
      <c r="D1243" s="2" t="s">
        <v>580</v>
      </c>
      <c r="E1243" s="55">
        <v>2400</v>
      </c>
      <c r="F1243" s="112"/>
      <c r="G1243" s="55">
        <v>2399.99</v>
      </c>
      <c r="H1243" s="113"/>
      <c r="I1243" s="338">
        <f t="shared" si="20"/>
        <v>99.99958333333332</v>
      </c>
    </row>
    <row r="1244" spans="1:9" ht="15" customHeight="1">
      <c r="A1244" s="87"/>
      <c r="B1244" s="15"/>
      <c r="C1244" s="6">
        <v>4430</v>
      </c>
      <c r="D1244" s="2" t="s">
        <v>288</v>
      </c>
      <c r="E1244" s="55">
        <v>17</v>
      </c>
      <c r="F1244" s="112"/>
      <c r="G1244" s="55">
        <v>17</v>
      </c>
      <c r="H1244" s="113"/>
      <c r="I1244" s="338">
        <f t="shared" si="20"/>
        <v>100</v>
      </c>
    </row>
    <row r="1245" spans="1:9" ht="25.5" customHeight="1">
      <c r="A1245" s="87"/>
      <c r="B1245" s="15"/>
      <c r="C1245" s="6">
        <v>4440</v>
      </c>
      <c r="D1245" s="2" t="s">
        <v>578</v>
      </c>
      <c r="E1245" s="55">
        <v>6382</v>
      </c>
      <c r="F1245" s="112"/>
      <c r="G1245" s="55">
        <v>6382</v>
      </c>
      <c r="H1245" s="113"/>
      <c r="I1245" s="338">
        <f t="shared" si="20"/>
        <v>100</v>
      </c>
    </row>
    <row r="1246" spans="1:9" ht="25.5" customHeight="1">
      <c r="A1246" s="87"/>
      <c r="B1246" s="15"/>
      <c r="C1246" s="6">
        <v>4530</v>
      </c>
      <c r="D1246" s="2" t="s">
        <v>446</v>
      </c>
      <c r="E1246" s="55">
        <v>13103</v>
      </c>
      <c r="F1246" s="112"/>
      <c r="G1246" s="55">
        <v>13103</v>
      </c>
      <c r="H1246" s="113"/>
      <c r="I1246" s="338">
        <f t="shared" si="20"/>
        <v>100</v>
      </c>
    </row>
    <row r="1247" spans="1:9" ht="31.5" customHeight="1">
      <c r="A1247" s="87"/>
      <c r="B1247" s="15"/>
      <c r="C1247" s="6">
        <v>4700</v>
      </c>
      <c r="D1247" s="2" t="s">
        <v>93</v>
      </c>
      <c r="E1247" s="55">
        <v>745</v>
      </c>
      <c r="F1247" s="112"/>
      <c r="G1247" s="55">
        <v>745</v>
      </c>
      <c r="H1247" s="113"/>
      <c r="I1247" s="338">
        <f t="shared" si="20"/>
        <v>100</v>
      </c>
    </row>
    <row r="1248" spans="1:9" ht="24.75" customHeight="1">
      <c r="A1248" s="87"/>
      <c r="B1248" s="32">
        <v>85446</v>
      </c>
      <c r="C1248" s="32"/>
      <c r="D1248" s="33" t="s">
        <v>522</v>
      </c>
      <c r="E1248" s="52">
        <f>SUM(E1249:E1252)</f>
        <v>27346</v>
      </c>
      <c r="F1248" s="112"/>
      <c r="G1248" s="52">
        <f>SUM(G1249:G1252)</f>
        <v>20845.22</v>
      </c>
      <c r="H1248" s="113"/>
      <c r="I1248" s="338">
        <f t="shared" si="20"/>
        <v>76.22767497988737</v>
      </c>
    </row>
    <row r="1249" spans="1:9" ht="18.75" customHeight="1">
      <c r="A1249" s="90"/>
      <c r="B1249" s="12"/>
      <c r="C1249" s="13">
        <v>4210</v>
      </c>
      <c r="D1249" s="2" t="s">
        <v>533</v>
      </c>
      <c r="E1249" s="120">
        <v>196</v>
      </c>
      <c r="F1249" s="112"/>
      <c r="G1249" s="120">
        <v>195.3</v>
      </c>
      <c r="H1249" s="113"/>
      <c r="I1249" s="338">
        <f t="shared" si="20"/>
        <v>99.64285714285714</v>
      </c>
    </row>
    <row r="1250" spans="1:9" ht="18.75" customHeight="1">
      <c r="A1250" s="90"/>
      <c r="B1250" s="12"/>
      <c r="C1250" s="13">
        <v>4300</v>
      </c>
      <c r="D1250" s="2" t="s">
        <v>530</v>
      </c>
      <c r="E1250" s="120">
        <v>7501</v>
      </c>
      <c r="F1250" s="112"/>
      <c r="G1250" s="55">
        <v>6460</v>
      </c>
      <c r="H1250" s="113"/>
      <c r="I1250" s="338">
        <f t="shared" si="20"/>
        <v>86.12185041994401</v>
      </c>
    </row>
    <row r="1251" spans="1:9" ht="18.75" customHeight="1">
      <c r="A1251" s="90"/>
      <c r="B1251" s="12"/>
      <c r="C1251" s="13">
        <v>4410</v>
      </c>
      <c r="D1251" s="2" t="s">
        <v>580</v>
      </c>
      <c r="E1251" s="55">
        <v>663</v>
      </c>
      <c r="F1251" s="112"/>
      <c r="G1251" s="55">
        <v>639.92</v>
      </c>
      <c r="H1251" s="113"/>
      <c r="I1251" s="338">
        <f t="shared" si="20"/>
        <v>96.51885369532428</v>
      </c>
    </row>
    <row r="1252" spans="1:9" ht="31.5" customHeight="1">
      <c r="A1252" s="90"/>
      <c r="B1252" s="5"/>
      <c r="C1252" s="13">
        <v>4700</v>
      </c>
      <c r="D1252" s="2" t="s">
        <v>93</v>
      </c>
      <c r="E1252" s="118">
        <v>18986</v>
      </c>
      <c r="F1252" s="115"/>
      <c r="G1252" s="55">
        <v>13550</v>
      </c>
      <c r="H1252" s="230"/>
      <c r="I1252" s="338">
        <f t="shared" si="20"/>
        <v>71.36837669862004</v>
      </c>
    </row>
    <row r="1253" spans="1:9" ht="30.75" customHeight="1">
      <c r="A1253" s="78">
        <v>921</v>
      </c>
      <c r="B1253" s="88"/>
      <c r="C1253" s="16"/>
      <c r="D1253" s="44" t="s">
        <v>327</v>
      </c>
      <c r="E1253" s="45">
        <f>E1254</f>
        <v>2609000</v>
      </c>
      <c r="F1253" s="112"/>
      <c r="G1253" s="45">
        <f>G1254</f>
        <v>2609000</v>
      </c>
      <c r="H1253" s="113"/>
      <c r="I1253" s="339">
        <f t="shared" si="20"/>
        <v>100</v>
      </c>
    </row>
    <row r="1254" spans="1:9" ht="21.75" customHeight="1">
      <c r="A1254" s="138"/>
      <c r="B1254" s="138">
        <v>92116</v>
      </c>
      <c r="C1254" s="32"/>
      <c r="D1254" s="33" t="s">
        <v>524</v>
      </c>
      <c r="E1254" s="52">
        <f>E1255</f>
        <v>2609000</v>
      </c>
      <c r="F1254" s="130"/>
      <c r="G1254" s="52">
        <f>G1255</f>
        <v>2609000</v>
      </c>
      <c r="H1254" s="269"/>
      <c r="I1254" s="338">
        <f t="shared" si="20"/>
        <v>100</v>
      </c>
    </row>
    <row r="1255" spans="1:9" ht="33" customHeight="1">
      <c r="A1255" s="104"/>
      <c r="B1255" s="100"/>
      <c r="C1255" s="22">
        <v>2480</v>
      </c>
      <c r="D1255" s="39" t="s">
        <v>328</v>
      </c>
      <c r="E1255" s="120">
        <v>2609000</v>
      </c>
      <c r="F1255" s="112"/>
      <c r="G1255" s="120">
        <v>2609000</v>
      </c>
      <c r="H1255" s="113"/>
      <c r="I1255" s="338">
        <f t="shared" si="20"/>
        <v>100</v>
      </c>
    </row>
    <row r="1256" spans="1:18" ht="23.25" customHeight="1">
      <c r="A1256" s="64" t="s">
        <v>329</v>
      </c>
      <c r="B1256" s="103"/>
      <c r="C1256" s="8"/>
      <c r="D1256" s="34"/>
      <c r="E1256" s="95">
        <f>E638+E646+E655+E661+E686+E712+E750+E759+E1008+E1004+E1081+E1114+E1253</f>
        <v>145748956.32</v>
      </c>
      <c r="F1256" s="268">
        <f>F638+F646+F655+F661+F686+F712+F750+F759+F1008+F1004+F1081+F1114+F1253</f>
        <v>10552539</v>
      </c>
      <c r="G1256" s="95">
        <f>G638+G646+G655+G661+G686+G712+G750+G759+G1008+G1004+G1081+G1114+G1253</f>
        <v>143821443.69</v>
      </c>
      <c r="H1256" s="268">
        <f>H638+H646+H655+H661+H686+H712+H750+H759+H1008+H1004+H1081+H1114+H1253</f>
        <v>10532952.780000001</v>
      </c>
      <c r="I1256" s="339">
        <f t="shared" si="20"/>
        <v>98.67751188161648</v>
      </c>
      <c r="K1256" s="452"/>
      <c r="L1256" s="452"/>
      <c r="M1256" s="452"/>
      <c r="O1256" s="469"/>
      <c r="P1256" s="353"/>
      <c r="R1256" s="452"/>
    </row>
    <row r="1257" spans="1:12" ht="24.75" customHeight="1">
      <c r="A1257" s="186" t="s">
        <v>504</v>
      </c>
      <c r="B1257" s="103"/>
      <c r="C1257" s="8"/>
      <c r="D1257" s="34"/>
      <c r="E1257" s="45">
        <f>E636+E1256</f>
        <v>408749150.01</v>
      </c>
      <c r="F1257" s="339">
        <f>F636+F1256</f>
        <v>32543977</v>
      </c>
      <c r="G1257" s="45">
        <f>G636+G1256</f>
        <v>396396539.83000004</v>
      </c>
      <c r="H1257" s="339">
        <f>H636+H1256</f>
        <v>32243776.400000002</v>
      </c>
      <c r="I1257" s="339">
        <f t="shared" si="20"/>
        <v>96.97794841170979</v>
      </c>
      <c r="K1257" s="452"/>
      <c r="L1257" s="452"/>
    </row>
  </sheetData>
  <mergeCells count="2">
    <mergeCell ref="G8:H8"/>
    <mergeCell ref="E8:F8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38"/>
  <sheetViews>
    <sheetView zoomScale="120" zoomScaleNormal="120" workbookViewId="0" topLeftCell="A1">
      <selection activeCell="H16" sqref="H16"/>
    </sheetView>
  </sheetViews>
  <sheetFormatPr defaultColWidth="9.140625" defaultRowHeight="12.75"/>
  <cols>
    <col min="1" max="1" width="4.140625" style="188" customWidth="1"/>
    <col min="2" max="2" width="4.421875" style="30" customWidth="1"/>
    <col min="3" max="3" width="6.00390625" style="30" customWidth="1"/>
    <col min="4" max="4" width="5.00390625" style="30" customWidth="1"/>
    <col min="5" max="5" width="28.7109375" style="30" customWidth="1"/>
    <col min="6" max="6" width="12.00390625" style="1189" customWidth="1"/>
    <col min="7" max="7" width="12.57421875" style="1189" customWidth="1"/>
    <col min="8" max="8" width="27.57421875" style="1190" customWidth="1"/>
    <col min="9" max="9" width="12.28125" style="1189" customWidth="1"/>
    <col min="10" max="10" width="11.8515625" style="1189" customWidth="1"/>
    <col min="11" max="11" width="8.140625" style="1189" customWidth="1"/>
    <col min="12" max="12" width="8.421875" style="30" customWidth="1"/>
    <col min="13" max="13" width="10.7109375" style="30" customWidth="1"/>
    <col min="14" max="14" width="16.140625" style="30" customWidth="1"/>
    <col min="15" max="15" width="12.7109375" style="30" bestFit="1" customWidth="1"/>
    <col min="16" max="16384" width="9.140625" style="30" customWidth="1"/>
  </cols>
  <sheetData>
    <row r="1" spans="1:12" ht="12.75">
      <c r="A1" s="165"/>
      <c r="B1" s="193"/>
      <c r="C1" s="193"/>
      <c r="D1" s="1014"/>
      <c r="E1" s="109"/>
      <c r="F1" s="188"/>
      <c r="G1" s="188"/>
      <c r="H1" s="1015"/>
      <c r="I1" s="188"/>
      <c r="J1" s="188"/>
      <c r="K1" s="188"/>
      <c r="L1" s="1016"/>
    </row>
    <row r="2" spans="1:12" ht="20.25">
      <c r="A2" s="165"/>
      <c r="B2" s="193"/>
      <c r="C2" s="193"/>
      <c r="D2" s="1014"/>
      <c r="E2" s="109"/>
      <c r="F2" s="188"/>
      <c r="G2" s="188"/>
      <c r="H2" s="1015"/>
      <c r="I2" s="476" t="s">
        <v>785</v>
      </c>
      <c r="J2" s="188"/>
      <c r="K2" s="188"/>
      <c r="L2" s="1016"/>
    </row>
    <row r="3" spans="1:12" ht="18.75">
      <c r="A3" s="165"/>
      <c r="B3" s="193"/>
      <c r="C3" s="193"/>
      <c r="D3" s="1014"/>
      <c r="E3" s="109"/>
      <c r="F3" s="188"/>
      <c r="G3" s="1017"/>
      <c r="H3" s="1018"/>
      <c r="I3" s="1017"/>
      <c r="J3" s="1017"/>
      <c r="K3" s="1017"/>
      <c r="L3" s="1016"/>
    </row>
    <row r="4" spans="1:12" ht="12.75">
      <c r="A4" s="165"/>
      <c r="B4" s="193"/>
      <c r="C4" s="193"/>
      <c r="D4" s="1014"/>
      <c r="E4" s="109"/>
      <c r="F4" s="188"/>
      <c r="G4" s="188"/>
      <c r="H4" s="1015"/>
      <c r="I4" s="188"/>
      <c r="J4" s="188"/>
      <c r="K4" s="188"/>
      <c r="L4" s="1016"/>
    </row>
    <row r="5" spans="1:12" ht="19.5">
      <c r="A5" s="165"/>
      <c r="B5" s="198"/>
      <c r="C5" s="1019" t="s">
        <v>813</v>
      </c>
      <c r="D5" s="1020"/>
      <c r="E5" s="1021"/>
      <c r="F5" s="1022"/>
      <c r="G5" s="1022"/>
      <c r="H5" s="1015"/>
      <c r="I5" s="1022"/>
      <c r="J5" s="1022"/>
      <c r="K5" s="1022"/>
      <c r="L5" s="1023"/>
    </row>
    <row r="6" spans="1:12" ht="19.5">
      <c r="A6" s="165"/>
      <c r="B6" s="198"/>
      <c r="C6" s="1019"/>
      <c r="D6" s="1020"/>
      <c r="E6" s="1021"/>
      <c r="F6" s="1022"/>
      <c r="G6" s="1024"/>
      <c r="H6" s="1025"/>
      <c r="I6" s="1024"/>
      <c r="J6" s="1024"/>
      <c r="K6" s="1024"/>
      <c r="L6" s="1023"/>
    </row>
    <row r="7" spans="1:12" ht="18.75">
      <c r="A7" s="165"/>
      <c r="B7" s="198"/>
      <c r="C7" s="541"/>
      <c r="D7" s="1020"/>
      <c r="E7" s="1021"/>
      <c r="F7" s="1022"/>
      <c r="G7" s="1022"/>
      <c r="H7" s="1015"/>
      <c r="I7" s="1022"/>
      <c r="J7" s="1022"/>
      <c r="K7" s="1022"/>
      <c r="L7" s="1023"/>
    </row>
    <row r="8" spans="1:12" ht="12.75">
      <c r="A8" s="165"/>
      <c r="B8" s="198" t="s">
        <v>83</v>
      </c>
      <c r="C8" s="1026"/>
      <c r="D8" s="1027"/>
      <c r="E8" s="1021"/>
      <c r="F8" s="1028"/>
      <c r="G8" s="1028"/>
      <c r="H8" s="1029"/>
      <c r="I8" s="1028"/>
      <c r="J8" s="1028" t="s">
        <v>84</v>
      </c>
      <c r="K8" s="1028"/>
      <c r="L8" s="1030"/>
    </row>
    <row r="9" spans="1:12" ht="18.75" customHeight="1">
      <c r="A9" s="20"/>
      <c r="B9" s="1031"/>
      <c r="C9" s="1032"/>
      <c r="D9" s="1032"/>
      <c r="E9" s="710"/>
      <c r="F9" s="1232" t="s">
        <v>111</v>
      </c>
      <c r="G9" s="1233"/>
      <c r="H9" s="1234" t="s">
        <v>814</v>
      </c>
      <c r="I9" s="1235"/>
      <c r="J9" s="1236"/>
      <c r="K9" s="135"/>
      <c r="L9" s="1033"/>
    </row>
    <row r="10" spans="1:12" ht="31.5" customHeight="1">
      <c r="A10" s="12" t="s">
        <v>259</v>
      </c>
      <c r="B10" s="1034" t="s">
        <v>85</v>
      </c>
      <c r="C10" s="1035" t="s">
        <v>86</v>
      </c>
      <c r="D10" s="1035" t="s">
        <v>815</v>
      </c>
      <c r="E10" s="1036" t="s">
        <v>816</v>
      </c>
      <c r="F10" s="1037"/>
      <c r="G10" s="1038" t="s">
        <v>717</v>
      </c>
      <c r="H10" s="1039" t="s">
        <v>817</v>
      </c>
      <c r="I10" s="1037"/>
      <c r="J10" s="1038" t="s">
        <v>717</v>
      </c>
      <c r="K10" s="136" t="s">
        <v>639</v>
      </c>
      <c r="L10" s="312" t="s">
        <v>818</v>
      </c>
    </row>
    <row r="11" spans="1:12" ht="34.5" customHeight="1">
      <c r="A11" s="5"/>
      <c r="B11" s="1040"/>
      <c r="C11" s="1041"/>
      <c r="D11" s="1041"/>
      <c r="E11" s="1042"/>
      <c r="F11" s="1192" t="s">
        <v>296</v>
      </c>
      <c r="G11" s="1191" t="s">
        <v>819</v>
      </c>
      <c r="H11" s="1044"/>
      <c r="I11" s="1192" t="s">
        <v>296</v>
      </c>
      <c r="J11" s="1191" t="s">
        <v>819</v>
      </c>
      <c r="K11" s="1045"/>
      <c r="L11" s="1046"/>
    </row>
    <row r="12" spans="1:15" s="492" customFormat="1" ht="21" customHeight="1">
      <c r="A12" s="20"/>
      <c r="B12" s="1047" t="s">
        <v>820</v>
      </c>
      <c r="C12" s="1048"/>
      <c r="D12" s="1049"/>
      <c r="E12" s="1050"/>
      <c r="F12" s="921">
        <f>F13+F37+F44+F47+F59+F66+F69+F87+F92+F109+F144+F150</f>
        <v>23386569.089999996</v>
      </c>
      <c r="G12" s="921">
        <f>G13+G37+G44+G47+G59+G66+G69+G87+G92+G109+G144+G150</f>
        <v>4319650</v>
      </c>
      <c r="H12" s="1051"/>
      <c r="I12" s="921">
        <f>I13+I37+I44+I47+I59+I66+I69+I87+I92+I109+I144+I150</f>
        <v>21033776.57</v>
      </c>
      <c r="J12" s="921">
        <f>J13+J37+J44+J47+J59+J66+J69+J87+J92+J109+J144+J150</f>
        <v>3125346.3400000003</v>
      </c>
      <c r="K12" s="921"/>
      <c r="L12" s="501"/>
      <c r="N12" s="888"/>
      <c r="O12" s="888"/>
    </row>
    <row r="13" spans="1:15" s="492" customFormat="1" ht="19.5" customHeight="1">
      <c r="A13" s="6"/>
      <c r="B13" s="77">
        <v>600</v>
      </c>
      <c r="C13" s="77"/>
      <c r="D13" s="79"/>
      <c r="E13" s="1052" t="s">
        <v>87</v>
      </c>
      <c r="F13" s="178">
        <f>F14+F16</f>
        <v>6635040</v>
      </c>
      <c r="G13" s="178">
        <f>G14+G16</f>
        <v>1608900</v>
      </c>
      <c r="H13" s="178"/>
      <c r="I13" s="178">
        <f>I14+I16</f>
        <v>6243730.61</v>
      </c>
      <c r="J13" s="178">
        <f>J14+J16</f>
        <v>1608900</v>
      </c>
      <c r="K13" s="134">
        <f>I13/F13*100</f>
        <v>94.10238084472739</v>
      </c>
      <c r="L13" s="501"/>
      <c r="N13" s="888"/>
      <c r="O13" s="888"/>
    </row>
    <row r="14" spans="1:15" s="1057" customFormat="1" ht="19.5" customHeight="1">
      <c r="A14" s="43"/>
      <c r="B14" s="548"/>
      <c r="C14" s="1053">
        <v>60004</v>
      </c>
      <c r="D14" s="1054"/>
      <c r="E14" s="1055" t="s">
        <v>88</v>
      </c>
      <c r="F14" s="177">
        <f>F15</f>
        <v>30000</v>
      </c>
      <c r="G14" s="177">
        <f>G15</f>
        <v>0</v>
      </c>
      <c r="H14" s="177"/>
      <c r="I14" s="177">
        <f>I15</f>
        <v>28320.48</v>
      </c>
      <c r="J14" s="177">
        <f>J15</f>
        <v>0</v>
      </c>
      <c r="K14" s="133">
        <f aca="true" t="shared" si="0" ref="K14:K78">I14/F14*100</f>
        <v>94.4016</v>
      </c>
      <c r="L14" s="1056"/>
      <c r="O14" s="1058"/>
    </row>
    <row r="15" spans="1:12" s="492" customFormat="1" ht="27" customHeight="1">
      <c r="A15" s="6">
        <v>1</v>
      </c>
      <c r="B15" s="1059"/>
      <c r="C15" s="127"/>
      <c r="D15" s="1060">
        <v>6050</v>
      </c>
      <c r="E15" s="1061" t="s">
        <v>821</v>
      </c>
      <c r="F15" s="1043">
        <v>30000</v>
      </c>
      <c r="G15" s="1043"/>
      <c r="H15" s="1062" t="s">
        <v>822</v>
      </c>
      <c r="I15" s="1063">
        <v>28320.48</v>
      </c>
      <c r="J15" s="1063">
        <v>0</v>
      </c>
      <c r="K15" s="134">
        <f t="shared" si="0"/>
        <v>94.4016</v>
      </c>
      <c r="L15" s="669" t="s">
        <v>823</v>
      </c>
    </row>
    <row r="16" spans="1:14" s="492" customFormat="1" ht="21.75" customHeight="1">
      <c r="A16" s="12"/>
      <c r="B16" s="548"/>
      <c r="C16" s="128">
        <v>60016</v>
      </c>
      <c r="D16" s="1064"/>
      <c r="E16" s="46" t="s">
        <v>824</v>
      </c>
      <c r="F16" s="1065">
        <f>SUM(F17:F36)</f>
        <v>6605040</v>
      </c>
      <c r="G16" s="1065">
        <f>SUM(G17:G36)</f>
        <v>1608900</v>
      </c>
      <c r="H16" s="1065"/>
      <c r="I16" s="1065">
        <f>SUM(I17:I36)</f>
        <v>6215410.13</v>
      </c>
      <c r="J16" s="1065">
        <f>SUM(J17:J36)</f>
        <v>1608900</v>
      </c>
      <c r="K16" s="134">
        <f t="shared" si="0"/>
        <v>94.1010217954774</v>
      </c>
      <c r="L16" s="1056"/>
      <c r="N16" s="888"/>
    </row>
    <row r="17" spans="1:12" s="492" customFormat="1" ht="38.25" customHeight="1">
      <c r="A17" s="6">
        <v>2</v>
      </c>
      <c r="B17" s="866"/>
      <c r="C17" s="81"/>
      <c r="D17" s="1066">
        <v>6050</v>
      </c>
      <c r="E17" s="14" t="s">
        <v>825</v>
      </c>
      <c r="F17" s="173">
        <f>63000+500000</f>
        <v>563000</v>
      </c>
      <c r="G17" s="173">
        <v>50000</v>
      </c>
      <c r="H17" s="1067" t="s">
        <v>826</v>
      </c>
      <c r="I17" s="173">
        <v>554328.05</v>
      </c>
      <c r="J17" s="173">
        <v>50000</v>
      </c>
      <c r="K17" s="134">
        <f t="shared" si="0"/>
        <v>98.45968916518652</v>
      </c>
      <c r="L17" s="501" t="s">
        <v>827</v>
      </c>
    </row>
    <row r="18" spans="1:12" s="492" customFormat="1" ht="26.25" customHeight="1">
      <c r="A18" s="5">
        <v>3</v>
      </c>
      <c r="B18" s="866"/>
      <c r="C18" s="81"/>
      <c r="D18" s="1066">
        <v>6050</v>
      </c>
      <c r="E18" s="14" t="s">
        <v>828</v>
      </c>
      <c r="F18" s="173">
        <f>250000-18760+150000</f>
        <v>381240</v>
      </c>
      <c r="G18" s="173"/>
      <c r="H18" s="1067" t="s">
        <v>829</v>
      </c>
      <c r="I18" s="173">
        <v>373164.86</v>
      </c>
      <c r="J18" s="173">
        <v>0</v>
      </c>
      <c r="K18" s="134">
        <f t="shared" si="0"/>
        <v>97.8818749344245</v>
      </c>
      <c r="L18" s="501" t="s">
        <v>823</v>
      </c>
    </row>
    <row r="19" spans="1:12" s="492" customFormat="1" ht="26.25" customHeight="1">
      <c r="A19" s="5">
        <v>4</v>
      </c>
      <c r="B19" s="866"/>
      <c r="C19" s="81"/>
      <c r="D19" s="1066">
        <v>6050</v>
      </c>
      <c r="E19" s="2" t="s">
        <v>830</v>
      </c>
      <c r="F19" s="134">
        <v>1543000</v>
      </c>
      <c r="G19" s="173">
        <v>110000</v>
      </c>
      <c r="H19" s="1068" t="s">
        <v>831</v>
      </c>
      <c r="I19" s="1043">
        <v>1542731.08</v>
      </c>
      <c r="J19" s="173">
        <v>110000</v>
      </c>
      <c r="K19" s="134">
        <f t="shared" si="0"/>
        <v>99.98257161373947</v>
      </c>
      <c r="L19" s="501" t="s">
        <v>827</v>
      </c>
    </row>
    <row r="20" spans="1:12" s="492" customFormat="1" ht="42" customHeight="1">
      <c r="A20" s="5">
        <v>5</v>
      </c>
      <c r="B20" s="866"/>
      <c r="C20" s="81"/>
      <c r="D20" s="1066">
        <v>6050</v>
      </c>
      <c r="E20" s="2" t="s">
        <v>832</v>
      </c>
      <c r="F20" s="134">
        <f>1500000-1450000+1450000+421000</f>
        <v>1921000</v>
      </c>
      <c r="G20" s="173">
        <f>30000+10000+818900</f>
        <v>858900</v>
      </c>
      <c r="H20" s="1067" t="s">
        <v>833</v>
      </c>
      <c r="I20" s="173">
        <v>1919735.95</v>
      </c>
      <c r="J20" s="173">
        <v>858900</v>
      </c>
      <c r="K20" s="134">
        <f t="shared" si="0"/>
        <v>99.93419833420093</v>
      </c>
      <c r="L20" s="501" t="s">
        <v>827</v>
      </c>
    </row>
    <row r="21" spans="1:12" s="492" customFormat="1" ht="37.5" customHeight="1">
      <c r="A21" s="5">
        <v>6</v>
      </c>
      <c r="B21" s="866"/>
      <c r="C21" s="81"/>
      <c r="D21" s="1066">
        <v>6050</v>
      </c>
      <c r="E21" s="2" t="s">
        <v>834</v>
      </c>
      <c r="F21" s="134">
        <v>217000</v>
      </c>
      <c r="G21" s="173">
        <f>110000-110000</f>
        <v>0</v>
      </c>
      <c r="H21" s="1067" t="s">
        <v>835</v>
      </c>
      <c r="I21" s="173">
        <v>2122.34</v>
      </c>
      <c r="J21" s="173">
        <v>0</v>
      </c>
      <c r="K21" s="134">
        <f t="shared" si="0"/>
        <v>0.9780368663594471</v>
      </c>
      <c r="L21" s="501" t="s">
        <v>836</v>
      </c>
    </row>
    <row r="22" spans="1:12" s="492" customFormat="1" ht="53.25" customHeight="1">
      <c r="A22" s="5">
        <v>7</v>
      </c>
      <c r="B22" s="866"/>
      <c r="C22" s="81"/>
      <c r="D22" s="1066">
        <v>6050</v>
      </c>
      <c r="E22" s="2" t="s">
        <v>837</v>
      </c>
      <c r="F22" s="134">
        <v>987000</v>
      </c>
      <c r="G22" s="173">
        <v>480000</v>
      </c>
      <c r="H22" s="1067" t="s">
        <v>835</v>
      </c>
      <c r="I22" s="173">
        <v>986601.95</v>
      </c>
      <c r="J22" s="173">
        <v>480000</v>
      </c>
      <c r="K22" s="134">
        <f t="shared" si="0"/>
        <v>99.95967071935156</v>
      </c>
      <c r="L22" s="1069" t="s">
        <v>838</v>
      </c>
    </row>
    <row r="23" spans="1:12" s="492" customFormat="1" ht="29.25" customHeight="1">
      <c r="A23" s="5">
        <v>8</v>
      </c>
      <c r="B23" s="866"/>
      <c r="C23" s="81"/>
      <c r="D23" s="1066">
        <v>6050</v>
      </c>
      <c r="E23" s="2" t="s">
        <v>839</v>
      </c>
      <c r="F23" s="134">
        <f>500000-100000</f>
        <v>400000</v>
      </c>
      <c r="G23" s="173">
        <v>110000</v>
      </c>
      <c r="H23" s="1068" t="s">
        <v>840</v>
      </c>
      <c r="I23" s="173">
        <v>388773.68</v>
      </c>
      <c r="J23" s="173">
        <v>110000</v>
      </c>
      <c r="K23" s="134">
        <f t="shared" si="0"/>
        <v>97.19342</v>
      </c>
      <c r="L23" s="501" t="s">
        <v>827</v>
      </c>
    </row>
    <row r="24" spans="1:14" s="492" customFormat="1" ht="57" customHeight="1">
      <c r="A24" s="5">
        <v>9</v>
      </c>
      <c r="B24" s="866"/>
      <c r="C24" s="81"/>
      <c r="D24" s="1066">
        <v>6050</v>
      </c>
      <c r="E24" s="2" t="s">
        <v>841</v>
      </c>
      <c r="F24" s="134">
        <f>30000-4360</f>
        <v>25640</v>
      </c>
      <c r="G24" s="173"/>
      <c r="H24" s="1067" t="s">
        <v>842</v>
      </c>
      <c r="I24" s="173">
        <v>24700</v>
      </c>
      <c r="J24" s="173">
        <v>0</v>
      </c>
      <c r="K24" s="134">
        <f t="shared" si="0"/>
        <v>96.33385335413416</v>
      </c>
      <c r="L24" s="501" t="s">
        <v>823</v>
      </c>
      <c r="N24" s="1070"/>
    </row>
    <row r="25" spans="1:14" s="492" customFormat="1" ht="36.75" customHeight="1">
      <c r="A25" s="5">
        <v>10</v>
      </c>
      <c r="B25" s="866"/>
      <c r="C25" s="81"/>
      <c r="D25" s="1066">
        <v>6050</v>
      </c>
      <c r="E25" s="856" t="s">
        <v>843</v>
      </c>
      <c r="F25" s="1071">
        <f>35000-15000</f>
        <v>20000</v>
      </c>
      <c r="G25" s="173"/>
      <c r="H25" s="1067" t="s">
        <v>844</v>
      </c>
      <c r="I25" s="173">
        <v>19900</v>
      </c>
      <c r="J25" s="173">
        <v>0</v>
      </c>
      <c r="K25" s="134">
        <f t="shared" si="0"/>
        <v>99.5</v>
      </c>
      <c r="L25" s="501" t="s">
        <v>823</v>
      </c>
      <c r="N25" s="888"/>
    </row>
    <row r="26" spans="1:14" s="492" customFormat="1" ht="31.5" customHeight="1">
      <c r="A26" s="5">
        <v>11</v>
      </c>
      <c r="B26" s="866"/>
      <c r="C26" s="81"/>
      <c r="D26" s="1066">
        <v>6050</v>
      </c>
      <c r="E26" s="856" t="s">
        <v>845</v>
      </c>
      <c r="F26" s="1071">
        <f>150000-123500</f>
        <v>26500</v>
      </c>
      <c r="G26" s="173"/>
      <c r="H26" s="1067" t="s">
        <v>844</v>
      </c>
      <c r="I26" s="173">
        <v>25338</v>
      </c>
      <c r="J26" s="173">
        <v>0</v>
      </c>
      <c r="K26" s="173">
        <f t="shared" si="0"/>
        <v>95.61509433962264</v>
      </c>
      <c r="L26" s="501" t="s">
        <v>823</v>
      </c>
      <c r="N26" s="888"/>
    </row>
    <row r="27" spans="1:14" s="492" customFormat="1" ht="41.25" customHeight="1">
      <c r="A27" s="5">
        <v>12</v>
      </c>
      <c r="B27" s="866"/>
      <c r="C27" s="81"/>
      <c r="D27" s="1066">
        <v>6050</v>
      </c>
      <c r="E27" s="856" t="s">
        <v>846</v>
      </c>
      <c r="F27" s="1071">
        <v>70000</v>
      </c>
      <c r="G27" s="173"/>
      <c r="H27" s="1067" t="s">
        <v>847</v>
      </c>
      <c r="I27" s="173">
        <v>64391.17</v>
      </c>
      <c r="J27" s="173">
        <v>0</v>
      </c>
      <c r="K27" s="173">
        <f t="shared" si="0"/>
        <v>91.98738571428571</v>
      </c>
      <c r="L27" s="501" t="s">
        <v>827</v>
      </c>
      <c r="N27" s="888"/>
    </row>
    <row r="28" spans="1:12" s="492" customFormat="1" ht="30.75" customHeight="1">
      <c r="A28" s="5">
        <v>13</v>
      </c>
      <c r="B28" s="866"/>
      <c r="C28" s="81"/>
      <c r="D28" s="1066">
        <v>6050</v>
      </c>
      <c r="E28" s="2" t="s">
        <v>848</v>
      </c>
      <c r="F28" s="134">
        <f>4360+35000</f>
        <v>39360</v>
      </c>
      <c r="G28" s="173"/>
      <c r="H28" s="1068" t="s">
        <v>849</v>
      </c>
      <c r="I28" s="173">
        <v>39360</v>
      </c>
      <c r="J28" s="173">
        <v>0</v>
      </c>
      <c r="K28" s="173">
        <f t="shared" si="0"/>
        <v>100</v>
      </c>
      <c r="L28" s="501" t="s">
        <v>823</v>
      </c>
    </row>
    <row r="29" spans="1:12" s="492" customFormat="1" ht="41.25" customHeight="1">
      <c r="A29" s="5">
        <v>14</v>
      </c>
      <c r="B29" s="866"/>
      <c r="C29" s="81"/>
      <c r="D29" s="1066">
        <v>6050</v>
      </c>
      <c r="E29" s="2" t="s">
        <v>850</v>
      </c>
      <c r="F29" s="134">
        <v>100000</v>
      </c>
      <c r="G29" s="173"/>
      <c r="H29" s="1067" t="s">
        <v>844</v>
      </c>
      <c r="I29" s="173">
        <v>39600</v>
      </c>
      <c r="J29" s="173">
        <v>0</v>
      </c>
      <c r="K29" s="173">
        <f t="shared" si="0"/>
        <v>39.6</v>
      </c>
      <c r="L29" s="501" t="s">
        <v>823</v>
      </c>
    </row>
    <row r="30" spans="1:12" s="492" customFormat="1" ht="61.5" customHeight="1">
      <c r="A30" s="5">
        <v>15</v>
      </c>
      <c r="B30" s="866"/>
      <c r="C30" s="81"/>
      <c r="D30" s="1066">
        <v>6050</v>
      </c>
      <c r="E30" s="2" t="s">
        <v>851</v>
      </c>
      <c r="F30" s="134">
        <f>18300+10000</f>
        <v>28300</v>
      </c>
      <c r="G30" s="173"/>
      <c r="H30" s="1068" t="s">
        <v>852</v>
      </c>
      <c r="I30" s="173">
        <v>27300</v>
      </c>
      <c r="J30" s="173">
        <v>0</v>
      </c>
      <c r="K30" s="173">
        <f t="shared" si="0"/>
        <v>96.46643109540636</v>
      </c>
      <c r="L30" s="501" t="s">
        <v>823</v>
      </c>
    </row>
    <row r="31" spans="1:12" s="492" customFormat="1" ht="57" customHeight="1">
      <c r="A31" s="5">
        <v>16</v>
      </c>
      <c r="B31" s="866"/>
      <c r="C31" s="81"/>
      <c r="D31" s="1066">
        <v>6050</v>
      </c>
      <c r="E31" s="2" t="s">
        <v>853</v>
      </c>
      <c r="F31" s="134">
        <f>30000-25000</f>
        <v>5000</v>
      </c>
      <c r="G31" s="173"/>
      <c r="H31" s="1067" t="s">
        <v>854</v>
      </c>
      <c r="I31" s="173">
        <v>0</v>
      </c>
      <c r="J31" s="173">
        <v>0</v>
      </c>
      <c r="K31" s="173">
        <f t="shared" si="0"/>
        <v>0</v>
      </c>
      <c r="L31" s="501" t="s">
        <v>836</v>
      </c>
    </row>
    <row r="32" spans="1:12" s="492" customFormat="1" ht="50.25" customHeight="1">
      <c r="A32" s="5">
        <v>17</v>
      </c>
      <c r="B32" s="866"/>
      <c r="C32" s="81"/>
      <c r="D32" s="1066">
        <v>6050</v>
      </c>
      <c r="E32" s="2" t="s">
        <v>855</v>
      </c>
      <c r="F32" s="134">
        <v>20000</v>
      </c>
      <c r="G32" s="173"/>
      <c r="H32" s="1068" t="s">
        <v>856</v>
      </c>
      <c r="I32" s="173">
        <v>18343</v>
      </c>
      <c r="J32" s="173">
        <v>0</v>
      </c>
      <c r="K32" s="173">
        <f t="shared" si="0"/>
        <v>91.715</v>
      </c>
      <c r="L32" s="501" t="s">
        <v>823</v>
      </c>
    </row>
    <row r="33" spans="1:12" s="492" customFormat="1" ht="31.5" customHeight="1">
      <c r="A33" s="5">
        <v>18</v>
      </c>
      <c r="B33" s="866"/>
      <c r="C33" s="81"/>
      <c r="D33" s="1066">
        <v>6050</v>
      </c>
      <c r="E33" s="2" t="s">
        <v>857</v>
      </c>
      <c r="F33" s="134">
        <f>100000-90000</f>
        <v>10000</v>
      </c>
      <c r="G33" s="173"/>
      <c r="H33" s="1067" t="s">
        <v>858</v>
      </c>
      <c r="I33" s="173">
        <v>0</v>
      </c>
      <c r="J33" s="173">
        <v>0</v>
      </c>
      <c r="K33" s="173">
        <f t="shared" si="0"/>
        <v>0</v>
      </c>
      <c r="L33" s="501" t="s">
        <v>836</v>
      </c>
    </row>
    <row r="34" spans="1:12" s="492" customFormat="1" ht="39" customHeight="1">
      <c r="A34" s="5">
        <v>19</v>
      </c>
      <c r="B34" s="866"/>
      <c r="C34" s="81"/>
      <c r="D34" s="1066">
        <v>6050</v>
      </c>
      <c r="E34" s="2" t="s">
        <v>859</v>
      </c>
      <c r="F34" s="134">
        <f>80000+100000</f>
        <v>180000</v>
      </c>
      <c r="G34" s="173"/>
      <c r="H34" s="1067" t="s">
        <v>860</v>
      </c>
      <c r="I34" s="173">
        <v>179426.05</v>
      </c>
      <c r="J34" s="173">
        <v>0</v>
      </c>
      <c r="K34" s="173">
        <f t="shared" si="0"/>
        <v>99.68113888888888</v>
      </c>
      <c r="L34" s="501" t="s">
        <v>827</v>
      </c>
    </row>
    <row r="35" spans="1:12" s="492" customFormat="1" ht="55.5" customHeight="1">
      <c r="A35" s="5">
        <v>20</v>
      </c>
      <c r="B35" s="866"/>
      <c r="C35" s="81"/>
      <c r="D35" s="1066">
        <v>6050</v>
      </c>
      <c r="E35" s="2" t="s">
        <v>861</v>
      </c>
      <c r="F35" s="134">
        <v>18000</v>
      </c>
      <c r="G35" s="173"/>
      <c r="H35" s="1067" t="s">
        <v>858</v>
      </c>
      <c r="I35" s="173">
        <v>9594</v>
      </c>
      <c r="J35" s="173">
        <v>0</v>
      </c>
      <c r="K35" s="173">
        <f t="shared" si="0"/>
        <v>53.300000000000004</v>
      </c>
      <c r="L35" s="1069" t="s">
        <v>862</v>
      </c>
    </row>
    <row r="36" spans="1:12" s="492" customFormat="1" ht="40.5" customHeight="1">
      <c r="A36" s="5">
        <v>21</v>
      </c>
      <c r="B36" s="866"/>
      <c r="C36" s="81"/>
      <c r="D36" s="1066">
        <v>6050</v>
      </c>
      <c r="E36" s="2" t="s">
        <v>863</v>
      </c>
      <c r="F36" s="134">
        <v>50000</v>
      </c>
      <c r="G36" s="173"/>
      <c r="H36" s="1072" t="s">
        <v>864</v>
      </c>
      <c r="I36" s="173">
        <v>0</v>
      </c>
      <c r="J36" s="173">
        <v>0</v>
      </c>
      <c r="K36" s="173">
        <f t="shared" si="0"/>
        <v>0</v>
      </c>
      <c r="L36" s="509" t="s">
        <v>865</v>
      </c>
    </row>
    <row r="37" spans="1:12" s="492" customFormat="1" ht="21.75" customHeight="1">
      <c r="A37" s="9"/>
      <c r="B37" s="77">
        <v>700</v>
      </c>
      <c r="C37" s="77"/>
      <c r="D37" s="79"/>
      <c r="E37" s="18" t="s">
        <v>89</v>
      </c>
      <c r="F37" s="1073">
        <f>F38+F40</f>
        <v>7489900</v>
      </c>
      <c r="G37" s="1073">
        <f>G38+G40</f>
        <v>537000</v>
      </c>
      <c r="H37" s="1073"/>
      <c r="I37" s="1073">
        <f>I38+I40</f>
        <v>7448724.220000001</v>
      </c>
      <c r="J37" s="1073">
        <f>J38+J40</f>
        <v>537000</v>
      </c>
      <c r="K37" s="173">
        <f t="shared" si="0"/>
        <v>99.45024926901561</v>
      </c>
      <c r="L37" s="501"/>
    </row>
    <row r="38" spans="1:12" s="492" customFormat="1" ht="27" customHeight="1">
      <c r="A38" s="6"/>
      <c r="B38" s="145"/>
      <c r="C38" s="128">
        <v>70005</v>
      </c>
      <c r="D38" s="1054"/>
      <c r="E38" s="46" t="s">
        <v>493</v>
      </c>
      <c r="F38" s="1065">
        <f>SUM(F39:F39)</f>
        <v>1446000</v>
      </c>
      <c r="G38" s="1065">
        <f>SUM(G39:G39)</f>
        <v>0</v>
      </c>
      <c r="H38" s="1065">
        <f>SUM(H39:H39)</f>
        <v>0</v>
      </c>
      <c r="I38" s="1065">
        <f>SUM(I39:I39)</f>
        <v>1420513.9</v>
      </c>
      <c r="J38" s="1065">
        <f>SUM(J39:J39)</f>
        <v>0</v>
      </c>
      <c r="K38" s="173">
        <f t="shared" si="0"/>
        <v>98.23747579529737</v>
      </c>
      <c r="L38" s="1056"/>
    </row>
    <row r="39" spans="1:14" s="492" customFormat="1" ht="48" customHeight="1">
      <c r="A39" s="6">
        <v>22</v>
      </c>
      <c r="B39" s="91"/>
      <c r="C39" s="89"/>
      <c r="D39" s="1066">
        <v>6060</v>
      </c>
      <c r="E39" s="14" t="s">
        <v>866</v>
      </c>
      <c r="F39" s="1074">
        <f>499000+100000+650000+50000+100000-35000+80000+2000</f>
        <v>1446000</v>
      </c>
      <c r="G39" s="1074"/>
      <c r="H39" s="1075" t="s">
        <v>867</v>
      </c>
      <c r="I39" s="1074">
        <v>1420513.9</v>
      </c>
      <c r="J39" s="1074">
        <v>0</v>
      </c>
      <c r="K39" s="173">
        <f t="shared" si="0"/>
        <v>98.23747579529737</v>
      </c>
      <c r="L39" s="509" t="s">
        <v>823</v>
      </c>
      <c r="N39" s="888"/>
    </row>
    <row r="40" spans="1:12" s="492" customFormat="1" ht="26.25" customHeight="1">
      <c r="A40" s="6"/>
      <c r="B40" s="127"/>
      <c r="C40" s="1053">
        <v>70095</v>
      </c>
      <c r="D40" s="1076"/>
      <c r="E40" s="46" t="s">
        <v>494</v>
      </c>
      <c r="F40" s="1065">
        <f>SUM(F41:F43)</f>
        <v>6043900</v>
      </c>
      <c r="G40" s="1065">
        <f>SUM(G41:G43)</f>
        <v>537000</v>
      </c>
      <c r="H40" s="1065"/>
      <c r="I40" s="1065">
        <f>SUM(I41:I43)</f>
        <v>6028210.32</v>
      </c>
      <c r="J40" s="1065">
        <f>SUM(J41:J43)</f>
        <v>537000</v>
      </c>
      <c r="K40" s="173">
        <f t="shared" si="0"/>
        <v>99.74040470557091</v>
      </c>
      <c r="L40" s="1056"/>
    </row>
    <row r="41" spans="1:12" s="492" customFormat="1" ht="39.75" customHeight="1">
      <c r="A41" s="6">
        <v>23</v>
      </c>
      <c r="B41" s="81"/>
      <c r="C41" s="1077"/>
      <c r="D41" s="1078">
        <v>6010</v>
      </c>
      <c r="E41" s="4" t="s">
        <v>868</v>
      </c>
      <c r="F41" s="1074">
        <v>1000000</v>
      </c>
      <c r="G41" s="1074">
        <v>200000</v>
      </c>
      <c r="H41" s="619" t="s">
        <v>869</v>
      </c>
      <c r="I41" s="1074">
        <v>1000000</v>
      </c>
      <c r="J41" s="1074">
        <v>200000</v>
      </c>
      <c r="K41" s="173">
        <f>I41/F41*100</f>
        <v>100</v>
      </c>
      <c r="L41" s="509" t="s">
        <v>827</v>
      </c>
    </row>
    <row r="42" spans="1:12" s="492" customFormat="1" ht="49.5" customHeight="1">
      <c r="A42" s="6">
        <v>24</v>
      </c>
      <c r="B42" s="81"/>
      <c r="C42" s="1077"/>
      <c r="D42" s="83">
        <v>6050</v>
      </c>
      <c r="E42" s="2" t="s">
        <v>870</v>
      </c>
      <c r="F42" s="1074">
        <v>2782200</v>
      </c>
      <c r="G42" s="1074">
        <v>137000</v>
      </c>
      <c r="H42" s="619" t="s">
        <v>871</v>
      </c>
      <c r="I42" s="1074">
        <v>2770650.77</v>
      </c>
      <c r="J42" s="1074">
        <v>137000</v>
      </c>
      <c r="K42" s="173">
        <f t="shared" si="0"/>
        <v>99.5848885773848</v>
      </c>
      <c r="L42" s="509" t="s">
        <v>827</v>
      </c>
    </row>
    <row r="43" spans="1:12" s="492" customFormat="1" ht="32.25" customHeight="1">
      <c r="A43" s="6">
        <v>25</v>
      </c>
      <c r="B43" s="81"/>
      <c r="C43" s="1077"/>
      <c r="D43" s="1078">
        <v>6050</v>
      </c>
      <c r="E43" s="4" t="s">
        <v>872</v>
      </c>
      <c r="F43" s="1074">
        <f>343000+1295000+623700</f>
        <v>2261700</v>
      </c>
      <c r="G43" s="1074">
        <v>200000</v>
      </c>
      <c r="H43" s="619" t="s">
        <v>873</v>
      </c>
      <c r="I43" s="1074">
        <v>2257559.55</v>
      </c>
      <c r="J43" s="1074">
        <v>200000</v>
      </c>
      <c r="K43" s="173">
        <f t="shared" si="0"/>
        <v>99.81693195384003</v>
      </c>
      <c r="L43" s="509" t="s">
        <v>827</v>
      </c>
    </row>
    <row r="44" spans="1:12" s="492" customFormat="1" ht="23.25" customHeight="1">
      <c r="A44" s="20"/>
      <c r="B44" s="77">
        <v>710</v>
      </c>
      <c r="C44" s="77"/>
      <c r="D44" s="79"/>
      <c r="E44" s="11" t="s">
        <v>503</v>
      </c>
      <c r="F44" s="1079">
        <f aca="true" t="shared" si="1" ref="F44:J45">F45</f>
        <v>10000</v>
      </c>
      <c r="G44" s="1079">
        <f t="shared" si="1"/>
        <v>0</v>
      </c>
      <c r="H44" s="1079"/>
      <c r="I44" s="1079">
        <f t="shared" si="1"/>
        <v>8700</v>
      </c>
      <c r="J44" s="1079">
        <f t="shared" si="1"/>
        <v>0</v>
      </c>
      <c r="K44" s="173">
        <f t="shared" si="0"/>
        <v>87</v>
      </c>
      <c r="L44" s="1080"/>
    </row>
    <row r="45" spans="1:12" s="492" customFormat="1" ht="21.75" customHeight="1">
      <c r="A45" s="6"/>
      <c r="B45" s="1077"/>
      <c r="C45" s="128">
        <v>71035</v>
      </c>
      <c r="D45" s="1076"/>
      <c r="E45" s="49" t="s">
        <v>874</v>
      </c>
      <c r="F45" s="1081">
        <f t="shared" si="1"/>
        <v>10000</v>
      </c>
      <c r="G45" s="1081">
        <f t="shared" si="1"/>
        <v>0</v>
      </c>
      <c r="H45" s="1081"/>
      <c r="I45" s="1081">
        <f t="shared" si="1"/>
        <v>8700</v>
      </c>
      <c r="J45" s="1081">
        <f t="shared" si="1"/>
        <v>0</v>
      </c>
      <c r="K45" s="173">
        <f t="shared" si="0"/>
        <v>87</v>
      </c>
      <c r="L45" s="1082"/>
    </row>
    <row r="46" spans="1:12" s="492" customFormat="1" ht="39" customHeight="1">
      <c r="A46" s="5">
        <v>26</v>
      </c>
      <c r="B46" s="1077"/>
      <c r="C46" s="1077"/>
      <c r="D46" s="1078">
        <v>6050</v>
      </c>
      <c r="E46" s="4" t="s">
        <v>875</v>
      </c>
      <c r="F46" s="1083">
        <v>10000</v>
      </c>
      <c r="G46" s="1083"/>
      <c r="H46" s="1084" t="s">
        <v>876</v>
      </c>
      <c r="I46" s="1083">
        <v>8700</v>
      </c>
      <c r="J46" s="1083"/>
      <c r="K46" s="173">
        <f t="shared" si="0"/>
        <v>87</v>
      </c>
      <c r="L46" s="509" t="s">
        <v>823</v>
      </c>
    </row>
    <row r="47" spans="1:12" s="492" customFormat="1" ht="23.25" customHeight="1">
      <c r="A47" s="9"/>
      <c r="B47" s="77">
        <v>750</v>
      </c>
      <c r="C47" s="77"/>
      <c r="D47" s="79"/>
      <c r="E47" s="11" t="s">
        <v>495</v>
      </c>
      <c r="F47" s="1079">
        <f>F48+F56</f>
        <v>1535798.27</v>
      </c>
      <c r="G47" s="1079">
        <f>G48+G56</f>
        <v>0</v>
      </c>
      <c r="H47" s="1079"/>
      <c r="I47" s="1079">
        <f>I48+I56</f>
        <v>1447496.49</v>
      </c>
      <c r="J47" s="1079">
        <f>J48+J56</f>
        <v>0</v>
      </c>
      <c r="K47" s="173">
        <f t="shared" si="0"/>
        <v>94.2504310803788</v>
      </c>
      <c r="L47" s="501"/>
    </row>
    <row r="48" spans="1:14" s="492" customFormat="1" ht="30.75" customHeight="1">
      <c r="A48" s="6"/>
      <c r="B48" s="145"/>
      <c r="C48" s="1085">
        <v>75023</v>
      </c>
      <c r="D48" s="1076"/>
      <c r="E48" s="49" t="s">
        <v>281</v>
      </c>
      <c r="F48" s="1081">
        <f>SUM(F49:F55)</f>
        <v>945798.27</v>
      </c>
      <c r="G48" s="1081">
        <f>SUM(G49:G55)</f>
        <v>0</v>
      </c>
      <c r="H48" s="1081"/>
      <c r="I48" s="1081">
        <f>SUM(I49:I55)</f>
        <v>882968.4199999999</v>
      </c>
      <c r="J48" s="1081">
        <f>SUM(J49:J55)</f>
        <v>0</v>
      </c>
      <c r="K48" s="173">
        <f t="shared" si="0"/>
        <v>93.35695020884314</v>
      </c>
      <c r="L48" s="1056"/>
      <c r="N48" s="888"/>
    </row>
    <row r="49" spans="1:12" s="492" customFormat="1" ht="45" customHeight="1">
      <c r="A49" s="6">
        <v>27</v>
      </c>
      <c r="B49" s="86"/>
      <c r="C49" s="824"/>
      <c r="D49" s="83">
        <v>6050</v>
      </c>
      <c r="E49" s="1086" t="s">
        <v>877</v>
      </c>
      <c r="F49" s="1087">
        <f>92300-1000</f>
        <v>91300</v>
      </c>
      <c r="G49" s="1074"/>
      <c r="H49" s="1088" t="s">
        <v>878</v>
      </c>
      <c r="I49" s="1074">
        <v>70725</v>
      </c>
      <c r="J49" s="1074">
        <v>0</v>
      </c>
      <c r="K49" s="173">
        <f t="shared" si="0"/>
        <v>77.46440306681271</v>
      </c>
      <c r="L49" s="1089" t="s">
        <v>823</v>
      </c>
    </row>
    <row r="50" spans="1:12" s="492" customFormat="1" ht="57.75" customHeight="1">
      <c r="A50" s="6">
        <v>28</v>
      </c>
      <c r="B50" s="86"/>
      <c r="C50" s="824"/>
      <c r="D50" s="1090">
        <v>6050</v>
      </c>
      <c r="E50" s="892" t="s">
        <v>879</v>
      </c>
      <c r="F50" s="1091">
        <f>25000+60000+333351.27+49000-13500-1000</f>
        <v>452851.27</v>
      </c>
      <c r="G50" s="1092"/>
      <c r="H50" s="1093" t="s">
        <v>880</v>
      </c>
      <c r="I50" s="1092">
        <v>452828.41</v>
      </c>
      <c r="J50" s="1092">
        <v>0</v>
      </c>
      <c r="K50" s="173">
        <f t="shared" si="0"/>
        <v>99.99495198500823</v>
      </c>
      <c r="L50" s="1094" t="s">
        <v>823</v>
      </c>
    </row>
    <row r="51" spans="1:12" s="492" customFormat="1" ht="22.5" customHeight="1">
      <c r="A51" s="6">
        <v>29</v>
      </c>
      <c r="B51" s="86"/>
      <c r="C51" s="824"/>
      <c r="D51" s="83">
        <v>6050</v>
      </c>
      <c r="E51" s="2" t="s">
        <v>881</v>
      </c>
      <c r="F51" s="1091">
        <v>30000</v>
      </c>
      <c r="G51" s="1092"/>
      <c r="H51" s="1088" t="s">
        <v>882</v>
      </c>
      <c r="I51" s="1092">
        <v>29787.16</v>
      </c>
      <c r="J51" s="1092">
        <v>0</v>
      </c>
      <c r="K51" s="173">
        <f t="shared" si="0"/>
        <v>99.29053333333333</v>
      </c>
      <c r="L51" s="1095" t="s">
        <v>823</v>
      </c>
    </row>
    <row r="52" spans="1:12" s="492" customFormat="1" ht="62.25" customHeight="1">
      <c r="A52" s="6">
        <v>30</v>
      </c>
      <c r="B52" s="86"/>
      <c r="C52" s="824"/>
      <c r="D52" s="83">
        <v>6050</v>
      </c>
      <c r="E52" s="34" t="s">
        <v>883</v>
      </c>
      <c r="F52" s="1091">
        <f>100000-31000</f>
        <v>69000</v>
      </c>
      <c r="G52" s="1092"/>
      <c r="H52" s="1096" t="s">
        <v>884</v>
      </c>
      <c r="I52" s="1092">
        <v>31118</v>
      </c>
      <c r="J52" s="1092">
        <v>0</v>
      </c>
      <c r="K52" s="173">
        <f t="shared" si="0"/>
        <v>45.09855072463768</v>
      </c>
      <c r="L52" s="1097" t="s">
        <v>885</v>
      </c>
    </row>
    <row r="53" spans="1:12" s="492" customFormat="1" ht="26.25" customHeight="1">
      <c r="A53" s="6">
        <v>31</v>
      </c>
      <c r="B53" s="86"/>
      <c r="C53" s="824"/>
      <c r="D53" s="83">
        <v>6050</v>
      </c>
      <c r="E53" s="34" t="s">
        <v>886</v>
      </c>
      <c r="F53" s="1091">
        <v>25000</v>
      </c>
      <c r="G53" s="1092"/>
      <c r="H53" s="1098" t="s">
        <v>887</v>
      </c>
      <c r="I53" s="1092">
        <v>24575.4</v>
      </c>
      <c r="J53" s="1092">
        <v>0</v>
      </c>
      <c r="K53" s="173">
        <f t="shared" si="0"/>
        <v>98.30160000000001</v>
      </c>
      <c r="L53" s="1094" t="s">
        <v>823</v>
      </c>
    </row>
    <row r="54" spans="1:12" s="492" customFormat="1" ht="22.5" customHeight="1">
      <c r="A54" s="6">
        <v>32</v>
      </c>
      <c r="B54" s="86"/>
      <c r="C54" s="824"/>
      <c r="D54" s="83">
        <v>6060</v>
      </c>
      <c r="E54" s="34" t="s">
        <v>888</v>
      </c>
      <c r="F54" s="1091">
        <v>14947</v>
      </c>
      <c r="G54" s="1092"/>
      <c r="H54" s="1098" t="s">
        <v>889</v>
      </c>
      <c r="I54" s="1092">
        <v>11319.71</v>
      </c>
      <c r="J54" s="1092">
        <v>0</v>
      </c>
      <c r="K54" s="173">
        <f t="shared" si="0"/>
        <v>75.73232086706362</v>
      </c>
      <c r="L54" s="1094" t="s">
        <v>823</v>
      </c>
    </row>
    <row r="55" spans="1:12" s="492" customFormat="1" ht="58.5" customHeight="1">
      <c r="A55" s="6">
        <v>33</v>
      </c>
      <c r="B55" s="86"/>
      <c r="C55" s="824"/>
      <c r="D55" s="83">
        <v>6060</v>
      </c>
      <c r="E55" s="1099" t="s">
        <v>890</v>
      </c>
      <c r="F55" s="1091">
        <f>110000-60000+25000+66600+17500+111500-7900</f>
        <v>262700</v>
      </c>
      <c r="G55" s="1092"/>
      <c r="H55" s="1093" t="s">
        <v>891</v>
      </c>
      <c r="I55" s="1092">
        <v>262614.74</v>
      </c>
      <c r="J55" s="1092">
        <v>0</v>
      </c>
      <c r="K55" s="173">
        <f t="shared" si="0"/>
        <v>99.96754472782642</v>
      </c>
      <c r="L55" s="1094" t="s">
        <v>823</v>
      </c>
    </row>
    <row r="56" spans="1:12" s="1106" customFormat="1" ht="19.5" customHeight="1">
      <c r="A56" s="32"/>
      <c r="B56" s="1100"/>
      <c r="C56" s="1101">
        <v>75095</v>
      </c>
      <c r="D56" s="128"/>
      <c r="E56" s="1102" t="s">
        <v>494</v>
      </c>
      <c r="F56" s="1103">
        <f>SUM(F57:F58)</f>
        <v>590000</v>
      </c>
      <c r="G56" s="1103">
        <f>SUM(G57:G58)</f>
        <v>0</v>
      </c>
      <c r="H56" s="1104"/>
      <c r="I56" s="1103">
        <f>SUM(I57:I58)</f>
        <v>564528.0700000001</v>
      </c>
      <c r="J56" s="1103">
        <f>SUM(J57:J58)</f>
        <v>0</v>
      </c>
      <c r="K56" s="173">
        <f t="shared" si="0"/>
        <v>95.68272372881357</v>
      </c>
      <c r="L56" s="1105"/>
    </row>
    <row r="57" spans="1:12" s="1057" customFormat="1" ht="57" customHeight="1">
      <c r="A57" s="6">
        <v>34</v>
      </c>
      <c r="B57" s="86"/>
      <c r="C57" s="824"/>
      <c r="D57" s="83">
        <v>6050</v>
      </c>
      <c r="E57" s="1086" t="s">
        <v>892</v>
      </c>
      <c r="F57" s="1091">
        <v>50000</v>
      </c>
      <c r="G57" s="1092"/>
      <c r="H57" s="1068" t="s">
        <v>852</v>
      </c>
      <c r="I57" s="1092">
        <v>33900</v>
      </c>
      <c r="J57" s="1092">
        <v>0</v>
      </c>
      <c r="K57" s="173">
        <f t="shared" si="0"/>
        <v>67.80000000000001</v>
      </c>
      <c r="L57" s="1094" t="s">
        <v>823</v>
      </c>
    </row>
    <row r="58" spans="1:12" s="492" customFormat="1" ht="62.25" customHeight="1">
      <c r="A58" s="6">
        <v>35</v>
      </c>
      <c r="B58" s="86"/>
      <c r="C58" s="824"/>
      <c r="D58" s="83">
        <v>6050</v>
      </c>
      <c r="E58" s="1086" t="s">
        <v>893</v>
      </c>
      <c r="F58" s="1091">
        <f>1000+30000+470000+39000</f>
        <v>540000</v>
      </c>
      <c r="G58" s="1092"/>
      <c r="H58" s="1067" t="s">
        <v>835</v>
      </c>
      <c r="I58" s="1074">
        <f>13676.92+516951.15</f>
        <v>530628.0700000001</v>
      </c>
      <c r="J58" s="1092">
        <v>0</v>
      </c>
      <c r="K58" s="173">
        <f t="shared" si="0"/>
        <v>98.26445740740742</v>
      </c>
      <c r="L58" s="1069" t="s">
        <v>894</v>
      </c>
    </row>
    <row r="59" spans="1:12" s="492" customFormat="1" ht="28.5" customHeight="1">
      <c r="A59" s="16"/>
      <c r="B59" s="77">
        <v>754</v>
      </c>
      <c r="C59" s="77"/>
      <c r="D59" s="77"/>
      <c r="E59" s="1107" t="s">
        <v>496</v>
      </c>
      <c r="F59" s="182">
        <f>F60+F62+F64</f>
        <v>44320</v>
      </c>
      <c r="G59" s="182">
        <f>G60+G62+G64</f>
        <v>0</v>
      </c>
      <c r="H59" s="182"/>
      <c r="I59" s="182">
        <f>I60+I62+I64</f>
        <v>44280.18</v>
      </c>
      <c r="J59" s="182">
        <f>J60+J62+J64</f>
        <v>0</v>
      </c>
      <c r="K59" s="173">
        <f t="shared" si="0"/>
        <v>99.91015342960289</v>
      </c>
      <c r="L59" s="501"/>
    </row>
    <row r="60" spans="1:12" s="492" customFormat="1" ht="24.75" customHeight="1">
      <c r="A60" s="992"/>
      <c r="B60" s="1108"/>
      <c r="C60" s="1109">
        <v>75412</v>
      </c>
      <c r="D60" s="1109"/>
      <c r="E60" s="1110" t="s">
        <v>895</v>
      </c>
      <c r="F60" s="336">
        <f>SUM(F61:F61)</f>
        <v>8820</v>
      </c>
      <c r="G60" s="336">
        <f>SUM(G61:G61)</f>
        <v>0</v>
      </c>
      <c r="H60" s="336"/>
      <c r="I60" s="336">
        <f>SUM(I61:I61)</f>
        <v>8819.28</v>
      </c>
      <c r="J60" s="336">
        <f>SUM(J61:J61)</f>
        <v>0</v>
      </c>
      <c r="K60" s="173">
        <f t="shared" si="0"/>
        <v>99.99183673469389</v>
      </c>
      <c r="L60" s="1082"/>
    </row>
    <row r="61" spans="1:12" s="492" customFormat="1" ht="48" customHeight="1">
      <c r="A61" s="992">
        <v>36</v>
      </c>
      <c r="B61" s="1111"/>
      <c r="C61" s="1112"/>
      <c r="D61" s="991">
        <v>6060</v>
      </c>
      <c r="E61" s="14" t="s">
        <v>896</v>
      </c>
      <c r="F61" s="1087">
        <f>10000-1180</f>
        <v>8820</v>
      </c>
      <c r="G61" s="1074"/>
      <c r="H61" s="1068" t="s">
        <v>897</v>
      </c>
      <c r="I61" s="1074">
        <v>8819.28</v>
      </c>
      <c r="J61" s="1074">
        <v>0</v>
      </c>
      <c r="K61" s="173">
        <f t="shared" si="0"/>
        <v>99.99183673469389</v>
      </c>
      <c r="L61" s="509" t="s">
        <v>823</v>
      </c>
    </row>
    <row r="62" spans="1:12" s="492" customFormat="1" ht="21.75" customHeight="1">
      <c r="A62" s="6"/>
      <c r="B62" s="107"/>
      <c r="C62" s="128">
        <v>75414</v>
      </c>
      <c r="D62" s="128"/>
      <c r="E62" s="1110" t="s">
        <v>898</v>
      </c>
      <c r="F62" s="336">
        <f>SUM(F63)</f>
        <v>30500</v>
      </c>
      <c r="G62" s="336">
        <f>SUM(G63)</f>
        <v>0</v>
      </c>
      <c r="H62" s="336"/>
      <c r="I62" s="336">
        <f>SUM(I63)</f>
        <v>30479.4</v>
      </c>
      <c r="J62" s="336">
        <f>SUM(J63)</f>
        <v>0</v>
      </c>
      <c r="K62" s="173">
        <f t="shared" si="0"/>
        <v>99.93245901639345</v>
      </c>
      <c r="L62" s="1056"/>
    </row>
    <row r="63" spans="1:12" s="492" customFormat="1" ht="41.25" customHeight="1">
      <c r="A63" s="6">
        <v>37</v>
      </c>
      <c r="B63" s="87"/>
      <c r="C63" s="1113"/>
      <c r="D63" s="1078">
        <v>6060</v>
      </c>
      <c r="E63" s="14" t="s">
        <v>896</v>
      </c>
      <c r="F63" s="1074">
        <f>15000+15500</f>
        <v>30500</v>
      </c>
      <c r="G63" s="1074"/>
      <c r="H63" s="1114" t="s">
        <v>899</v>
      </c>
      <c r="I63" s="1074">
        <v>30479.4</v>
      </c>
      <c r="J63" s="1074">
        <v>0</v>
      </c>
      <c r="K63" s="173">
        <f t="shared" si="0"/>
        <v>99.93245901639345</v>
      </c>
      <c r="L63" s="501" t="s">
        <v>823</v>
      </c>
    </row>
    <row r="64" spans="1:12" s="492" customFormat="1" ht="22.5" customHeight="1">
      <c r="A64" s="6"/>
      <c r="B64" s="107"/>
      <c r="C64" s="1085">
        <v>75421</v>
      </c>
      <c r="D64" s="1076"/>
      <c r="E64" s="49" t="s">
        <v>304</v>
      </c>
      <c r="F64" s="1081">
        <f>SUM(F65)</f>
        <v>5000</v>
      </c>
      <c r="G64" s="1081">
        <f>SUM(G65)</f>
        <v>0</v>
      </c>
      <c r="H64" s="1081"/>
      <c r="I64" s="1081">
        <f>SUM(I65)</f>
        <v>4981.5</v>
      </c>
      <c r="J64" s="1081">
        <f>SUM(J65)</f>
        <v>0</v>
      </c>
      <c r="K64" s="173">
        <f t="shared" si="0"/>
        <v>99.63</v>
      </c>
      <c r="L64" s="1056"/>
    </row>
    <row r="65" spans="1:12" s="492" customFormat="1" ht="31.5" customHeight="1">
      <c r="A65" s="6">
        <v>38</v>
      </c>
      <c r="B65" s="81"/>
      <c r="C65" s="1113"/>
      <c r="D65" s="1078">
        <v>6060</v>
      </c>
      <c r="E65" s="14" t="s">
        <v>896</v>
      </c>
      <c r="F65" s="134">
        <v>5000</v>
      </c>
      <c r="G65" s="134">
        <v>0</v>
      </c>
      <c r="H65" s="1068" t="s">
        <v>900</v>
      </c>
      <c r="I65" s="134">
        <v>4981.5</v>
      </c>
      <c r="J65" s="134">
        <v>0</v>
      </c>
      <c r="K65" s="173">
        <f t="shared" si="0"/>
        <v>99.63</v>
      </c>
      <c r="L65" s="501" t="s">
        <v>823</v>
      </c>
    </row>
    <row r="66" spans="1:12" s="492" customFormat="1" ht="21.75" customHeight="1">
      <c r="A66" s="16"/>
      <c r="B66" s="77">
        <v>758</v>
      </c>
      <c r="C66" s="77"/>
      <c r="D66" s="79"/>
      <c r="E66" s="18" t="s">
        <v>497</v>
      </c>
      <c r="F66" s="1073">
        <f aca="true" t="shared" si="2" ref="F66:J67">F67</f>
        <v>1308956</v>
      </c>
      <c r="G66" s="1073">
        <f t="shared" si="2"/>
        <v>1223342</v>
      </c>
      <c r="H66" s="1073"/>
      <c r="I66" s="1073">
        <f t="shared" si="2"/>
        <v>0</v>
      </c>
      <c r="J66" s="1073">
        <f t="shared" si="2"/>
        <v>0</v>
      </c>
      <c r="K66" s="173">
        <f t="shared" si="0"/>
        <v>0</v>
      </c>
      <c r="L66" s="501"/>
    </row>
    <row r="67" spans="1:12" s="492" customFormat="1" ht="22.5" customHeight="1">
      <c r="A67" s="12"/>
      <c r="B67" s="890"/>
      <c r="C67" s="1085">
        <v>75818</v>
      </c>
      <c r="D67" s="1076"/>
      <c r="E67" s="49" t="s">
        <v>498</v>
      </c>
      <c r="F67" s="1081">
        <f t="shared" si="2"/>
        <v>1308956</v>
      </c>
      <c r="G67" s="1081">
        <f t="shared" si="2"/>
        <v>1223342</v>
      </c>
      <c r="H67" s="1081"/>
      <c r="I67" s="1081">
        <f t="shared" si="2"/>
        <v>0</v>
      </c>
      <c r="J67" s="1081">
        <f t="shared" si="2"/>
        <v>0</v>
      </c>
      <c r="K67" s="173">
        <f t="shared" si="0"/>
        <v>0</v>
      </c>
      <c r="L67" s="1056"/>
    </row>
    <row r="68" spans="1:14" s="492" customFormat="1" ht="27" customHeight="1">
      <c r="A68" s="12"/>
      <c r="B68" s="87"/>
      <c r="C68" s="1113"/>
      <c r="D68" s="1078">
        <v>6800</v>
      </c>
      <c r="E68" s="4" t="s">
        <v>901</v>
      </c>
      <c r="F68" s="1115">
        <f>2145000-1745000-343000+112000+115000-37900-63000+1456000-65000+235856-109500-80000-200000-111500</f>
        <v>1308956</v>
      </c>
      <c r="G68" s="134">
        <f>1456000+236342+110000-39000-540000</f>
        <v>1223342</v>
      </c>
      <c r="H68" s="84"/>
      <c r="I68" s="134"/>
      <c r="J68" s="134">
        <v>0</v>
      </c>
      <c r="K68" s="173">
        <f t="shared" si="0"/>
        <v>0</v>
      </c>
      <c r="L68" s="501"/>
      <c r="M68" s="888"/>
      <c r="N68" s="888"/>
    </row>
    <row r="69" spans="1:14" s="492" customFormat="1" ht="24.75" customHeight="1">
      <c r="A69" s="6"/>
      <c r="B69" s="77">
        <v>801</v>
      </c>
      <c r="C69" s="1113"/>
      <c r="D69" s="1078"/>
      <c r="E69" s="11" t="s">
        <v>499</v>
      </c>
      <c r="F69" s="1079">
        <f>F70+F74+F82+F85</f>
        <v>996534</v>
      </c>
      <c r="G69" s="1079">
        <f>G70+G74+G82+G85</f>
        <v>51550</v>
      </c>
      <c r="H69" s="1079"/>
      <c r="I69" s="1079">
        <f>I70+I74+I82+I85</f>
        <v>874837.32</v>
      </c>
      <c r="J69" s="1079">
        <f>J70+J74+J82+J85</f>
        <v>51438.6</v>
      </c>
      <c r="K69" s="173">
        <f t="shared" si="0"/>
        <v>87.78800522611371</v>
      </c>
      <c r="L69" s="501"/>
      <c r="N69" s="888"/>
    </row>
    <row r="70" spans="1:12" s="492" customFormat="1" ht="21" customHeight="1">
      <c r="A70" s="6"/>
      <c r="B70" s="107"/>
      <c r="C70" s="548">
        <v>80101</v>
      </c>
      <c r="D70" s="1076"/>
      <c r="E70" s="49" t="s">
        <v>500</v>
      </c>
      <c r="F70" s="1081">
        <f>SUM(F71:F73)</f>
        <v>692700</v>
      </c>
      <c r="G70" s="1081">
        <f>SUM(G71:G73)</f>
        <v>0</v>
      </c>
      <c r="H70" s="1081"/>
      <c r="I70" s="1081">
        <f>SUM(I71:I73)</f>
        <v>678690.46</v>
      </c>
      <c r="J70" s="1081">
        <f>SUM(J71:J73)</f>
        <v>0</v>
      </c>
      <c r="K70" s="173">
        <f t="shared" si="0"/>
        <v>97.97754583513786</v>
      </c>
      <c r="L70" s="1056"/>
    </row>
    <row r="71" spans="1:12" s="492" customFormat="1" ht="42" customHeight="1">
      <c r="A71" s="6">
        <v>39</v>
      </c>
      <c r="B71" s="90"/>
      <c r="C71" s="82"/>
      <c r="D71" s="1066">
        <v>6050</v>
      </c>
      <c r="E71" s="14" t="s">
        <v>902</v>
      </c>
      <c r="F71" s="1043">
        <f>115450+115450</f>
        <v>230900</v>
      </c>
      <c r="G71" s="134"/>
      <c r="H71" s="1068" t="s">
        <v>903</v>
      </c>
      <c r="I71" s="134">
        <v>227509.5</v>
      </c>
      <c r="J71" s="134">
        <v>0</v>
      </c>
      <c r="K71" s="173">
        <f t="shared" si="0"/>
        <v>98.53161541792984</v>
      </c>
      <c r="L71" s="509" t="s">
        <v>827</v>
      </c>
    </row>
    <row r="72" spans="1:12" s="492" customFormat="1" ht="38.25" customHeight="1">
      <c r="A72" s="6">
        <v>40</v>
      </c>
      <c r="B72" s="90"/>
      <c r="C72" s="81"/>
      <c r="D72" s="1066">
        <v>6050</v>
      </c>
      <c r="E72" s="14" t="s">
        <v>904</v>
      </c>
      <c r="F72" s="1043">
        <f>115450+115450</f>
        <v>230900</v>
      </c>
      <c r="G72" s="134"/>
      <c r="H72" s="1068" t="s">
        <v>903</v>
      </c>
      <c r="I72" s="134">
        <v>227636.38</v>
      </c>
      <c r="J72" s="134">
        <v>0</v>
      </c>
      <c r="K72" s="173">
        <f t="shared" si="0"/>
        <v>98.5865656128194</v>
      </c>
      <c r="L72" s="501" t="s">
        <v>827</v>
      </c>
    </row>
    <row r="73" spans="1:12" s="492" customFormat="1" ht="39.75" customHeight="1">
      <c r="A73" s="6">
        <v>41</v>
      </c>
      <c r="B73" s="90"/>
      <c r="C73" s="81"/>
      <c r="D73" s="1066">
        <v>6050</v>
      </c>
      <c r="E73" s="14" t="s">
        <v>905</v>
      </c>
      <c r="F73" s="1043">
        <f>115450+115450</f>
        <v>230900</v>
      </c>
      <c r="G73" s="134"/>
      <c r="H73" s="1068" t="s">
        <v>903</v>
      </c>
      <c r="I73" s="134">
        <v>223544.58</v>
      </c>
      <c r="J73" s="134">
        <v>0</v>
      </c>
      <c r="K73" s="173">
        <f t="shared" si="0"/>
        <v>96.81445647466435</v>
      </c>
      <c r="L73" s="501" t="s">
        <v>827</v>
      </c>
    </row>
    <row r="74" spans="1:12" s="492" customFormat="1" ht="19.5" customHeight="1">
      <c r="A74" s="6"/>
      <c r="B74" s="1116"/>
      <c r="C74" s="128">
        <v>80104</v>
      </c>
      <c r="D74" s="1054"/>
      <c r="E74" s="46" t="s">
        <v>563</v>
      </c>
      <c r="F74" s="1065">
        <f>SUM(F75:F81)</f>
        <v>266550</v>
      </c>
      <c r="G74" s="1065">
        <f>SUM(G75:G81)</f>
        <v>51550</v>
      </c>
      <c r="H74" s="1065"/>
      <c r="I74" s="1065">
        <f>SUM(I75:I81)</f>
        <v>159054.86</v>
      </c>
      <c r="J74" s="1065">
        <f>SUM(J75:J81)</f>
        <v>51438.6</v>
      </c>
      <c r="K74" s="173">
        <f t="shared" si="0"/>
        <v>59.67167885950103</v>
      </c>
      <c r="L74" s="1056"/>
    </row>
    <row r="75" spans="1:12" s="492" customFormat="1" ht="35.25" customHeight="1">
      <c r="A75" s="6">
        <v>42</v>
      </c>
      <c r="B75" s="90"/>
      <c r="C75" s="81"/>
      <c r="D75" s="1066">
        <v>6050</v>
      </c>
      <c r="E75" s="14" t="s">
        <v>906</v>
      </c>
      <c r="F75" s="173">
        <f>350000-220000</f>
        <v>130000</v>
      </c>
      <c r="G75" s="173"/>
      <c r="H75" s="1067" t="s">
        <v>907</v>
      </c>
      <c r="I75" s="173">
        <v>23370</v>
      </c>
      <c r="J75" s="173">
        <v>0</v>
      </c>
      <c r="K75" s="173">
        <f t="shared" si="0"/>
        <v>17.976923076923075</v>
      </c>
      <c r="L75" s="501" t="s">
        <v>836</v>
      </c>
    </row>
    <row r="76" spans="1:12" s="492" customFormat="1" ht="28.5" customHeight="1">
      <c r="A76" s="6">
        <v>43</v>
      </c>
      <c r="B76" s="90"/>
      <c r="C76" s="81"/>
      <c r="D76" s="1066">
        <v>6050</v>
      </c>
      <c r="E76" s="14" t="s">
        <v>908</v>
      </c>
      <c r="F76" s="173">
        <v>13000</v>
      </c>
      <c r="G76" s="173"/>
      <c r="H76" s="1067" t="s">
        <v>909</v>
      </c>
      <c r="I76" s="173">
        <v>12300</v>
      </c>
      <c r="J76" s="173">
        <v>0</v>
      </c>
      <c r="K76" s="173">
        <f t="shared" si="0"/>
        <v>94.61538461538461</v>
      </c>
      <c r="L76" s="501" t="s">
        <v>823</v>
      </c>
    </row>
    <row r="77" spans="1:12" s="492" customFormat="1" ht="40.5" customHeight="1">
      <c r="A77" s="6">
        <v>44</v>
      </c>
      <c r="B77" s="90"/>
      <c r="C77" s="81"/>
      <c r="D77" s="1066">
        <v>6050</v>
      </c>
      <c r="E77" s="14" t="s">
        <v>910</v>
      </c>
      <c r="F77" s="173">
        <v>10000</v>
      </c>
      <c r="G77" s="173"/>
      <c r="H77" s="1067" t="s">
        <v>909</v>
      </c>
      <c r="I77" s="173">
        <v>10000</v>
      </c>
      <c r="J77" s="173">
        <v>0</v>
      </c>
      <c r="K77" s="173">
        <f t="shared" si="0"/>
        <v>100</v>
      </c>
      <c r="L77" s="501" t="s">
        <v>823</v>
      </c>
    </row>
    <row r="78" spans="1:12" s="492" customFormat="1" ht="31.5" customHeight="1">
      <c r="A78" s="6">
        <v>45</v>
      </c>
      <c r="B78" s="90"/>
      <c r="C78" s="81"/>
      <c r="D78" s="1066">
        <v>6050</v>
      </c>
      <c r="E78" s="14" t="s">
        <v>911</v>
      </c>
      <c r="F78" s="173">
        <v>51550</v>
      </c>
      <c r="G78" s="173">
        <v>51550</v>
      </c>
      <c r="H78" s="1067" t="s">
        <v>912</v>
      </c>
      <c r="I78" s="134">
        <v>51438.6</v>
      </c>
      <c r="J78" s="134">
        <v>51438.6</v>
      </c>
      <c r="K78" s="173">
        <f t="shared" si="0"/>
        <v>99.7838991270611</v>
      </c>
      <c r="L78" s="501" t="s">
        <v>827</v>
      </c>
    </row>
    <row r="79" spans="1:12" s="492" customFormat="1" ht="53.25" customHeight="1">
      <c r="A79" s="6">
        <v>46</v>
      </c>
      <c r="B79" s="90"/>
      <c r="C79" s="81"/>
      <c r="D79" s="1066">
        <v>6050</v>
      </c>
      <c r="E79" s="2" t="s">
        <v>913</v>
      </c>
      <c r="F79" s="173">
        <v>50000</v>
      </c>
      <c r="G79" s="173"/>
      <c r="H79" s="1068" t="s">
        <v>914</v>
      </c>
      <c r="I79" s="173">
        <v>49997.24</v>
      </c>
      <c r="J79" s="173">
        <v>0</v>
      </c>
      <c r="K79" s="173">
        <f>I79/F79*100</f>
        <v>99.99448</v>
      </c>
      <c r="L79" s="501" t="s">
        <v>827</v>
      </c>
    </row>
    <row r="80" spans="1:12" s="492" customFormat="1" ht="28.5" customHeight="1">
      <c r="A80" s="20">
        <v>47</v>
      </c>
      <c r="B80" s="1117"/>
      <c r="C80" s="81"/>
      <c r="D80" s="1066">
        <v>6060</v>
      </c>
      <c r="E80" s="14" t="s">
        <v>915</v>
      </c>
      <c r="F80" s="173">
        <v>6000</v>
      </c>
      <c r="G80" s="173"/>
      <c r="H80" s="1067" t="s">
        <v>916</v>
      </c>
      <c r="I80" s="173">
        <v>5949.02</v>
      </c>
      <c r="J80" s="173">
        <v>0</v>
      </c>
      <c r="K80" s="173">
        <f aca="true" t="shared" si="3" ref="K80:K143">I80/F80*100</f>
        <v>99.15033333333334</v>
      </c>
      <c r="L80" s="501" t="s">
        <v>823</v>
      </c>
    </row>
    <row r="81" spans="1:12" s="492" customFormat="1" ht="27" customHeight="1">
      <c r="A81" s="20">
        <v>48</v>
      </c>
      <c r="B81" s="1117"/>
      <c r="C81" s="81"/>
      <c r="D81" s="1066">
        <v>6060</v>
      </c>
      <c r="E81" s="14" t="s">
        <v>917</v>
      </c>
      <c r="F81" s="173">
        <v>6000</v>
      </c>
      <c r="G81" s="173"/>
      <c r="H81" s="1067" t="s">
        <v>916</v>
      </c>
      <c r="I81" s="173">
        <v>6000</v>
      </c>
      <c r="J81" s="173">
        <v>0</v>
      </c>
      <c r="K81" s="173">
        <f t="shared" si="3"/>
        <v>100</v>
      </c>
      <c r="L81" s="501" t="s">
        <v>823</v>
      </c>
    </row>
    <row r="82" spans="1:14" s="1106" customFormat="1" ht="22.5" customHeight="1">
      <c r="A82" s="42"/>
      <c r="B82" s="1118"/>
      <c r="C82" s="128">
        <v>80148</v>
      </c>
      <c r="D82" s="1054"/>
      <c r="E82" s="46" t="s">
        <v>79</v>
      </c>
      <c r="F82" s="1065">
        <f>F83+F84</f>
        <v>24000</v>
      </c>
      <c r="G82" s="1065">
        <f>G83+G84</f>
        <v>0</v>
      </c>
      <c r="H82" s="1065"/>
      <c r="I82" s="1065">
        <f>I83+I84</f>
        <v>23808</v>
      </c>
      <c r="J82" s="1065">
        <f>J83+J84</f>
        <v>0</v>
      </c>
      <c r="K82" s="173">
        <f t="shared" si="3"/>
        <v>99.2</v>
      </c>
      <c r="L82" s="1056"/>
      <c r="N82" s="1119"/>
    </row>
    <row r="83" spans="1:12" s="1106" customFormat="1" ht="24" customHeight="1">
      <c r="A83" s="20">
        <v>49</v>
      </c>
      <c r="B83" s="1118"/>
      <c r="C83" s="127"/>
      <c r="D83" s="1066">
        <v>6060</v>
      </c>
      <c r="E83" s="14" t="s">
        <v>918</v>
      </c>
      <c r="F83" s="1043">
        <v>12000</v>
      </c>
      <c r="G83" s="1043">
        <v>0</v>
      </c>
      <c r="H83" s="1067" t="s">
        <v>919</v>
      </c>
      <c r="I83" s="1043">
        <v>11808</v>
      </c>
      <c r="J83" s="1043">
        <v>0</v>
      </c>
      <c r="K83" s="173">
        <f t="shared" si="3"/>
        <v>98.4</v>
      </c>
      <c r="L83" s="501" t="s">
        <v>823</v>
      </c>
    </row>
    <row r="84" spans="1:12" s="492" customFormat="1" ht="33.75" customHeight="1">
      <c r="A84" s="20">
        <v>50</v>
      </c>
      <c r="B84" s="1117"/>
      <c r="C84" s="81"/>
      <c r="D84" s="1066">
        <v>6060</v>
      </c>
      <c r="E84" s="14" t="s">
        <v>920</v>
      </c>
      <c r="F84" s="173">
        <f>15000-3000</f>
        <v>12000</v>
      </c>
      <c r="G84" s="173">
        <v>0</v>
      </c>
      <c r="H84" s="1067" t="s">
        <v>921</v>
      </c>
      <c r="I84" s="173">
        <v>12000</v>
      </c>
      <c r="J84" s="173">
        <v>0</v>
      </c>
      <c r="K84" s="173">
        <f t="shared" si="3"/>
        <v>100</v>
      </c>
      <c r="L84" s="501" t="s">
        <v>823</v>
      </c>
    </row>
    <row r="85" spans="1:12" s="1106" customFormat="1" ht="21.75" customHeight="1">
      <c r="A85" s="42"/>
      <c r="B85" s="1118"/>
      <c r="C85" s="128">
        <v>80195</v>
      </c>
      <c r="D85" s="1054"/>
      <c r="E85" s="46" t="s">
        <v>494</v>
      </c>
      <c r="F85" s="1065">
        <f>F86</f>
        <v>13284</v>
      </c>
      <c r="G85" s="1065">
        <f>G86</f>
        <v>0</v>
      </c>
      <c r="H85" s="1065"/>
      <c r="I85" s="1065">
        <f>I86</f>
        <v>13284</v>
      </c>
      <c r="J85" s="1065">
        <f>J86</f>
        <v>0</v>
      </c>
      <c r="K85" s="173">
        <f t="shared" si="3"/>
        <v>100</v>
      </c>
      <c r="L85" s="1056"/>
    </row>
    <row r="86" spans="1:12" s="492" customFormat="1" ht="28.5" customHeight="1">
      <c r="A86" s="20">
        <v>51</v>
      </c>
      <c r="B86" s="1117"/>
      <c r="C86" s="81"/>
      <c r="D86" s="1066">
        <v>6050</v>
      </c>
      <c r="E86" s="14" t="s">
        <v>922</v>
      </c>
      <c r="F86" s="173">
        <f>141384+510066+804550-1456000+2822000+2212600-5021316</f>
        <v>13284</v>
      </c>
      <c r="G86" s="173">
        <f>141384+510066+804550-1456000</f>
        <v>0</v>
      </c>
      <c r="H86" s="1067" t="s">
        <v>844</v>
      </c>
      <c r="I86" s="173">
        <v>13284</v>
      </c>
      <c r="J86" s="173">
        <v>0</v>
      </c>
      <c r="K86" s="173">
        <f t="shared" si="3"/>
        <v>100</v>
      </c>
      <c r="L86" s="501" t="s">
        <v>836</v>
      </c>
    </row>
    <row r="87" spans="1:12" s="492" customFormat="1" ht="20.25" customHeight="1">
      <c r="A87" s="25"/>
      <c r="B87" s="1120">
        <v>851</v>
      </c>
      <c r="C87" s="77"/>
      <c r="D87" s="123"/>
      <c r="E87" s="18" t="s">
        <v>82</v>
      </c>
      <c r="F87" s="1073">
        <f>F88+F90</f>
        <v>16000</v>
      </c>
      <c r="G87" s="1073">
        <f>G88+G90</f>
        <v>0</v>
      </c>
      <c r="H87" s="1067"/>
      <c r="I87" s="1073">
        <f>I88+I90</f>
        <v>16000</v>
      </c>
      <c r="J87" s="1073">
        <f>J88+J90</f>
        <v>0</v>
      </c>
      <c r="K87" s="173">
        <f t="shared" si="3"/>
        <v>100</v>
      </c>
      <c r="L87" s="1121"/>
    </row>
    <row r="88" spans="1:12" s="1106" customFormat="1" ht="19.5" customHeight="1">
      <c r="A88" s="1122"/>
      <c r="B88" s="145"/>
      <c r="C88" s="1064">
        <v>85111</v>
      </c>
      <c r="D88" s="128"/>
      <c r="E88" s="46" t="s">
        <v>343</v>
      </c>
      <c r="F88" s="1065">
        <f>F89</f>
        <v>10000</v>
      </c>
      <c r="G88" s="1065">
        <f>G89</f>
        <v>0</v>
      </c>
      <c r="H88" s="1065"/>
      <c r="I88" s="1065">
        <f>I89</f>
        <v>10000</v>
      </c>
      <c r="J88" s="1065">
        <f>J89</f>
        <v>0</v>
      </c>
      <c r="K88" s="173">
        <f t="shared" si="3"/>
        <v>100</v>
      </c>
      <c r="L88" s="1056"/>
    </row>
    <row r="89" spans="1:12" s="492" customFormat="1" ht="45" customHeight="1">
      <c r="A89" s="23">
        <v>52</v>
      </c>
      <c r="B89" s="88"/>
      <c r="C89" s="123"/>
      <c r="D89" s="1060">
        <v>6220</v>
      </c>
      <c r="E89" s="14" t="s">
        <v>923</v>
      </c>
      <c r="F89" s="1043">
        <v>10000</v>
      </c>
      <c r="G89" s="1073"/>
      <c r="H89" s="1067" t="s">
        <v>924</v>
      </c>
      <c r="I89" s="1043">
        <v>10000</v>
      </c>
      <c r="J89" s="1073">
        <v>0</v>
      </c>
      <c r="K89" s="173">
        <f t="shared" si="3"/>
        <v>100</v>
      </c>
      <c r="L89" s="501" t="s">
        <v>823</v>
      </c>
    </row>
    <row r="90" spans="1:12" s="492" customFormat="1" ht="21.75" customHeight="1">
      <c r="A90" s="42"/>
      <c r="B90" s="1123"/>
      <c r="C90" s="128">
        <v>85154</v>
      </c>
      <c r="D90" s="128"/>
      <c r="E90" s="46" t="s">
        <v>925</v>
      </c>
      <c r="F90" s="1065">
        <f>F91</f>
        <v>6000</v>
      </c>
      <c r="G90" s="1065">
        <f>G91</f>
        <v>0</v>
      </c>
      <c r="H90" s="1065"/>
      <c r="I90" s="1065">
        <f>I91</f>
        <v>6000</v>
      </c>
      <c r="J90" s="1065">
        <f>J91</f>
        <v>0</v>
      </c>
      <c r="K90" s="173">
        <f t="shared" si="3"/>
        <v>100</v>
      </c>
      <c r="L90" s="1056"/>
    </row>
    <row r="91" spans="1:12" s="492" customFormat="1" ht="39" customHeight="1">
      <c r="A91" s="5">
        <v>53</v>
      </c>
      <c r="B91" s="1124"/>
      <c r="C91" s="1077"/>
      <c r="D91" s="1060">
        <v>6220</v>
      </c>
      <c r="E91" s="14" t="s">
        <v>923</v>
      </c>
      <c r="F91" s="173">
        <v>6000</v>
      </c>
      <c r="G91" s="173"/>
      <c r="H91" s="1114" t="s">
        <v>926</v>
      </c>
      <c r="I91" s="173">
        <v>6000</v>
      </c>
      <c r="J91" s="173">
        <v>0</v>
      </c>
      <c r="K91" s="173">
        <f t="shared" si="3"/>
        <v>100</v>
      </c>
      <c r="L91" s="501" t="s">
        <v>823</v>
      </c>
    </row>
    <row r="92" spans="1:12" s="492" customFormat="1" ht="28.5" customHeight="1">
      <c r="A92" s="23"/>
      <c r="B92" s="88">
        <v>853</v>
      </c>
      <c r="C92" s="83"/>
      <c r="D92" s="1060"/>
      <c r="E92" s="1125" t="s">
        <v>523</v>
      </c>
      <c r="F92" s="1073">
        <f>F93</f>
        <v>1687779.92</v>
      </c>
      <c r="G92" s="1073">
        <f>G93</f>
        <v>0</v>
      </c>
      <c r="H92" s="1073"/>
      <c r="I92" s="1073">
        <f>I93</f>
        <v>1638103.5700000003</v>
      </c>
      <c r="J92" s="1073">
        <f>J93</f>
        <v>0</v>
      </c>
      <c r="K92" s="173">
        <f t="shared" si="3"/>
        <v>97.05670452578914</v>
      </c>
      <c r="L92" s="1121"/>
    </row>
    <row r="93" spans="1:12" s="492" customFormat="1" ht="21" customHeight="1">
      <c r="A93" s="23"/>
      <c r="B93" s="87"/>
      <c r="C93" s="128">
        <v>85395</v>
      </c>
      <c r="D93" s="1126"/>
      <c r="E93" s="46" t="s">
        <v>593</v>
      </c>
      <c r="F93" s="1065">
        <f>SUM(F94:F108)</f>
        <v>1687779.92</v>
      </c>
      <c r="G93" s="1065">
        <f>SUM(G94:G108)</f>
        <v>0</v>
      </c>
      <c r="H93" s="1065">
        <f>SUM(H94:H108)</f>
        <v>0</v>
      </c>
      <c r="I93" s="1065">
        <f>SUM(I94:I108)</f>
        <v>1638103.5700000003</v>
      </c>
      <c r="J93" s="1065">
        <f>J107+J108</f>
        <v>0</v>
      </c>
      <c r="K93" s="173">
        <f t="shared" si="3"/>
        <v>97.05670452578914</v>
      </c>
      <c r="L93" s="1056"/>
    </row>
    <row r="94" spans="1:12" s="492" customFormat="1" ht="30" customHeight="1">
      <c r="A94" s="1221">
        <v>54</v>
      </c>
      <c r="B94" s="78"/>
      <c r="C94" s="548"/>
      <c r="D94" s="1127">
        <v>6067</v>
      </c>
      <c r="E94" s="1128" t="s">
        <v>927</v>
      </c>
      <c r="F94" s="1129">
        <f>16000-2400</f>
        <v>13600</v>
      </c>
      <c r="G94" s="1129"/>
      <c r="H94" s="1130" t="s">
        <v>928</v>
      </c>
      <c r="I94" s="1129">
        <v>13158</v>
      </c>
      <c r="J94" s="1129">
        <v>0</v>
      </c>
      <c r="K94" s="173">
        <f t="shared" si="3"/>
        <v>96.75</v>
      </c>
      <c r="L94" s="1094" t="s">
        <v>823</v>
      </c>
    </row>
    <row r="95" spans="1:12" s="492" customFormat="1" ht="32.25" customHeight="1">
      <c r="A95" s="1237"/>
      <c r="B95" s="87"/>
      <c r="C95" s="548"/>
      <c r="D95" s="1127">
        <v>6069</v>
      </c>
      <c r="E95" s="1128" t="s">
        <v>927</v>
      </c>
      <c r="F95" s="1129">
        <v>2400</v>
      </c>
      <c r="G95" s="1129"/>
      <c r="H95" s="1130" t="s">
        <v>928</v>
      </c>
      <c r="I95" s="1129">
        <v>2322</v>
      </c>
      <c r="J95" s="1129">
        <v>0</v>
      </c>
      <c r="K95" s="173">
        <f t="shared" si="3"/>
        <v>96.75</v>
      </c>
      <c r="L95" s="1094" t="s">
        <v>823</v>
      </c>
    </row>
    <row r="96" spans="1:12" s="492" customFormat="1" ht="30.75" customHeight="1">
      <c r="A96" s="12">
        <v>55</v>
      </c>
      <c r="B96" s="87"/>
      <c r="C96" s="548"/>
      <c r="D96" s="1131">
        <v>6067</v>
      </c>
      <c r="E96" s="1061" t="s">
        <v>929</v>
      </c>
      <c r="F96" s="1129">
        <v>11000</v>
      </c>
      <c r="G96" s="1129"/>
      <c r="H96" s="1132" t="s">
        <v>930</v>
      </c>
      <c r="I96" s="1129">
        <v>10982</v>
      </c>
      <c r="J96" s="1129">
        <v>0</v>
      </c>
      <c r="K96" s="173">
        <f t="shared" si="3"/>
        <v>99.83636363636363</v>
      </c>
      <c r="L96" s="1094" t="s">
        <v>823</v>
      </c>
    </row>
    <row r="97" spans="1:12" s="492" customFormat="1" ht="24" customHeight="1">
      <c r="A97" s="1221">
        <v>56</v>
      </c>
      <c r="B97" s="87"/>
      <c r="C97" s="548"/>
      <c r="D97" s="1131">
        <v>6067</v>
      </c>
      <c r="E97" s="1061" t="s">
        <v>931</v>
      </c>
      <c r="F97" s="1129">
        <v>3475.98</v>
      </c>
      <c r="G97" s="1129"/>
      <c r="H97" s="1132" t="s">
        <v>932</v>
      </c>
      <c r="I97" s="1129">
        <v>3475.98</v>
      </c>
      <c r="J97" s="1129">
        <v>0</v>
      </c>
      <c r="K97" s="173">
        <f t="shared" si="3"/>
        <v>100</v>
      </c>
      <c r="L97" s="1094" t="s">
        <v>823</v>
      </c>
    </row>
    <row r="98" spans="1:12" s="492" customFormat="1" ht="23.25" customHeight="1">
      <c r="A98" s="1223"/>
      <c r="B98" s="87"/>
      <c r="C98" s="548"/>
      <c r="D98" s="1131">
        <v>6069</v>
      </c>
      <c r="E98" s="1061" t="s">
        <v>931</v>
      </c>
      <c r="F98" s="1129">
        <v>184.02</v>
      </c>
      <c r="G98" s="1129"/>
      <c r="H98" s="1132" t="s">
        <v>932</v>
      </c>
      <c r="I98" s="1129">
        <v>184.02</v>
      </c>
      <c r="J98" s="1129">
        <v>0</v>
      </c>
      <c r="K98" s="173">
        <f t="shared" si="3"/>
        <v>100</v>
      </c>
      <c r="L98" s="1094" t="s">
        <v>823</v>
      </c>
    </row>
    <row r="99" spans="1:12" s="492" customFormat="1" ht="40.5" customHeight="1">
      <c r="A99" s="1205">
        <v>57</v>
      </c>
      <c r="B99" s="87"/>
      <c r="C99" s="548"/>
      <c r="D99" s="1131">
        <v>6067</v>
      </c>
      <c r="E99" s="1061" t="s">
        <v>933</v>
      </c>
      <c r="F99" s="1129">
        <v>19720</v>
      </c>
      <c r="G99" s="1129"/>
      <c r="H99" s="1130" t="s">
        <v>934</v>
      </c>
      <c r="I99" s="1129">
        <v>18898.99</v>
      </c>
      <c r="J99" s="1129">
        <v>0</v>
      </c>
      <c r="K99" s="173">
        <f t="shared" si="3"/>
        <v>95.83666328600407</v>
      </c>
      <c r="L99" s="1094" t="s">
        <v>823</v>
      </c>
    </row>
    <row r="100" spans="1:12" s="492" customFormat="1" ht="40.5" customHeight="1">
      <c r="A100" s="1223"/>
      <c r="B100" s="87"/>
      <c r="C100" s="548"/>
      <c r="D100" s="1131">
        <v>6069</v>
      </c>
      <c r="E100" s="1061" t="s">
        <v>933</v>
      </c>
      <c r="F100" s="1129">
        <v>3480</v>
      </c>
      <c r="G100" s="1129"/>
      <c r="H100" s="1130" t="s">
        <v>934</v>
      </c>
      <c r="I100" s="1129">
        <v>3335.12</v>
      </c>
      <c r="J100" s="1129">
        <v>0</v>
      </c>
      <c r="K100" s="173">
        <f t="shared" si="3"/>
        <v>95.8367816091954</v>
      </c>
      <c r="L100" s="1094" t="s">
        <v>823</v>
      </c>
    </row>
    <row r="101" spans="1:12" s="492" customFormat="1" ht="31.5" customHeight="1">
      <c r="A101" s="83">
        <v>58</v>
      </c>
      <c r="B101" s="87"/>
      <c r="C101" s="548"/>
      <c r="D101" s="1131">
        <v>6067</v>
      </c>
      <c r="E101" s="1061" t="s">
        <v>935</v>
      </c>
      <c r="F101" s="1071">
        <v>8900</v>
      </c>
      <c r="G101" s="1129"/>
      <c r="H101" s="1132" t="s">
        <v>936</v>
      </c>
      <c r="I101" s="1129">
        <v>8900</v>
      </c>
      <c r="J101" s="1129">
        <v>0</v>
      </c>
      <c r="K101" s="173">
        <f t="shared" si="3"/>
        <v>100</v>
      </c>
      <c r="L101" s="1094" t="s">
        <v>823</v>
      </c>
    </row>
    <row r="102" spans="1:12" s="492" customFormat="1" ht="26.25" customHeight="1">
      <c r="A102" s="81">
        <v>59</v>
      </c>
      <c r="B102" s="87"/>
      <c r="C102" s="548"/>
      <c r="D102" s="1131">
        <v>6067</v>
      </c>
      <c r="E102" s="1061" t="s">
        <v>937</v>
      </c>
      <c r="F102" s="1071">
        <v>3700</v>
      </c>
      <c r="G102" s="1129"/>
      <c r="H102" s="1132" t="s">
        <v>938</v>
      </c>
      <c r="I102" s="1129">
        <v>3700</v>
      </c>
      <c r="J102" s="1129">
        <v>0</v>
      </c>
      <c r="K102" s="173">
        <f t="shared" si="3"/>
        <v>100</v>
      </c>
      <c r="L102" s="1094" t="s">
        <v>823</v>
      </c>
    </row>
    <row r="103" spans="1:12" s="492" customFormat="1" ht="32.25" customHeight="1">
      <c r="A103" s="83">
        <v>60</v>
      </c>
      <c r="B103" s="87"/>
      <c r="C103" s="548"/>
      <c r="D103" s="1131">
        <v>6067</v>
      </c>
      <c r="E103" s="1061" t="s">
        <v>939</v>
      </c>
      <c r="F103" s="1071">
        <v>19950</v>
      </c>
      <c r="G103" s="1129"/>
      <c r="H103" s="1132" t="s">
        <v>940</v>
      </c>
      <c r="I103" s="1129">
        <v>19950</v>
      </c>
      <c r="J103" s="1129">
        <v>0</v>
      </c>
      <c r="K103" s="173">
        <f t="shared" si="3"/>
        <v>100</v>
      </c>
      <c r="L103" s="1094" t="s">
        <v>823</v>
      </c>
    </row>
    <row r="104" spans="1:12" s="492" customFormat="1" ht="40.5" customHeight="1">
      <c r="A104" s="83">
        <v>61</v>
      </c>
      <c r="B104" s="87"/>
      <c r="C104" s="548"/>
      <c r="D104" s="1131">
        <v>6067</v>
      </c>
      <c r="E104" s="1061" t="s">
        <v>941</v>
      </c>
      <c r="F104" s="1133">
        <v>18000</v>
      </c>
      <c r="G104" s="1129"/>
      <c r="H104" s="1134" t="s">
        <v>942</v>
      </c>
      <c r="I104" s="1129">
        <v>0</v>
      </c>
      <c r="J104" s="1129">
        <v>0</v>
      </c>
      <c r="K104" s="173">
        <f t="shared" si="3"/>
        <v>0</v>
      </c>
      <c r="L104" s="501" t="s">
        <v>836</v>
      </c>
    </row>
    <row r="105" spans="1:12" s="492" customFormat="1" ht="29.25" customHeight="1">
      <c r="A105" s="83">
        <v>62</v>
      </c>
      <c r="B105" s="87"/>
      <c r="C105" s="548"/>
      <c r="D105" s="1131">
        <v>6067</v>
      </c>
      <c r="E105" s="1061" t="s">
        <v>943</v>
      </c>
      <c r="F105" s="1133">
        <v>16000</v>
      </c>
      <c r="G105" s="1129"/>
      <c r="H105" s="1134" t="s">
        <v>942</v>
      </c>
      <c r="I105" s="1129">
        <v>0</v>
      </c>
      <c r="J105" s="1129">
        <v>0</v>
      </c>
      <c r="K105" s="173">
        <f t="shared" si="3"/>
        <v>0</v>
      </c>
      <c r="L105" s="501" t="s">
        <v>836</v>
      </c>
    </row>
    <row r="106" spans="1:12" s="492" customFormat="1" ht="33" customHeight="1">
      <c r="A106" s="83">
        <v>63</v>
      </c>
      <c r="B106" s="87"/>
      <c r="C106" s="548"/>
      <c r="D106" s="1131">
        <v>6067</v>
      </c>
      <c r="E106" s="1061" t="s">
        <v>944</v>
      </c>
      <c r="F106" s="1133">
        <v>4000</v>
      </c>
      <c r="G106" s="1129"/>
      <c r="H106" s="1134" t="s">
        <v>942</v>
      </c>
      <c r="I106" s="1129">
        <v>0</v>
      </c>
      <c r="J106" s="1129">
        <v>0</v>
      </c>
      <c r="K106" s="173">
        <f t="shared" si="3"/>
        <v>0</v>
      </c>
      <c r="L106" s="501" t="s">
        <v>836</v>
      </c>
    </row>
    <row r="107" spans="1:14" s="492" customFormat="1" ht="48" customHeight="1">
      <c r="A107" s="1221">
        <v>64</v>
      </c>
      <c r="B107" s="87"/>
      <c r="C107" s="548"/>
      <c r="D107" s="1060">
        <v>6237</v>
      </c>
      <c r="E107" s="14" t="s">
        <v>945</v>
      </c>
      <c r="F107" s="173">
        <f>1530000-13285.57-187850</f>
        <v>1328864.43</v>
      </c>
      <c r="G107" s="173"/>
      <c r="H107" s="1067" t="s">
        <v>946</v>
      </c>
      <c r="I107" s="173">
        <v>1320217.83</v>
      </c>
      <c r="J107" s="173">
        <v>0</v>
      </c>
      <c r="K107" s="173">
        <f t="shared" si="3"/>
        <v>99.34932414437492</v>
      </c>
      <c r="L107" s="501" t="s">
        <v>836</v>
      </c>
      <c r="N107" s="888"/>
    </row>
    <row r="108" spans="1:12" s="492" customFormat="1" ht="48" customHeight="1">
      <c r="A108" s="1237"/>
      <c r="B108" s="88"/>
      <c r="C108" s="1077"/>
      <c r="D108" s="1060">
        <v>6239</v>
      </c>
      <c r="E108" s="14" t="s">
        <v>945</v>
      </c>
      <c r="F108" s="173">
        <f>270000-2344.51-33150</f>
        <v>234505.49</v>
      </c>
      <c r="G108" s="173"/>
      <c r="H108" s="1067" t="s">
        <v>946</v>
      </c>
      <c r="I108" s="173">
        <v>232979.63</v>
      </c>
      <c r="J108" s="173">
        <v>0</v>
      </c>
      <c r="K108" s="173">
        <f t="shared" si="3"/>
        <v>99.34932866603678</v>
      </c>
      <c r="L108" s="501" t="s">
        <v>836</v>
      </c>
    </row>
    <row r="109" spans="1:12" s="492" customFormat="1" ht="30" customHeight="1">
      <c r="A109" s="12"/>
      <c r="B109" s="88">
        <v>900</v>
      </c>
      <c r="C109" s="77"/>
      <c r="D109" s="79"/>
      <c r="E109" s="18" t="s">
        <v>502</v>
      </c>
      <c r="F109" s="1073">
        <f>F110+F113+F115+F126</f>
        <v>2218240.9</v>
      </c>
      <c r="G109" s="1073">
        <f>G110+G113+G115+G126</f>
        <v>818858</v>
      </c>
      <c r="H109" s="1073"/>
      <c r="I109" s="1073">
        <f>I110+I113+I115+I126</f>
        <v>1927276.4800000002</v>
      </c>
      <c r="J109" s="1073">
        <f>J110+J113+J115+J126</f>
        <v>876702.55</v>
      </c>
      <c r="K109" s="173">
        <f t="shared" si="3"/>
        <v>86.88310092920928</v>
      </c>
      <c r="L109" s="501"/>
    </row>
    <row r="110" spans="1:12" s="1106" customFormat="1" ht="30" customHeight="1">
      <c r="A110" s="12"/>
      <c r="B110" s="127"/>
      <c r="C110" s="127">
        <v>90002</v>
      </c>
      <c r="D110" s="1076"/>
      <c r="E110" s="46" t="s">
        <v>312</v>
      </c>
      <c r="F110" s="1065">
        <f>F111+F112</f>
        <v>26000</v>
      </c>
      <c r="G110" s="1065">
        <f>G111+G112</f>
        <v>26000</v>
      </c>
      <c r="H110" s="1065"/>
      <c r="I110" s="1065">
        <f>I111+I112</f>
        <v>9789.92</v>
      </c>
      <c r="J110" s="1065">
        <f>J111+J112</f>
        <v>9789.92</v>
      </c>
      <c r="K110" s="173">
        <f t="shared" si="3"/>
        <v>37.65353846153846</v>
      </c>
      <c r="L110" s="1056"/>
    </row>
    <row r="111" spans="1:12" s="1106" customFormat="1" ht="39" customHeight="1">
      <c r="A111" s="6">
        <v>65</v>
      </c>
      <c r="B111" s="221"/>
      <c r="C111" s="145"/>
      <c r="D111" s="1066">
        <v>6220</v>
      </c>
      <c r="E111" s="1135" t="s">
        <v>947</v>
      </c>
      <c r="F111" s="1133">
        <f>10000-4000</f>
        <v>6000</v>
      </c>
      <c r="G111" s="1133">
        <f>10000-4000</f>
        <v>6000</v>
      </c>
      <c r="H111" s="1136" t="s">
        <v>948</v>
      </c>
      <c r="I111" s="1133">
        <v>0</v>
      </c>
      <c r="J111" s="1133">
        <v>0</v>
      </c>
      <c r="K111" s="173">
        <f t="shared" si="3"/>
        <v>0</v>
      </c>
      <c r="L111" s="509" t="s">
        <v>949</v>
      </c>
    </row>
    <row r="112" spans="1:12" s="492" customFormat="1" ht="39.75" customHeight="1">
      <c r="A112" s="5">
        <v>66</v>
      </c>
      <c r="B112" s="90"/>
      <c r="C112" s="88"/>
      <c r="D112" s="1066">
        <v>6230</v>
      </c>
      <c r="E112" s="1135" t="s">
        <v>947</v>
      </c>
      <c r="F112" s="1133">
        <f>40000-10000-10000</f>
        <v>20000</v>
      </c>
      <c r="G112" s="1133">
        <f>40000-10000-10000</f>
        <v>20000</v>
      </c>
      <c r="H112" s="1137" t="s">
        <v>950</v>
      </c>
      <c r="I112" s="1133">
        <v>9789.92</v>
      </c>
      <c r="J112" s="1133">
        <v>9789.92</v>
      </c>
      <c r="K112" s="173">
        <f t="shared" si="3"/>
        <v>48.9496</v>
      </c>
      <c r="L112" s="501" t="s">
        <v>823</v>
      </c>
    </row>
    <row r="113" spans="1:12" s="1106" customFormat="1" ht="26.25" customHeight="1">
      <c r="A113" s="48"/>
      <c r="B113" s="221"/>
      <c r="C113" s="128">
        <v>90004</v>
      </c>
      <c r="D113" s="1054"/>
      <c r="E113" s="1138" t="s">
        <v>313</v>
      </c>
      <c r="F113" s="1139">
        <f>F114</f>
        <v>39000</v>
      </c>
      <c r="G113" s="1139">
        <f>G114</f>
        <v>0</v>
      </c>
      <c r="H113" s="1140"/>
      <c r="I113" s="1139">
        <f>I114</f>
        <v>38959.67</v>
      </c>
      <c r="J113" s="1139">
        <f>J114</f>
        <v>0</v>
      </c>
      <c r="K113" s="173">
        <f t="shared" si="3"/>
        <v>99.89658974358974</v>
      </c>
      <c r="L113" s="1056"/>
    </row>
    <row r="114" spans="1:12" s="1057" customFormat="1" ht="37.5" customHeight="1">
      <c r="A114" s="5">
        <v>67</v>
      </c>
      <c r="B114" s="91"/>
      <c r="C114" s="81"/>
      <c r="D114" s="1066">
        <v>6050</v>
      </c>
      <c r="E114" s="1135" t="s">
        <v>951</v>
      </c>
      <c r="F114" s="1133">
        <v>39000</v>
      </c>
      <c r="G114" s="1133"/>
      <c r="H114" s="1141" t="s">
        <v>952</v>
      </c>
      <c r="I114" s="1133">
        <v>38959.67</v>
      </c>
      <c r="J114" s="1133">
        <v>0</v>
      </c>
      <c r="K114" s="173">
        <f t="shared" si="3"/>
        <v>99.89658974358974</v>
      </c>
      <c r="L114" s="501" t="s">
        <v>823</v>
      </c>
    </row>
    <row r="115" spans="1:12" s="492" customFormat="1" ht="21" customHeight="1">
      <c r="A115" s="5"/>
      <c r="B115" s="127"/>
      <c r="C115" s="128">
        <v>90015</v>
      </c>
      <c r="D115" s="1076"/>
      <c r="E115" s="46" t="s">
        <v>953</v>
      </c>
      <c r="F115" s="1065">
        <f>SUM(F116:F125)</f>
        <v>678606.9</v>
      </c>
      <c r="G115" s="1065">
        <f>SUM(G116:G125)</f>
        <v>0</v>
      </c>
      <c r="H115" s="1142"/>
      <c r="I115" s="1065">
        <f>SUM(I116:I125)</f>
        <v>440760.71</v>
      </c>
      <c r="J115" s="1065">
        <f>SUM(J116:J125)</f>
        <v>0</v>
      </c>
      <c r="K115" s="173">
        <f t="shared" si="3"/>
        <v>64.95081467636123</v>
      </c>
      <c r="L115" s="1056"/>
    </row>
    <row r="116" spans="1:12" s="492" customFormat="1" ht="37.5" customHeight="1">
      <c r="A116" s="6">
        <v>68</v>
      </c>
      <c r="B116" s="91"/>
      <c r="C116" s="82"/>
      <c r="D116" s="1143">
        <v>6050</v>
      </c>
      <c r="E116" s="1086" t="s">
        <v>954</v>
      </c>
      <c r="F116" s="1071">
        <f>200000-10000</f>
        <v>190000</v>
      </c>
      <c r="G116" s="1071"/>
      <c r="H116" s="1136" t="s">
        <v>844</v>
      </c>
      <c r="I116" s="1071">
        <v>7460</v>
      </c>
      <c r="J116" s="1071">
        <v>0</v>
      </c>
      <c r="K116" s="173">
        <f t="shared" si="3"/>
        <v>3.926315789473684</v>
      </c>
      <c r="L116" s="501" t="s">
        <v>836</v>
      </c>
    </row>
    <row r="117" spans="1:12" s="492" customFormat="1" ht="48" customHeight="1">
      <c r="A117" s="6">
        <v>69</v>
      </c>
      <c r="B117" s="91"/>
      <c r="C117" s="81"/>
      <c r="D117" s="1143">
        <v>6050</v>
      </c>
      <c r="E117" s="2" t="s">
        <v>955</v>
      </c>
      <c r="F117" s="1133">
        <f>109500+200000</f>
        <v>309500</v>
      </c>
      <c r="G117" s="1133"/>
      <c r="H117" s="1136" t="s">
        <v>956</v>
      </c>
      <c r="I117" s="1133">
        <v>309451.46</v>
      </c>
      <c r="J117" s="1133">
        <v>0</v>
      </c>
      <c r="K117" s="173">
        <f t="shared" si="3"/>
        <v>99.98431663974152</v>
      </c>
      <c r="L117" s="509" t="s">
        <v>827</v>
      </c>
    </row>
    <row r="118" spans="1:12" s="492" customFormat="1" ht="48.75" customHeight="1">
      <c r="A118" s="6">
        <v>70</v>
      </c>
      <c r="B118" s="91"/>
      <c r="C118" s="81"/>
      <c r="D118" s="1143">
        <v>6050</v>
      </c>
      <c r="E118" s="2" t="s">
        <v>957</v>
      </c>
      <c r="F118" s="1133">
        <f>30000-1700-17300</f>
        <v>11000</v>
      </c>
      <c r="G118" s="1133"/>
      <c r="H118" s="1136" t="s">
        <v>844</v>
      </c>
      <c r="I118" s="1133">
        <v>9840</v>
      </c>
      <c r="J118" s="1133">
        <v>0</v>
      </c>
      <c r="K118" s="173">
        <f t="shared" si="3"/>
        <v>89.45454545454545</v>
      </c>
      <c r="L118" s="509" t="s">
        <v>823</v>
      </c>
    </row>
    <row r="119" spans="1:12" s="492" customFormat="1" ht="42.75" customHeight="1">
      <c r="A119" s="6">
        <v>71</v>
      </c>
      <c r="B119" s="91"/>
      <c r="C119" s="81"/>
      <c r="D119" s="1143">
        <v>6050</v>
      </c>
      <c r="E119" s="2" t="s">
        <v>958</v>
      </c>
      <c r="F119" s="1133">
        <v>36000</v>
      </c>
      <c r="G119" s="1133"/>
      <c r="H119" s="1144" t="s">
        <v>959</v>
      </c>
      <c r="I119" s="1133">
        <v>36000</v>
      </c>
      <c r="J119" s="1133">
        <v>0</v>
      </c>
      <c r="K119" s="173">
        <f t="shared" si="3"/>
        <v>100</v>
      </c>
      <c r="L119" s="509" t="s">
        <v>823</v>
      </c>
    </row>
    <row r="120" spans="1:12" s="492" customFormat="1" ht="57" customHeight="1">
      <c r="A120" s="6">
        <v>72</v>
      </c>
      <c r="B120" s="91"/>
      <c r="C120" s="81"/>
      <c r="D120" s="1143">
        <v>6050</v>
      </c>
      <c r="E120" s="2" t="s">
        <v>960</v>
      </c>
      <c r="F120" s="1133">
        <f>15000+5975.5</f>
        <v>20975.5</v>
      </c>
      <c r="G120" s="1133"/>
      <c r="H120" s="1136" t="s">
        <v>961</v>
      </c>
      <c r="I120" s="1133">
        <f>17708.74+1149.61</f>
        <v>18858.350000000002</v>
      </c>
      <c r="J120" s="1133">
        <v>0</v>
      </c>
      <c r="K120" s="173">
        <f t="shared" si="3"/>
        <v>89.90655765059236</v>
      </c>
      <c r="L120" s="1069" t="s">
        <v>962</v>
      </c>
    </row>
    <row r="121" spans="1:12" s="492" customFormat="1" ht="42" customHeight="1">
      <c r="A121" s="6">
        <v>73</v>
      </c>
      <c r="B121" s="91"/>
      <c r="C121" s="81"/>
      <c r="D121" s="1066">
        <v>6050</v>
      </c>
      <c r="E121" s="2" t="s">
        <v>963</v>
      </c>
      <c r="F121" s="1133">
        <v>70000</v>
      </c>
      <c r="G121" s="1133"/>
      <c r="H121" s="1136" t="s">
        <v>852</v>
      </c>
      <c r="I121" s="1133">
        <v>18019.5</v>
      </c>
      <c r="J121" s="1133">
        <v>0</v>
      </c>
      <c r="K121" s="173">
        <f t="shared" si="3"/>
        <v>25.74214285714286</v>
      </c>
      <c r="L121" s="501" t="s">
        <v>836</v>
      </c>
    </row>
    <row r="122" spans="1:12" s="492" customFormat="1" ht="55.5" customHeight="1">
      <c r="A122" s="6">
        <v>74</v>
      </c>
      <c r="B122" s="91"/>
      <c r="C122" s="81"/>
      <c r="D122" s="1066">
        <v>6050</v>
      </c>
      <c r="E122" s="2" t="s">
        <v>964</v>
      </c>
      <c r="F122" s="1133">
        <f>15000-4975.5</f>
        <v>10024.5</v>
      </c>
      <c r="G122" s="1133"/>
      <c r="H122" s="1145" t="s">
        <v>852</v>
      </c>
      <c r="I122" s="1133">
        <v>10024.5</v>
      </c>
      <c r="J122" s="1133">
        <v>0</v>
      </c>
      <c r="K122" s="173">
        <f t="shared" si="3"/>
        <v>100</v>
      </c>
      <c r="L122" s="509" t="s">
        <v>823</v>
      </c>
    </row>
    <row r="123" spans="1:12" s="492" customFormat="1" ht="28.5" customHeight="1">
      <c r="A123" s="6">
        <v>75</v>
      </c>
      <c r="B123" s="91"/>
      <c r="C123" s="81"/>
      <c r="D123" s="1066">
        <v>6060</v>
      </c>
      <c r="E123" s="2" t="s">
        <v>965</v>
      </c>
      <c r="F123" s="1133">
        <v>6888</v>
      </c>
      <c r="G123" s="1133"/>
      <c r="H123" s="1068" t="s">
        <v>966</v>
      </c>
      <c r="I123" s="1133">
        <v>6888</v>
      </c>
      <c r="J123" s="1133">
        <v>0</v>
      </c>
      <c r="K123" s="173">
        <f t="shared" si="3"/>
        <v>100</v>
      </c>
      <c r="L123" s="509" t="s">
        <v>823</v>
      </c>
    </row>
    <row r="124" spans="1:12" s="492" customFormat="1" ht="20.25" customHeight="1">
      <c r="A124" s="6">
        <v>76</v>
      </c>
      <c r="B124" s="91"/>
      <c r="C124" s="81"/>
      <c r="D124" s="1066">
        <v>6060</v>
      </c>
      <c r="E124" s="2" t="s">
        <v>967</v>
      </c>
      <c r="F124" s="1133">
        <v>4218.9</v>
      </c>
      <c r="G124" s="1133"/>
      <c r="H124" s="1136" t="s">
        <v>968</v>
      </c>
      <c r="I124" s="1133">
        <v>4218.9</v>
      </c>
      <c r="J124" s="1133">
        <v>0</v>
      </c>
      <c r="K124" s="173">
        <f t="shared" si="3"/>
        <v>100</v>
      </c>
      <c r="L124" s="509" t="s">
        <v>823</v>
      </c>
    </row>
    <row r="125" spans="1:12" s="492" customFormat="1" ht="22.5" customHeight="1">
      <c r="A125" s="6">
        <v>77</v>
      </c>
      <c r="B125" s="91"/>
      <c r="C125" s="89"/>
      <c r="D125" s="1066">
        <v>6060</v>
      </c>
      <c r="E125" s="2" t="s">
        <v>969</v>
      </c>
      <c r="F125" s="1133">
        <v>20000</v>
      </c>
      <c r="G125" s="1133"/>
      <c r="H125" s="1144" t="s">
        <v>970</v>
      </c>
      <c r="I125" s="1133">
        <v>20000</v>
      </c>
      <c r="J125" s="1133">
        <v>0</v>
      </c>
      <c r="K125" s="173">
        <f t="shared" si="3"/>
        <v>100</v>
      </c>
      <c r="L125" s="509" t="s">
        <v>823</v>
      </c>
    </row>
    <row r="126" spans="1:12" s="492" customFormat="1" ht="17.25" customHeight="1">
      <c r="A126" s="6"/>
      <c r="B126" s="127"/>
      <c r="C126" s="1053">
        <v>90095</v>
      </c>
      <c r="D126" s="1076"/>
      <c r="E126" s="46" t="s">
        <v>494</v>
      </c>
      <c r="F126" s="1065">
        <f>SUM(F127:F143)</f>
        <v>1474634</v>
      </c>
      <c r="G126" s="1065">
        <f>SUM(G127:G143)</f>
        <v>792858</v>
      </c>
      <c r="H126" s="1065"/>
      <c r="I126" s="1065">
        <f>SUM(I127:I143)</f>
        <v>1437766.1800000002</v>
      </c>
      <c r="J126" s="1065">
        <f>SUM(J127:J143)</f>
        <v>866912.63</v>
      </c>
      <c r="K126" s="173">
        <f t="shared" si="3"/>
        <v>97.49986640752894</v>
      </c>
      <c r="L126" s="1056"/>
    </row>
    <row r="127" spans="1:12" s="1057" customFormat="1" ht="50.25" customHeight="1">
      <c r="A127" s="20">
        <v>78</v>
      </c>
      <c r="B127" s="866"/>
      <c r="C127" s="82"/>
      <c r="D127" s="1066">
        <v>6010</v>
      </c>
      <c r="E127" s="14" t="s">
        <v>971</v>
      </c>
      <c r="F127" s="1043">
        <v>46000</v>
      </c>
      <c r="G127" s="1043">
        <v>0</v>
      </c>
      <c r="H127" s="619" t="s">
        <v>972</v>
      </c>
      <c r="I127" s="1063">
        <v>35167.55</v>
      </c>
      <c r="J127" s="1063">
        <v>0</v>
      </c>
      <c r="K127" s="173">
        <f t="shared" si="3"/>
        <v>76.45119565217392</v>
      </c>
      <c r="L127" s="669" t="s">
        <v>823</v>
      </c>
    </row>
    <row r="128" spans="1:12" s="492" customFormat="1" ht="40.5" customHeight="1">
      <c r="A128" s="20">
        <v>79</v>
      </c>
      <c r="B128" s="91"/>
      <c r="C128" s="82"/>
      <c r="D128" s="1143">
        <v>6010</v>
      </c>
      <c r="E128" s="1146" t="s">
        <v>973</v>
      </c>
      <c r="F128" s="134">
        <v>74000</v>
      </c>
      <c r="G128" s="134">
        <v>37000</v>
      </c>
      <c r="H128" s="619" t="s">
        <v>974</v>
      </c>
      <c r="I128" s="134">
        <v>74000</v>
      </c>
      <c r="J128" s="134">
        <v>37000</v>
      </c>
      <c r="K128" s="173">
        <f t="shared" si="3"/>
        <v>100</v>
      </c>
      <c r="L128" s="501" t="s">
        <v>823</v>
      </c>
    </row>
    <row r="129" spans="1:12" s="492" customFormat="1" ht="46.5" customHeight="1">
      <c r="A129" s="20">
        <v>80</v>
      </c>
      <c r="B129" s="91"/>
      <c r="C129" s="81"/>
      <c r="D129" s="1143">
        <v>6010</v>
      </c>
      <c r="E129" s="1146" t="s">
        <v>975</v>
      </c>
      <c r="F129" s="134">
        <v>31000</v>
      </c>
      <c r="G129" s="134">
        <v>31000</v>
      </c>
      <c r="H129" s="619" t="s">
        <v>976</v>
      </c>
      <c r="I129" s="134">
        <v>31000</v>
      </c>
      <c r="J129" s="134">
        <v>31000</v>
      </c>
      <c r="K129" s="173">
        <f t="shared" si="3"/>
        <v>100</v>
      </c>
      <c r="L129" s="501" t="s">
        <v>823</v>
      </c>
    </row>
    <row r="130" spans="1:12" s="492" customFormat="1" ht="39" customHeight="1">
      <c r="A130" s="20">
        <v>81</v>
      </c>
      <c r="B130" s="91"/>
      <c r="C130" s="81"/>
      <c r="D130" s="1143">
        <v>6010</v>
      </c>
      <c r="E130" s="1146" t="s">
        <v>977</v>
      </c>
      <c r="F130" s="134">
        <v>72000</v>
      </c>
      <c r="G130" s="134">
        <v>72000</v>
      </c>
      <c r="H130" s="619" t="s">
        <v>978</v>
      </c>
      <c r="I130" s="134">
        <v>72000</v>
      </c>
      <c r="J130" s="134">
        <v>72000</v>
      </c>
      <c r="K130" s="173">
        <f t="shared" si="3"/>
        <v>100</v>
      </c>
      <c r="L130" s="501" t="s">
        <v>823</v>
      </c>
    </row>
    <row r="131" spans="1:12" s="492" customFormat="1" ht="64.5" customHeight="1">
      <c r="A131" s="20">
        <v>82</v>
      </c>
      <c r="B131" s="91"/>
      <c r="C131" s="81"/>
      <c r="D131" s="1143">
        <v>6010</v>
      </c>
      <c r="E131" s="1146" t="s">
        <v>979</v>
      </c>
      <c r="F131" s="134">
        <v>24000</v>
      </c>
      <c r="G131" s="134">
        <v>24000</v>
      </c>
      <c r="H131" s="1075" t="s">
        <v>980</v>
      </c>
      <c r="I131" s="134">
        <v>24000</v>
      </c>
      <c r="J131" s="134">
        <v>24000</v>
      </c>
      <c r="K131" s="173">
        <f t="shared" si="3"/>
        <v>100</v>
      </c>
      <c r="L131" s="1069" t="s">
        <v>981</v>
      </c>
    </row>
    <row r="132" spans="1:12" s="492" customFormat="1" ht="53.25" customHeight="1">
      <c r="A132" s="20">
        <v>83</v>
      </c>
      <c r="B132" s="91"/>
      <c r="C132" s="81"/>
      <c r="D132" s="1143">
        <v>6010</v>
      </c>
      <c r="E132" s="1146" t="s">
        <v>982</v>
      </c>
      <c r="F132" s="134">
        <v>4000</v>
      </c>
      <c r="G132" s="134">
        <v>4000</v>
      </c>
      <c r="H132" s="619" t="s">
        <v>983</v>
      </c>
      <c r="I132" s="134">
        <v>4000</v>
      </c>
      <c r="J132" s="134">
        <v>4000</v>
      </c>
      <c r="K132" s="173">
        <f t="shared" si="3"/>
        <v>100</v>
      </c>
      <c r="L132" s="501" t="s">
        <v>823</v>
      </c>
    </row>
    <row r="133" spans="1:12" s="492" customFormat="1" ht="59.25" customHeight="1">
      <c r="A133" s="20">
        <v>84</v>
      </c>
      <c r="B133" s="91"/>
      <c r="C133" s="81"/>
      <c r="D133" s="1143">
        <v>6010</v>
      </c>
      <c r="E133" s="1146" t="s">
        <v>984</v>
      </c>
      <c r="F133" s="134">
        <v>4000</v>
      </c>
      <c r="G133" s="134">
        <v>4000</v>
      </c>
      <c r="H133" s="619" t="s">
        <v>985</v>
      </c>
      <c r="I133" s="134">
        <v>4000</v>
      </c>
      <c r="J133" s="134">
        <v>4000</v>
      </c>
      <c r="K133" s="173">
        <f t="shared" si="3"/>
        <v>100</v>
      </c>
      <c r="L133" s="501" t="s">
        <v>823</v>
      </c>
    </row>
    <row r="134" spans="1:12" s="492" customFormat="1" ht="48.75" customHeight="1">
      <c r="A134" s="20">
        <v>85</v>
      </c>
      <c r="B134" s="91"/>
      <c r="C134" s="81"/>
      <c r="D134" s="1143">
        <v>6010</v>
      </c>
      <c r="E134" s="1146" t="s">
        <v>0</v>
      </c>
      <c r="F134" s="134">
        <v>32000</v>
      </c>
      <c r="G134" s="134">
        <v>32000</v>
      </c>
      <c r="H134" s="619" t="s">
        <v>1</v>
      </c>
      <c r="I134" s="134">
        <v>32000</v>
      </c>
      <c r="J134" s="134">
        <v>32000</v>
      </c>
      <c r="K134" s="173">
        <f t="shared" si="3"/>
        <v>100</v>
      </c>
      <c r="L134" s="501" t="s">
        <v>823</v>
      </c>
    </row>
    <row r="135" spans="1:12" s="1057" customFormat="1" ht="54.75" customHeight="1">
      <c r="A135" s="6">
        <v>86</v>
      </c>
      <c r="B135" s="866"/>
      <c r="C135" s="81"/>
      <c r="D135" s="1066">
        <v>6010</v>
      </c>
      <c r="E135" s="14" t="s">
        <v>2</v>
      </c>
      <c r="F135" s="1043">
        <v>108700</v>
      </c>
      <c r="G135" s="1043">
        <f>76200-43336</f>
        <v>32864</v>
      </c>
      <c r="H135" s="1068" t="s">
        <v>980</v>
      </c>
      <c r="I135" s="1063">
        <v>108700</v>
      </c>
      <c r="J135" s="1063">
        <v>32864</v>
      </c>
      <c r="K135" s="173">
        <f t="shared" si="3"/>
        <v>100</v>
      </c>
      <c r="L135" s="1069" t="s">
        <v>3</v>
      </c>
    </row>
    <row r="136" spans="1:12" s="1057" customFormat="1" ht="44.25" customHeight="1">
      <c r="A136" s="6">
        <v>87</v>
      </c>
      <c r="B136" s="866"/>
      <c r="C136" s="81"/>
      <c r="D136" s="1078">
        <v>6010</v>
      </c>
      <c r="E136" s="14" t="s">
        <v>4</v>
      </c>
      <c r="F136" s="1043">
        <v>100000</v>
      </c>
      <c r="G136" s="1043">
        <v>0</v>
      </c>
      <c r="H136" s="619" t="s">
        <v>5</v>
      </c>
      <c r="I136" s="1043">
        <v>100000</v>
      </c>
      <c r="J136" s="1043">
        <v>100000</v>
      </c>
      <c r="K136" s="173">
        <f t="shared" si="3"/>
        <v>100</v>
      </c>
      <c r="L136" s="501" t="s">
        <v>823</v>
      </c>
    </row>
    <row r="137" spans="1:12" s="1057" customFormat="1" ht="56.25" customHeight="1">
      <c r="A137" s="6">
        <v>88</v>
      </c>
      <c r="B137" s="866"/>
      <c r="C137" s="81"/>
      <c r="D137" s="1066">
        <v>6050</v>
      </c>
      <c r="E137" s="14" t="s">
        <v>6</v>
      </c>
      <c r="F137" s="1043">
        <v>50000</v>
      </c>
      <c r="G137" s="1043">
        <f>50000-50000</f>
        <v>0</v>
      </c>
      <c r="H137" s="1068" t="s">
        <v>7</v>
      </c>
      <c r="I137" s="1063">
        <v>50000</v>
      </c>
      <c r="J137" s="1063">
        <v>0</v>
      </c>
      <c r="K137" s="173">
        <f t="shared" si="3"/>
        <v>100</v>
      </c>
      <c r="L137" s="1069" t="s">
        <v>8</v>
      </c>
    </row>
    <row r="138" spans="1:12" s="492" customFormat="1" ht="37.5" customHeight="1">
      <c r="A138" s="12">
        <v>89</v>
      </c>
      <c r="B138" s="91"/>
      <c r="C138" s="81"/>
      <c r="D138" s="1143">
        <v>6050</v>
      </c>
      <c r="E138" s="1146" t="s">
        <v>9</v>
      </c>
      <c r="F138" s="1074">
        <f>210000-84006</f>
        <v>125994</v>
      </c>
      <c r="G138" s="134">
        <f>210000-84006</f>
        <v>125994</v>
      </c>
      <c r="H138" s="619" t="s">
        <v>10</v>
      </c>
      <c r="I138" s="134">
        <v>125993.66</v>
      </c>
      <c r="J138" s="134">
        <v>125993.66</v>
      </c>
      <c r="K138" s="173">
        <f t="shared" si="3"/>
        <v>99.99973014587997</v>
      </c>
      <c r="L138" s="501" t="s">
        <v>827</v>
      </c>
    </row>
    <row r="139" spans="1:12" s="492" customFormat="1" ht="50.25" customHeight="1">
      <c r="A139" s="6">
        <v>90</v>
      </c>
      <c r="B139" s="1059"/>
      <c r="C139" s="127"/>
      <c r="D139" s="1066">
        <v>6050</v>
      </c>
      <c r="E139" s="1061" t="s">
        <v>11</v>
      </c>
      <c r="F139" s="1043">
        <f>1700+130000</f>
        <v>131700</v>
      </c>
      <c r="G139" s="1043">
        <v>0</v>
      </c>
      <c r="H139" s="619" t="s">
        <v>12</v>
      </c>
      <c r="I139" s="1063">
        <v>131610</v>
      </c>
      <c r="J139" s="1063">
        <v>0</v>
      </c>
      <c r="K139" s="173">
        <f t="shared" si="3"/>
        <v>99.93166287015946</v>
      </c>
      <c r="L139" s="669" t="s">
        <v>823</v>
      </c>
    </row>
    <row r="140" spans="1:12" s="492" customFormat="1" ht="28.5" customHeight="1">
      <c r="A140" s="1221">
        <v>91</v>
      </c>
      <c r="B140" s="1059"/>
      <c r="C140" s="127"/>
      <c r="D140" s="1066">
        <v>6050</v>
      </c>
      <c r="E140" s="1135" t="s">
        <v>13</v>
      </c>
      <c r="F140" s="1043">
        <v>10000</v>
      </c>
      <c r="G140" s="1074">
        <v>0</v>
      </c>
      <c r="H140" s="1206" t="s">
        <v>14</v>
      </c>
      <c r="I140" s="1074">
        <v>10000</v>
      </c>
      <c r="J140" s="1074">
        <v>0</v>
      </c>
      <c r="K140" s="173">
        <f t="shared" si="3"/>
        <v>100</v>
      </c>
      <c r="L140" s="1238" t="s">
        <v>15</v>
      </c>
    </row>
    <row r="141" spans="1:14" s="492" customFormat="1" ht="30.75" customHeight="1">
      <c r="A141" s="1222"/>
      <c r="B141" s="1059"/>
      <c r="C141" s="127"/>
      <c r="D141" s="1066">
        <v>6057</v>
      </c>
      <c r="E141" s="1135" t="s">
        <v>13</v>
      </c>
      <c r="F141" s="1043">
        <f>397290-200736</f>
        <v>196554</v>
      </c>
      <c r="G141" s="1043">
        <v>0</v>
      </c>
      <c r="H141" s="1207"/>
      <c r="I141" s="1074">
        <v>196554</v>
      </c>
      <c r="J141" s="1074">
        <v>0</v>
      </c>
      <c r="K141" s="173">
        <f t="shared" si="3"/>
        <v>100</v>
      </c>
      <c r="L141" s="1239"/>
      <c r="N141" s="888"/>
    </row>
    <row r="142" spans="1:14" s="492" customFormat="1" ht="30" customHeight="1">
      <c r="A142" s="1223"/>
      <c r="B142" s="365"/>
      <c r="C142" s="824"/>
      <c r="D142" s="1066">
        <v>6059</v>
      </c>
      <c r="E142" s="1135" t="s">
        <v>13</v>
      </c>
      <c r="F142" s="1133">
        <f>70110-35424</f>
        <v>34686</v>
      </c>
      <c r="G142" s="1133">
        <v>0</v>
      </c>
      <c r="H142" s="1208"/>
      <c r="I142" s="1071">
        <v>34686</v>
      </c>
      <c r="J142" s="1071">
        <v>0</v>
      </c>
      <c r="K142" s="173">
        <f t="shared" si="3"/>
        <v>100</v>
      </c>
      <c r="L142" s="1218"/>
      <c r="N142" s="888"/>
    </row>
    <row r="143" spans="1:12" s="492" customFormat="1" ht="53.25" customHeight="1">
      <c r="A143" s="12">
        <v>92</v>
      </c>
      <c r="B143" s="365"/>
      <c r="C143" s="879"/>
      <c r="D143" s="1066">
        <v>6230</v>
      </c>
      <c r="E143" s="1135" t="s">
        <v>16</v>
      </c>
      <c r="F143" s="1133">
        <f>50000+100000+280000</f>
        <v>430000</v>
      </c>
      <c r="G143" s="1133">
        <f>50000+100000+280000</f>
        <v>430000</v>
      </c>
      <c r="H143" s="1141" t="s">
        <v>17</v>
      </c>
      <c r="I143" s="1147">
        <v>404054.97</v>
      </c>
      <c r="J143" s="1147">
        <v>404054.97</v>
      </c>
      <c r="K143" s="173">
        <f t="shared" si="3"/>
        <v>93.96627209302325</v>
      </c>
      <c r="L143" s="987" t="s">
        <v>823</v>
      </c>
    </row>
    <row r="144" spans="1:12" s="1152" customFormat="1" ht="27" customHeight="1">
      <c r="A144" s="16"/>
      <c r="B144" s="1148">
        <v>921</v>
      </c>
      <c r="C144" s="80"/>
      <c r="D144" s="1149"/>
      <c r="E144" s="44" t="s">
        <v>489</v>
      </c>
      <c r="F144" s="1150">
        <f>F145+F148</f>
        <v>51000</v>
      </c>
      <c r="G144" s="1150">
        <f>G145+G148</f>
        <v>0</v>
      </c>
      <c r="H144" s="1150"/>
      <c r="I144" s="1150">
        <f>I145+I148</f>
        <v>50346.7</v>
      </c>
      <c r="J144" s="1150">
        <f>J145+J148</f>
        <v>0</v>
      </c>
      <c r="K144" s="173">
        <f aca="true" t="shared" si="4" ref="K144:K196">I144/F144*100</f>
        <v>98.71901960784312</v>
      </c>
      <c r="L144" s="1151"/>
    </row>
    <row r="145" spans="1:12" s="1106" customFormat="1" ht="30.75" customHeight="1">
      <c r="A145" s="43"/>
      <c r="B145" s="447"/>
      <c r="C145" s="1101">
        <v>92109</v>
      </c>
      <c r="D145" s="1054"/>
      <c r="E145" s="33" t="s">
        <v>290</v>
      </c>
      <c r="F145" s="1139">
        <f>F146+F147</f>
        <v>35000</v>
      </c>
      <c r="G145" s="1139">
        <f>G146+G147</f>
        <v>0</v>
      </c>
      <c r="H145" s="1139"/>
      <c r="I145" s="1139">
        <f>I146+I147</f>
        <v>34346.7</v>
      </c>
      <c r="J145" s="1139">
        <f>J146+J147</f>
        <v>0</v>
      </c>
      <c r="K145" s="173">
        <f t="shared" si="4"/>
        <v>98.13342857142857</v>
      </c>
      <c r="L145" s="1153"/>
    </row>
    <row r="146" spans="1:12" s="1057" customFormat="1" ht="43.5" customHeight="1">
      <c r="A146" s="6">
        <v>93</v>
      </c>
      <c r="B146" s="365"/>
      <c r="C146" s="824"/>
      <c r="D146" s="1066">
        <v>6220</v>
      </c>
      <c r="E146" s="39" t="s">
        <v>18</v>
      </c>
      <c r="F146" s="1133">
        <v>15000</v>
      </c>
      <c r="G146" s="1133"/>
      <c r="H146" s="1154" t="s">
        <v>19</v>
      </c>
      <c r="I146" s="1147">
        <v>14472.7</v>
      </c>
      <c r="J146" s="1147">
        <v>0</v>
      </c>
      <c r="K146" s="173">
        <f t="shared" si="4"/>
        <v>96.48466666666667</v>
      </c>
      <c r="L146" s="987" t="s">
        <v>823</v>
      </c>
    </row>
    <row r="147" spans="1:12" s="492" customFormat="1" ht="33.75" customHeight="1">
      <c r="A147" s="6">
        <v>94</v>
      </c>
      <c r="B147" s="365"/>
      <c r="C147" s="824"/>
      <c r="D147" s="1066">
        <v>6220</v>
      </c>
      <c r="E147" s="39" t="s">
        <v>20</v>
      </c>
      <c r="F147" s="1133">
        <v>20000</v>
      </c>
      <c r="G147" s="1133"/>
      <c r="H147" s="1155" t="s">
        <v>21</v>
      </c>
      <c r="I147" s="1133">
        <v>19874</v>
      </c>
      <c r="J147" s="1147">
        <v>0</v>
      </c>
      <c r="K147" s="173">
        <f t="shared" si="4"/>
        <v>99.37</v>
      </c>
      <c r="L147" s="987" t="s">
        <v>823</v>
      </c>
    </row>
    <row r="148" spans="1:12" s="1106" customFormat="1" ht="17.25" customHeight="1">
      <c r="A148" s="43"/>
      <c r="B148" s="447"/>
      <c r="C148" s="1101">
        <v>92118</v>
      </c>
      <c r="D148" s="1054"/>
      <c r="E148" s="1156" t="s">
        <v>596</v>
      </c>
      <c r="F148" s="1139">
        <f>F149</f>
        <v>16000</v>
      </c>
      <c r="G148" s="1139">
        <f>G149</f>
        <v>0</v>
      </c>
      <c r="H148" s="1139"/>
      <c r="I148" s="1139">
        <f>I149</f>
        <v>16000</v>
      </c>
      <c r="J148" s="1139">
        <f>J149</f>
        <v>0</v>
      </c>
      <c r="K148" s="173">
        <f t="shared" si="4"/>
        <v>100</v>
      </c>
      <c r="L148" s="1153"/>
    </row>
    <row r="149" spans="1:12" s="492" customFormat="1" ht="60" customHeight="1">
      <c r="A149" s="6">
        <v>95</v>
      </c>
      <c r="B149" s="365"/>
      <c r="C149" s="824"/>
      <c r="D149" s="1066">
        <v>6300</v>
      </c>
      <c r="E149" s="3" t="s">
        <v>22</v>
      </c>
      <c r="F149" s="1133">
        <v>16000</v>
      </c>
      <c r="G149" s="1133"/>
      <c r="H149" s="1157" t="s">
        <v>23</v>
      </c>
      <c r="I149" s="1147">
        <v>16000</v>
      </c>
      <c r="J149" s="1147">
        <v>0</v>
      </c>
      <c r="K149" s="173">
        <f t="shared" si="4"/>
        <v>100</v>
      </c>
      <c r="L149" s="987" t="s">
        <v>823</v>
      </c>
    </row>
    <row r="150" spans="1:12" s="492" customFormat="1" ht="20.25" customHeight="1">
      <c r="A150" s="67"/>
      <c r="B150" s="1158">
        <v>926</v>
      </c>
      <c r="C150" s="77"/>
      <c r="D150" s="79"/>
      <c r="E150" s="18" t="s">
        <v>772</v>
      </c>
      <c r="F150" s="1073">
        <f>F151+F154</f>
        <v>1393000</v>
      </c>
      <c r="G150" s="1073">
        <f>G151+G154</f>
        <v>80000</v>
      </c>
      <c r="H150" s="1073"/>
      <c r="I150" s="1073">
        <f>I151+I154</f>
        <v>1334281</v>
      </c>
      <c r="J150" s="1073">
        <f>J151+J154</f>
        <v>51305.19</v>
      </c>
      <c r="K150" s="173">
        <f t="shared" si="4"/>
        <v>95.78470926058867</v>
      </c>
      <c r="L150" s="501"/>
    </row>
    <row r="151" spans="1:12" s="492" customFormat="1" ht="18" customHeight="1">
      <c r="A151" s="66"/>
      <c r="B151" s="890"/>
      <c r="C151" s="1085">
        <v>92601</v>
      </c>
      <c r="D151" s="1076"/>
      <c r="E151" s="46" t="s">
        <v>517</v>
      </c>
      <c r="F151" s="1065">
        <f>F152+F153</f>
        <v>1078000</v>
      </c>
      <c r="G151" s="1065">
        <f>G152+G153</f>
        <v>80000</v>
      </c>
      <c r="H151" s="1065"/>
      <c r="I151" s="1065">
        <f>I152+I153</f>
        <v>1047632.94</v>
      </c>
      <c r="J151" s="1065">
        <f>J152+J153</f>
        <v>51305.19</v>
      </c>
      <c r="K151" s="173">
        <f t="shared" si="4"/>
        <v>97.1830185528757</v>
      </c>
      <c r="L151" s="1056"/>
    </row>
    <row r="152" spans="1:12" s="1057" customFormat="1" ht="52.5" customHeight="1">
      <c r="A152" s="6">
        <v>96</v>
      </c>
      <c r="B152" s="87"/>
      <c r="C152" s="1077"/>
      <c r="D152" s="853">
        <v>6050</v>
      </c>
      <c r="E152" s="3" t="s">
        <v>24</v>
      </c>
      <c r="F152" s="1043">
        <v>5000</v>
      </c>
      <c r="G152" s="1043"/>
      <c r="H152" s="1067" t="s">
        <v>844</v>
      </c>
      <c r="I152" s="1043">
        <v>3500</v>
      </c>
      <c r="J152" s="1043">
        <v>0</v>
      </c>
      <c r="K152" s="173">
        <f t="shared" si="4"/>
        <v>70</v>
      </c>
      <c r="L152" s="501" t="s">
        <v>823</v>
      </c>
    </row>
    <row r="153" spans="1:12" s="492" customFormat="1" ht="45.75" customHeight="1">
      <c r="A153" s="6">
        <v>97</v>
      </c>
      <c r="B153" s="107"/>
      <c r="C153" s="548"/>
      <c r="D153" s="1159">
        <v>6050</v>
      </c>
      <c r="E153" s="39" t="s">
        <v>25</v>
      </c>
      <c r="F153" s="1043">
        <f>333000+800000-60000</f>
        <v>1073000</v>
      </c>
      <c r="G153" s="1043">
        <f>100000-20000</f>
        <v>80000</v>
      </c>
      <c r="H153" s="1160" t="s">
        <v>26</v>
      </c>
      <c r="I153" s="1043">
        <v>1044132.94</v>
      </c>
      <c r="J153" s="1043">
        <v>51305.19</v>
      </c>
      <c r="K153" s="173">
        <f t="shared" si="4"/>
        <v>97.30968685927306</v>
      </c>
      <c r="L153" s="501" t="s">
        <v>827</v>
      </c>
    </row>
    <row r="154" spans="1:12" s="1106" customFormat="1" ht="21" customHeight="1">
      <c r="A154" s="47"/>
      <c r="B154" s="107"/>
      <c r="C154" s="128">
        <v>92604</v>
      </c>
      <c r="D154" s="32"/>
      <c r="E154" s="190" t="s">
        <v>27</v>
      </c>
      <c r="F154" s="1065">
        <f>SUM(F155:F157)</f>
        <v>315000</v>
      </c>
      <c r="G154" s="1065">
        <f>SUM(G155:G157)</f>
        <v>0</v>
      </c>
      <c r="H154" s="1065"/>
      <c r="I154" s="1065">
        <f>SUM(I155:I157)</f>
        <v>286648.06</v>
      </c>
      <c r="J154" s="1065">
        <f>SUM(J155:J157)</f>
        <v>0</v>
      </c>
      <c r="K154" s="173">
        <f t="shared" si="4"/>
        <v>90.99938412698413</v>
      </c>
      <c r="L154" s="1056"/>
    </row>
    <row r="155" spans="1:12" s="1057" customFormat="1" ht="26.25" customHeight="1">
      <c r="A155" s="6">
        <v>98</v>
      </c>
      <c r="B155" s="87"/>
      <c r="C155" s="1077"/>
      <c r="D155" s="23">
        <v>6050</v>
      </c>
      <c r="E155" s="39" t="s">
        <v>28</v>
      </c>
      <c r="F155" s="1043">
        <v>25000</v>
      </c>
      <c r="G155" s="1043"/>
      <c r="H155" s="1067" t="s">
        <v>29</v>
      </c>
      <c r="I155" s="1043">
        <v>24996.06</v>
      </c>
      <c r="J155" s="1043">
        <v>0</v>
      </c>
      <c r="K155" s="173">
        <f t="shared" si="4"/>
        <v>99.98424</v>
      </c>
      <c r="L155" s="501" t="s">
        <v>823</v>
      </c>
    </row>
    <row r="156" spans="1:12" s="1057" customFormat="1" ht="25.5" customHeight="1">
      <c r="A156" s="6">
        <v>99</v>
      </c>
      <c r="B156" s="87"/>
      <c r="C156" s="1077"/>
      <c r="D156" s="23">
        <v>6050</v>
      </c>
      <c r="E156" s="39" t="s">
        <v>30</v>
      </c>
      <c r="F156" s="1043">
        <v>25000</v>
      </c>
      <c r="G156" s="1043"/>
      <c r="H156" s="1067" t="s">
        <v>31</v>
      </c>
      <c r="I156" s="1043">
        <v>25000</v>
      </c>
      <c r="J156" s="1043">
        <v>0</v>
      </c>
      <c r="K156" s="173">
        <f t="shared" si="4"/>
        <v>100</v>
      </c>
      <c r="L156" s="501" t="s">
        <v>823</v>
      </c>
    </row>
    <row r="157" spans="1:12" s="492" customFormat="1" ht="51" customHeight="1">
      <c r="A157" s="6">
        <v>100</v>
      </c>
      <c r="B157" s="107"/>
      <c r="C157" s="548"/>
      <c r="D157" s="6">
        <v>6050</v>
      </c>
      <c r="E157" s="39" t="s">
        <v>32</v>
      </c>
      <c r="F157" s="1043">
        <f>65000+200000</f>
        <v>265000</v>
      </c>
      <c r="G157" s="1043"/>
      <c r="H157" s="1160" t="s">
        <v>33</v>
      </c>
      <c r="I157" s="1043">
        <v>236652</v>
      </c>
      <c r="J157" s="1043">
        <v>0</v>
      </c>
      <c r="K157" s="173">
        <f t="shared" si="4"/>
        <v>89.30264150943397</v>
      </c>
      <c r="L157" s="1069" t="s">
        <v>34</v>
      </c>
    </row>
    <row r="158" spans="1:15" s="492" customFormat="1" ht="30" customHeight="1">
      <c r="A158" s="6"/>
      <c r="B158" s="1161" t="s">
        <v>35</v>
      </c>
      <c r="C158" s="1162"/>
      <c r="D158" s="1078"/>
      <c r="E158" s="44"/>
      <c r="F158" s="242">
        <f>F159+F171+F174+F180+F183+F193</f>
        <v>26477687.27</v>
      </c>
      <c r="G158" s="242">
        <f>G159+G171+G174+G180+G183+G193</f>
        <v>1292180</v>
      </c>
      <c r="H158" s="242"/>
      <c r="I158" s="242">
        <f>I159+I171+I174+I180+I183+I193</f>
        <v>26267331.310000006</v>
      </c>
      <c r="J158" s="242">
        <f>J159+J171+J174+J180+J183+J193</f>
        <v>1292180</v>
      </c>
      <c r="K158" s="173">
        <f t="shared" si="4"/>
        <v>99.20553499308706</v>
      </c>
      <c r="L158" s="501"/>
      <c r="N158" s="1070"/>
      <c r="O158" s="888"/>
    </row>
    <row r="159" spans="1:14" s="492" customFormat="1" ht="20.25" customHeight="1">
      <c r="A159" s="16"/>
      <c r="B159" s="78">
        <v>600</v>
      </c>
      <c r="C159" s="77"/>
      <c r="D159" s="79"/>
      <c r="E159" s="18" t="s">
        <v>87</v>
      </c>
      <c r="F159" s="1073">
        <f>F160</f>
        <v>25090835.27</v>
      </c>
      <c r="G159" s="1073">
        <f>G160</f>
        <v>1092180</v>
      </c>
      <c r="H159" s="1073"/>
      <c r="I159" s="1073">
        <f>I160</f>
        <v>24995767.830000002</v>
      </c>
      <c r="J159" s="1073">
        <f>J160</f>
        <v>1092180</v>
      </c>
      <c r="K159" s="173">
        <f t="shared" si="4"/>
        <v>99.6211069142299</v>
      </c>
      <c r="L159" s="501"/>
      <c r="N159" s="1070"/>
    </row>
    <row r="160" spans="1:12" s="492" customFormat="1" ht="30" customHeight="1">
      <c r="A160" s="6"/>
      <c r="B160" s="145"/>
      <c r="C160" s="128">
        <v>60015</v>
      </c>
      <c r="D160" s="1054"/>
      <c r="E160" s="46" t="s">
        <v>647</v>
      </c>
      <c r="F160" s="1065">
        <f>SUM(F161:F170)</f>
        <v>25090835.27</v>
      </c>
      <c r="G160" s="1065">
        <f>SUM(G161:G170)</f>
        <v>1092180</v>
      </c>
      <c r="H160" s="1065"/>
      <c r="I160" s="1065">
        <f>SUM(I161:I170)</f>
        <v>24995767.830000002</v>
      </c>
      <c r="J160" s="1065">
        <f>SUM(J161:J170)</f>
        <v>1092180</v>
      </c>
      <c r="K160" s="173">
        <f t="shared" si="4"/>
        <v>99.6211069142299</v>
      </c>
      <c r="L160" s="1056"/>
    </row>
    <row r="161" spans="1:14" s="492" customFormat="1" ht="53.25" customHeight="1">
      <c r="A161" s="20">
        <v>101</v>
      </c>
      <c r="B161" s="91"/>
      <c r="C161" s="81"/>
      <c r="D161" s="1066">
        <v>6050</v>
      </c>
      <c r="E161" s="2" t="s">
        <v>36</v>
      </c>
      <c r="F161" s="1163">
        <f>303810</f>
        <v>303810</v>
      </c>
      <c r="G161" s="1163"/>
      <c r="H161" s="1164" t="s">
        <v>37</v>
      </c>
      <c r="I161" s="1163">
        <v>303810</v>
      </c>
      <c r="J161" s="1163">
        <v>0</v>
      </c>
      <c r="K161" s="173">
        <f t="shared" si="4"/>
        <v>100</v>
      </c>
      <c r="L161" s="1069" t="s">
        <v>38</v>
      </c>
      <c r="N161" s="888"/>
    </row>
    <row r="162" spans="1:14" s="492" customFormat="1" ht="60.75" customHeight="1">
      <c r="A162" s="20">
        <v>102</v>
      </c>
      <c r="B162" s="91"/>
      <c r="C162" s="81"/>
      <c r="D162" s="1066">
        <v>6050</v>
      </c>
      <c r="E162" s="2" t="s">
        <v>39</v>
      </c>
      <c r="F162" s="1163">
        <f>500000+2201319.27-1064</f>
        <v>2700255.27</v>
      </c>
      <c r="G162" s="1163"/>
      <c r="H162" s="1068" t="s">
        <v>40</v>
      </c>
      <c r="I162" s="1163">
        <v>2700254.62</v>
      </c>
      <c r="J162" s="1163">
        <v>0</v>
      </c>
      <c r="K162" s="173">
        <f t="shared" si="4"/>
        <v>99.99997592820179</v>
      </c>
      <c r="L162" s="509" t="s">
        <v>827</v>
      </c>
      <c r="N162" s="888"/>
    </row>
    <row r="163" spans="1:15" s="492" customFormat="1" ht="69" customHeight="1">
      <c r="A163" s="20">
        <v>103</v>
      </c>
      <c r="B163" s="364"/>
      <c r="C163" s="824"/>
      <c r="D163" s="81">
        <v>6050</v>
      </c>
      <c r="E163" s="1165" t="s">
        <v>41</v>
      </c>
      <c r="F163" s="1071">
        <f>4200+21500000+200000-200000-12800+30000-508000</f>
        <v>21013400</v>
      </c>
      <c r="G163" s="1071">
        <f>4176180-810000-219000-51550-50000-804550-100000-1048900</f>
        <v>1092180</v>
      </c>
      <c r="H163" s="1166" t="s">
        <v>42</v>
      </c>
      <c r="I163" s="1167">
        <f>8014066.48+12960657.73</f>
        <v>20974724.21</v>
      </c>
      <c r="J163" s="1071">
        <f>755841.49+336338.51</f>
        <v>1092180</v>
      </c>
      <c r="K163" s="173">
        <f t="shared" si="4"/>
        <v>99.81594701476202</v>
      </c>
      <c r="L163" s="1069" t="s">
        <v>43</v>
      </c>
      <c r="N163" s="888"/>
      <c r="O163" s="888"/>
    </row>
    <row r="164" spans="1:15" s="492" customFormat="1" ht="42" customHeight="1">
      <c r="A164" s="20">
        <v>104</v>
      </c>
      <c r="B164" s="364"/>
      <c r="C164" s="824"/>
      <c r="D164" s="83">
        <v>6050</v>
      </c>
      <c r="E164" s="1086" t="s">
        <v>44</v>
      </c>
      <c r="F164" s="1071">
        <v>50000</v>
      </c>
      <c r="G164" s="1071"/>
      <c r="H164" s="1075" t="s">
        <v>45</v>
      </c>
      <c r="I164" s="1071">
        <v>0</v>
      </c>
      <c r="J164" s="1071">
        <v>0</v>
      </c>
      <c r="K164" s="173">
        <f t="shared" si="4"/>
        <v>0</v>
      </c>
      <c r="L164" s="509" t="s">
        <v>836</v>
      </c>
      <c r="N164" s="888"/>
      <c r="O164" s="888"/>
    </row>
    <row r="165" spans="1:12" s="492" customFormat="1" ht="53.25" customHeight="1">
      <c r="A165" s="20">
        <v>105</v>
      </c>
      <c r="B165" s="364"/>
      <c r="C165" s="824"/>
      <c r="D165" s="83">
        <v>6050</v>
      </c>
      <c r="E165" s="1086" t="s">
        <v>46</v>
      </c>
      <c r="F165" s="1071">
        <f>200000-4200-120000-10000</f>
        <v>65800</v>
      </c>
      <c r="G165" s="1071"/>
      <c r="H165" s="1145" t="s">
        <v>47</v>
      </c>
      <c r="I165" s="1071">
        <f>41586.3+17822.7</f>
        <v>59409</v>
      </c>
      <c r="J165" s="1071">
        <v>0</v>
      </c>
      <c r="K165" s="173">
        <f t="shared" si="4"/>
        <v>90.2872340425532</v>
      </c>
      <c r="L165" s="1069" t="s">
        <v>48</v>
      </c>
    </row>
    <row r="166" spans="1:15" s="492" customFormat="1" ht="69" customHeight="1">
      <c r="A166" s="20">
        <v>106</v>
      </c>
      <c r="B166" s="364"/>
      <c r="C166" s="824"/>
      <c r="D166" s="83">
        <v>6050</v>
      </c>
      <c r="E166" s="1128" t="s">
        <v>49</v>
      </c>
      <c r="F166" s="1071">
        <f>161040+547620</f>
        <v>708660</v>
      </c>
      <c r="G166" s="1071"/>
      <c r="H166" s="1166" t="s">
        <v>50</v>
      </c>
      <c r="I166" s="1071">
        <f>589260+119400</f>
        <v>708660</v>
      </c>
      <c r="J166" s="1071">
        <v>0</v>
      </c>
      <c r="K166" s="173">
        <f t="shared" si="4"/>
        <v>100</v>
      </c>
      <c r="L166" s="1069" t="s">
        <v>51</v>
      </c>
      <c r="N166" s="1168"/>
      <c r="O166" s="1169"/>
    </row>
    <row r="167" spans="1:15" s="492" customFormat="1" ht="30.75" customHeight="1">
      <c r="A167" s="20">
        <v>107</v>
      </c>
      <c r="B167" s="364"/>
      <c r="C167" s="824"/>
      <c r="D167" s="1127">
        <v>6050</v>
      </c>
      <c r="E167" s="892" t="s">
        <v>52</v>
      </c>
      <c r="F167" s="1170">
        <v>40400</v>
      </c>
      <c r="G167" s="1170"/>
      <c r="H167" s="1145" t="s">
        <v>844</v>
      </c>
      <c r="I167" s="1170">
        <v>40400</v>
      </c>
      <c r="J167" s="1170">
        <v>0</v>
      </c>
      <c r="K167" s="173">
        <f t="shared" si="4"/>
        <v>100</v>
      </c>
      <c r="L167" s="1097" t="s">
        <v>823</v>
      </c>
      <c r="O167" s="888"/>
    </row>
    <row r="168" spans="1:12" s="492" customFormat="1" ht="40.5" customHeight="1">
      <c r="A168" s="20">
        <v>108</v>
      </c>
      <c r="B168" s="364"/>
      <c r="C168" s="824"/>
      <c r="D168" s="1127">
        <v>6050</v>
      </c>
      <c r="E168" s="892" t="s">
        <v>53</v>
      </c>
      <c r="F168" s="1170">
        <v>58000</v>
      </c>
      <c r="G168" s="1170"/>
      <c r="H168" s="1145" t="s">
        <v>844</v>
      </c>
      <c r="I168" s="1170">
        <v>58000</v>
      </c>
      <c r="J168" s="1170">
        <v>0</v>
      </c>
      <c r="K168" s="173">
        <f t="shared" si="4"/>
        <v>100</v>
      </c>
      <c r="L168" s="1097" t="s">
        <v>823</v>
      </c>
    </row>
    <row r="169" spans="1:12" s="492" customFormat="1" ht="57" customHeight="1">
      <c r="A169" s="20">
        <v>109</v>
      </c>
      <c r="B169" s="364"/>
      <c r="C169" s="824"/>
      <c r="D169" s="1127">
        <v>6050</v>
      </c>
      <c r="E169" s="892" t="s">
        <v>54</v>
      </c>
      <c r="F169" s="1170">
        <v>104310</v>
      </c>
      <c r="G169" s="1170"/>
      <c r="H169" s="1088" t="s">
        <v>55</v>
      </c>
      <c r="I169" s="1170">
        <v>104310</v>
      </c>
      <c r="J169" s="1170">
        <v>0</v>
      </c>
      <c r="K169" s="173">
        <f t="shared" si="4"/>
        <v>100</v>
      </c>
      <c r="L169" s="1097" t="s">
        <v>823</v>
      </c>
    </row>
    <row r="170" spans="1:12" s="492" customFormat="1" ht="30" customHeight="1">
      <c r="A170" s="6">
        <v>110</v>
      </c>
      <c r="B170" s="364"/>
      <c r="C170" s="824"/>
      <c r="D170" s="83">
        <v>6050</v>
      </c>
      <c r="E170" s="1086" t="s">
        <v>56</v>
      </c>
      <c r="F170" s="1071">
        <f>60000-13800</f>
        <v>46200</v>
      </c>
      <c r="G170" s="1071"/>
      <c r="H170" s="1145" t="s">
        <v>844</v>
      </c>
      <c r="I170" s="1071">
        <v>46200</v>
      </c>
      <c r="J170" s="1071">
        <v>0</v>
      </c>
      <c r="K170" s="173">
        <f t="shared" si="4"/>
        <v>100</v>
      </c>
      <c r="L170" s="509" t="s">
        <v>823</v>
      </c>
    </row>
    <row r="171" spans="1:17" s="51" customFormat="1" ht="18" customHeight="1">
      <c r="A171" s="12"/>
      <c r="B171" s="77">
        <v>710</v>
      </c>
      <c r="C171" s="77"/>
      <c r="D171" s="77"/>
      <c r="E171" s="44" t="s">
        <v>503</v>
      </c>
      <c r="F171" s="182">
        <f aca="true" t="shared" si="5" ref="F171:J172">F172</f>
        <v>45000</v>
      </c>
      <c r="G171" s="182">
        <f t="shared" si="5"/>
        <v>0</v>
      </c>
      <c r="H171" s="182"/>
      <c r="I171" s="182">
        <f t="shared" si="5"/>
        <v>43930.98</v>
      </c>
      <c r="J171" s="182">
        <f t="shared" si="5"/>
        <v>0</v>
      </c>
      <c r="K171" s="173">
        <f t="shared" si="4"/>
        <v>97.62440000000001</v>
      </c>
      <c r="L171" s="987"/>
      <c r="N171" s="1171"/>
      <c r="O171" s="1171"/>
      <c r="P171" s="1171"/>
      <c r="Q171" s="65"/>
    </row>
    <row r="172" spans="1:17" s="51" customFormat="1" ht="26.25" customHeight="1">
      <c r="A172" s="5"/>
      <c r="B172" s="127"/>
      <c r="C172" s="128">
        <v>71012</v>
      </c>
      <c r="D172" s="1076"/>
      <c r="E172" s="49" t="s">
        <v>605</v>
      </c>
      <c r="F172" s="1081">
        <f t="shared" si="5"/>
        <v>45000</v>
      </c>
      <c r="G172" s="1081">
        <f t="shared" si="5"/>
        <v>0</v>
      </c>
      <c r="H172" s="1081"/>
      <c r="I172" s="1081">
        <f t="shared" si="5"/>
        <v>43930.98</v>
      </c>
      <c r="J172" s="1081">
        <f t="shared" si="5"/>
        <v>0</v>
      </c>
      <c r="K172" s="173">
        <f t="shared" si="4"/>
        <v>97.62440000000001</v>
      </c>
      <c r="L172" s="1056"/>
      <c r="N172" s="1171"/>
      <c r="O172" s="1171"/>
      <c r="P172" s="1171"/>
      <c r="Q172" s="65"/>
    </row>
    <row r="173" spans="1:17" s="51" customFormat="1" ht="48" customHeight="1">
      <c r="A173" s="6">
        <v>111</v>
      </c>
      <c r="B173" s="81"/>
      <c r="C173" s="1077"/>
      <c r="D173" s="853">
        <v>6060</v>
      </c>
      <c r="E173" s="4" t="s">
        <v>896</v>
      </c>
      <c r="F173" s="1074">
        <f>20000+40000-15000</f>
        <v>45000</v>
      </c>
      <c r="G173" s="1074"/>
      <c r="H173" s="619" t="s">
        <v>57</v>
      </c>
      <c r="I173" s="1074">
        <v>43930.98</v>
      </c>
      <c r="J173" s="1074">
        <v>0</v>
      </c>
      <c r="K173" s="173">
        <f t="shared" si="4"/>
        <v>97.62440000000001</v>
      </c>
      <c r="L173" s="509" t="s">
        <v>823</v>
      </c>
      <c r="N173" s="1171"/>
      <c r="O173" s="1171"/>
      <c r="P173" s="1171"/>
      <c r="Q173" s="65"/>
    </row>
    <row r="174" spans="1:17" s="51" customFormat="1" ht="27.75" customHeight="1">
      <c r="A174" s="16"/>
      <c r="B174" s="77">
        <v>754</v>
      </c>
      <c r="C174" s="77"/>
      <c r="D174" s="77"/>
      <c r="E174" s="11" t="s">
        <v>496</v>
      </c>
      <c r="F174" s="182">
        <f>F175+F177</f>
        <v>1060000</v>
      </c>
      <c r="G174" s="182">
        <f>G175+G177</f>
        <v>200000</v>
      </c>
      <c r="H174" s="85"/>
      <c r="I174" s="182">
        <f>I175+I177</f>
        <v>1059999.53</v>
      </c>
      <c r="J174" s="182">
        <f>J175+J177</f>
        <v>200000</v>
      </c>
      <c r="K174" s="173">
        <f t="shared" si="4"/>
        <v>99.99995566037737</v>
      </c>
      <c r="L174" s="509"/>
      <c r="N174" s="1171"/>
      <c r="O174" s="1171"/>
      <c r="P174" s="1171"/>
      <c r="Q174" s="65"/>
    </row>
    <row r="175" spans="1:17" s="69" customFormat="1" ht="21.75" customHeight="1">
      <c r="A175" s="32"/>
      <c r="B175" s="127"/>
      <c r="C175" s="128">
        <v>75405</v>
      </c>
      <c r="D175" s="1172"/>
      <c r="E175" s="49" t="s">
        <v>58</v>
      </c>
      <c r="F175" s="336">
        <f>F176</f>
        <v>80000</v>
      </c>
      <c r="G175" s="336">
        <f>G176</f>
        <v>0</v>
      </c>
      <c r="H175" s="125"/>
      <c r="I175" s="336">
        <f>I176</f>
        <v>79999.53</v>
      </c>
      <c r="J175" s="336">
        <f>J176</f>
        <v>0</v>
      </c>
      <c r="K175" s="173">
        <f t="shared" si="4"/>
        <v>99.99941249999999</v>
      </c>
      <c r="L175" s="1082"/>
      <c r="N175" s="1173"/>
      <c r="O175" s="1173"/>
      <c r="P175" s="1173"/>
      <c r="Q175" s="321"/>
    </row>
    <row r="176" spans="1:17" s="51" customFormat="1" ht="36.75" customHeight="1">
      <c r="A176" s="6">
        <v>112</v>
      </c>
      <c r="B176" s="81"/>
      <c r="C176" s="83"/>
      <c r="D176" s="857">
        <v>6170</v>
      </c>
      <c r="E176" s="4" t="s">
        <v>59</v>
      </c>
      <c r="F176" s="1074">
        <v>80000</v>
      </c>
      <c r="G176" s="1074"/>
      <c r="H176" s="619" t="s">
        <v>60</v>
      </c>
      <c r="I176" s="1074">
        <v>79999.53</v>
      </c>
      <c r="J176" s="1074">
        <v>0</v>
      </c>
      <c r="K176" s="173">
        <f t="shared" si="4"/>
        <v>99.99941249999999</v>
      </c>
      <c r="L176" s="509" t="s">
        <v>823</v>
      </c>
      <c r="N176" s="1171"/>
      <c r="O176" s="1171"/>
      <c r="P176" s="1171"/>
      <c r="Q176" s="65"/>
    </row>
    <row r="177" spans="1:17" s="51" customFormat="1" ht="39" customHeight="1">
      <c r="A177" s="6"/>
      <c r="B177" s="127"/>
      <c r="C177" s="128">
        <v>75411</v>
      </c>
      <c r="D177" s="1172"/>
      <c r="E177" s="49" t="s">
        <v>310</v>
      </c>
      <c r="F177" s="1074">
        <f>F179+F178</f>
        <v>980000</v>
      </c>
      <c r="G177" s="1074">
        <f>G179+G178</f>
        <v>200000</v>
      </c>
      <c r="H177" s="1074"/>
      <c r="I177" s="1074">
        <f>I179+I178</f>
        <v>980000</v>
      </c>
      <c r="J177" s="1074">
        <f>J179+J178</f>
        <v>200000</v>
      </c>
      <c r="K177" s="173">
        <f t="shared" si="4"/>
        <v>100</v>
      </c>
      <c r="L177" s="509"/>
      <c r="N177" s="1171"/>
      <c r="O177" s="1171"/>
      <c r="P177" s="1171"/>
      <c r="Q177" s="65"/>
    </row>
    <row r="178" spans="1:17" s="51" customFormat="1" ht="59.25" customHeight="1">
      <c r="A178" s="6">
        <v>113</v>
      </c>
      <c r="B178" s="127"/>
      <c r="C178" s="548"/>
      <c r="D178" s="91">
        <v>6060</v>
      </c>
      <c r="E178" s="4" t="s">
        <v>61</v>
      </c>
      <c r="F178" s="1074">
        <v>780000</v>
      </c>
      <c r="G178" s="1074"/>
      <c r="H178" s="1155" t="s">
        <v>62</v>
      </c>
      <c r="I178" s="1074">
        <v>780000</v>
      </c>
      <c r="J178" s="1074">
        <v>0</v>
      </c>
      <c r="K178" s="173">
        <f t="shared" si="4"/>
        <v>100</v>
      </c>
      <c r="L178" s="509" t="s">
        <v>823</v>
      </c>
      <c r="N178" s="1171"/>
      <c r="O178" s="1171"/>
      <c r="P178" s="1171"/>
      <c r="Q178" s="65"/>
    </row>
    <row r="179" spans="1:17" s="51" customFormat="1" ht="60" customHeight="1">
      <c r="A179" s="6">
        <v>114</v>
      </c>
      <c r="B179" s="81"/>
      <c r="C179" s="1077"/>
      <c r="D179" s="853">
        <v>6170</v>
      </c>
      <c r="E179" s="4" t="s">
        <v>61</v>
      </c>
      <c r="F179" s="1074">
        <v>200000</v>
      </c>
      <c r="G179" s="1074">
        <v>200000</v>
      </c>
      <c r="H179" s="619" t="s">
        <v>63</v>
      </c>
      <c r="I179" s="1074">
        <v>200000</v>
      </c>
      <c r="J179" s="1074">
        <v>200000</v>
      </c>
      <c r="K179" s="173">
        <f t="shared" si="4"/>
        <v>100</v>
      </c>
      <c r="L179" s="509" t="s">
        <v>823</v>
      </c>
      <c r="N179" s="1171"/>
      <c r="O179" s="1171"/>
      <c r="P179" s="1171"/>
      <c r="Q179" s="65"/>
    </row>
    <row r="180" spans="1:12" s="492" customFormat="1" ht="20.25" customHeight="1">
      <c r="A180" s="67"/>
      <c r="B180" s="77">
        <v>758</v>
      </c>
      <c r="C180" s="77"/>
      <c r="D180" s="79"/>
      <c r="E180" s="18" t="s">
        <v>497</v>
      </c>
      <c r="F180" s="242">
        <f>F181</f>
        <v>112100</v>
      </c>
      <c r="G180" s="242">
        <f aca="true" t="shared" si="6" ref="G180:J181">G181</f>
        <v>0</v>
      </c>
      <c r="H180" s="242"/>
      <c r="I180" s="242">
        <f t="shared" si="6"/>
        <v>0</v>
      </c>
      <c r="J180" s="242">
        <f t="shared" si="6"/>
        <v>0</v>
      </c>
      <c r="K180" s="173">
        <f t="shared" si="4"/>
        <v>0</v>
      </c>
      <c r="L180" s="501"/>
    </row>
    <row r="181" spans="1:12" s="492" customFormat="1" ht="18" customHeight="1">
      <c r="A181" s="12"/>
      <c r="B181" s="145"/>
      <c r="C181" s="1064">
        <v>75818</v>
      </c>
      <c r="D181" s="1054"/>
      <c r="E181" s="46" t="s">
        <v>498</v>
      </c>
      <c r="F181" s="133">
        <f>F182</f>
        <v>112100</v>
      </c>
      <c r="G181" s="133">
        <f t="shared" si="6"/>
        <v>0</v>
      </c>
      <c r="H181" s="133"/>
      <c r="I181" s="133">
        <f t="shared" si="6"/>
        <v>0</v>
      </c>
      <c r="J181" s="133">
        <f t="shared" si="6"/>
        <v>0</v>
      </c>
      <c r="K181" s="173">
        <f t="shared" si="4"/>
        <v>0</v>
      </c>
      <c r="L181" s="1056"/>
    </row>
    <row r="182" spans="1:12" s="492" customFormat="1" ht="27.75" customHeight="1">
      <c r="A182" s="6"/>
      <c r="B182" s="89"/>
      <c r="C182" s="1143"/>
      <c r="D182" s="1066">
        <v>6800</v>
      </c>
      <c r="E182" s="14" t="s">
        <v>901</v>
      </c>
      <c r="F182" s="1115">
        <f>2596190-2196190-200000+200000-130700-40000+12800-100000-30000</f>
        <v>112100</v>
      </c>
      <c r="G182" s="134"/>
      <c r="H182" s="84"/>
      <c r="I182" s="134"/>
      <c r="J182" s="134"/>
      <c r="K182" s="173">
        <f t="shared" si="4"/>
        <v>0</v>
      </c>
      <c r="L182" s="501"/>
    </row>
    <row r="183" spans="1:12" s="1152" customFormat="1" ht="18" customHeight="1">
      <c r="A183" s="16"/>
      <c r="B183" s="77">
        <v>801</v>
      </c>
      <c r="C183" s="123"/>
      <c r="D183" s="123"/>
      <c r="E183" s="18" t="s">
        <v>499</v>
      </c>
      <c r="F183" s="1073">
        <f>F184+F186+F188+F190</f>
        <v>139252</v>
      </c>
      <c r="G183" s="1073">
        <f>G184+G186+G188+G190</f>
        <v>0</v>
      </c>
      <c r="H183" s="1073"/>
      <c r="I183" s="1073">
        <f>I184+I186+I188+I190</f>
        <v>139250.37</v>
      </c>
      <c r="J183" s="1073">
        <f>J184+J186+J188+J190</f>
        <v>0</v>
      </c>
      <c r="K183" s="173">
        <f t="shared" si="4"/>
        <v>99.9988294602591</v>
      </c>
      <c r="L183" s="1121"/>
    </row>
    <row r="184" spans="1:12" s="1106" customFormat="1" ht="15.75" customHeight="1">
      <c r="A184" s="43"/>
      <c r="B184" s="1053"/>
      <c r="C184" s="548">
        <v>80102</v>
      </c>
      <c r="D184" s="1059"/>
      <c r="E184" s="46" t="s">
        <v>731</v>
      </c>
      <c r="F184" s="1065">
        <f>F185</f>
        <v>127700</v>
      </c>
      <c r="G184" s="1065">
        <f>G185</f>
        <v>0</v>
      </c>
      <c r="H184" s="1065"/>
      <c r="I184" s="1065">
        <f>I185</f>
        <v>127698.38</v>
      </c>
      <c r="J184" s="1065">
        <f>J185</f>
        <v>0</v>
      </c>
      <c r="K184" s="173">
        <f t="shared" si="4"/>
        <v>99.9987314017228</v>
      </c>
      <c r="L184" s="1056"/>
    </row>
    <row r="185" spans="1:12" s="492" customFormat="1" ht="51.75" customHeight="1">
      <c r="A185" s="20">
        <v>115</v>
      </c>
      <c r="B185" s="89"/>
      <c r="C185" s="863"/>
      <c r="D185" s="1066">
        <v>6050</v>
      </c>
      <c r="E185" s="14" t="s">
        <v>64</v>
      </c>
      <c r="F185" s="1043">
        <f>63850+63850</f>
        <v>127700</v>
      </c>
      <c r="G185" s="134">
        <v>0</v>
      </c>
      <c r="H185" s="619" t="s">
        <v>65</v>
      </c>
      <c r="I185" s="134">
        <v>127698.38</v>
      </c>
      <c r="J185" s="134">
        <v>0</v>
      </c>
      <c r="K185" s="173">
        <f t="shared" si="4"/>
        <v>99.9987314017228</v>
      </c>
      <c r="L185" s="501" t="s">
        <v>827</v>
      </c>
    </row>
    <row r="186" spans="1:12" s="1106" customFormat="1" ht="16.5" customHeight="1">
      <c r="A186" s="20"/>
      <c r="B186" s="1203"/>
      <c r="C186" s="1174">
        <v>80120</v>
      </c>
      <c r="D186" s="1126"/>
      <c r="E186" s="46" t="s">
        <v>90</v>
      </c>
      <c r="F186" s="1065">
        <f>F187</f>
        <v>1442</v>
      </c>
      <c r="G186" s="1065">
        <f>G187</f>
        <v>0</v>
      </c>
      <c r="H186" s="1065"/>
      <c r="I186" s="1065">
        <f>I187</f>
        <v>1441.99</v>
      </c>
      <c r="J186" s="1065">
        <f>J187</f>
        <v>0</v>
      </c>
      <c r="K186" s="177">
        <f t="shared" si="4"/>
        <v>99.999306518724</v>
      </c>
      <c r="L186" s="1056"/>
    </row>
    <row r="187" spans="1:12" s="492" customFormat="1" ht="30.75" customHeight="1">
      <c r="A187" s="6">
        <v>116</v>
      </c>
      <c r="B187" s="1204"/>
      <c r="C187" s="863"/>
      <c r="D187" s="1060">
        <v>6060</v>
      </c>
      <c r="E187" s="14" t="s">
        <v>66</v>
      </c>
      <c r="F187" s="1043">
        <v>1442</v>
      </c>
      <c r="G187" s="173"/>
      <c r="H187" s="1175" t="s">
        <v>67</v>
      </c>
      <c r="I187" s="1176">
        <v>1441.99</v>
      </c>
      <c r="J187" s="173"/>
      <c r="K187" s="173">
        <f t="shared" si="4"/>
        <v>99.999306518724</v>
      </c>
      <c r="L187" s="501" t="s">
        <v>823</v>
      </c>
    </row>
    <row r="188" spans="1:12" s="1106" customFormat="1" ht="17.25" customHeight="1">
      <c r="A188" s="6"/>
      <c r="B188" s="1204"/>
      <c r="C188" s="1174">
        <v>80123</v>
      </c>
      <c r="D188" s="1126"/>
      <c r="E188" s="46" t="s">
        <v>68</v>
      </c>
      <c r="F188" s="1065">
        <f>F189</f>
        <v>590</v>
      </c>
      <c r="G188" s="1065">
        <f>G189</f>
        <v>0</v>
      </c>
      <c r="H188" s="1065"/>
      <c r="I188" s="1065">
        <f>I189</f>
        <v>590</v>
      </c>
      <c r="J188" s="177"/>
      <c r="K188" s="177">
        <f t="shared" si="4"/>
        <v>100</v>
      </c>
      <c r="L188" s="1056"/>
    </row>
    <row r="189" spans="1:12" s="492" customFormat="1" ht="30" customHeight="1">
      <c r="A189" s="6">
        <v>117</v>
      </c>
      <c r="B189" s="1204"/>
      <c r="C189" s="863"/>
      <c r="D189" s="1060">
        <v>6060</v>
      </c>
      <c r="E189" s="14" t="s">
        <v>66</v>
      </c>
      <c r="F189" s="1043">
        <v>590</v>
      </c>
      <c r="G189" s="173"/>
      <c r="H189" s="1175" t="s">
        <v>67</v>
      </c>
      <c r="I189" s="173">
        <v>590</v>
      </c>
      <c r="J189" s="173"/>
      <c r="K189" s="173">
        <f t="shared" si="4"/>
        <v>100</v>
      </c>
      <c r="L189" s="501" t="s">
        <v>823</v>
      </c>
    </row>
    <row r="190" spans="1:12" s="1106" customFormat="1" ht="21" customHeight="1">
      <c r="A190" s="6"/>
      <c r="B190" s="127"/>
      <c r="C190" s="1174">
        <v>80130</v>
      </c>
      <c r="D190" s="1126"/>
      <c r="E190" s="46" t="s">
        <v>91</v>
      </c>
      <c r="F190" s="1065">
        <f>F191+F192</f>
        <v>9520</v>
      </c>
      <c r="G190" s="1065">
        <f>G191+G192</f>
        <v>0</v>
      </c>
      <c r="H190" s="1065"/>
      <c r="I190" s="1065">
        <f>I191+I192</f>
        <v>9520</v>
      </c>
      <c r="J190" s="1065">
        <f>J191+J192</f>
        <v>0</v>
      </c>
      <c r="K190" s="173">
        <f t="shared" si="4"/>
        <v>100</v>
      </c>
      <c r="L190" s="1056"/>
    </row>
    <row r="191" spans="1:12" s="1106" customFormat="1" ht="26.25" customHeight="1">
      <c r="A191" s="6">
        <v>118</v>
      </c>
      <c r="B191" s="221"/>
      <c r="C191" s="145"/>
      <c r="D191" s="1060">
        <v>6060</v>
      </c>
      <c r="E191" s="14" t="s">
        <v>66</v>
      </c>
      <c r="F191" s="1043">
        <v>4520</v>
      </c>
      <c r="G191" s="1043"/>
      <c r="H191" s="1175" t="s">
        <v>67</v>
      </c>
      <c r="I191" s="1177">
        <v>4520</v>
      </c>
      <c r="J191" s="1065"/>
      <c r="K191" s="173">
        <f t="shared" si="4"/>
        <v>100</v>
      </c>
      <c r="L191" s="501" t="s">
        <v>823</v>
      </c>
    </row>
    <row r="192" spans="1:12" s="492" customFormat="1" ht="39" customHeight="1">
      <c r="A192" s="6">
        <v>119</v>
      </c>
      <c r="B192" s="91"/>
      <c r="C192" s="89"/>
      <c r="D192" s="1060">
        <v>6060</v>
      </c>
      <c r="E192" s="14" t="s">
        <v>69</v>
      </c>
      <c r="F192" s="1043">
        <v>5000</v>
      </c>
      <c r="G192" s="173"/>
      <c r="H192" s="1134" t="s">
        <v>70</v>
      </c>
      <c r="I192" s="1178">
        <v>5000</v>
      </c>
      <c r="J192" s="173"/>
      <c r="K192" s="173">
        <f t="shared" si="4"/>
        <v>100</v>
      </c>
      <c r="L192" s="501" t="s">
        <v>823</v>
      </c>
    </row>
    <row r="193" spans="1:12" s="492" customFormat="1" ht="28.5" customHeight="1">
      <c r="A193" s="6"/>
      <c r="B193" s="87">
        <v>853</v>
      </c>
      <c r="C193" s="89"/>
      <c r="D193" s="1060"/>
      <c r="E193" s="1125" t="s">
        <v>523</v>
      </c>
      <c r="F193" s="1073">
        <f>F194</f>
        <v>30500</v>
      </c>
      <c r="G193" s="1073">
        <f>G194</f>
        <v>0</v>
      </c>
      <c r="H193" s="1073"/>
      <c r="I193" s="1073">
        <f>I194</f>
        <v>28382.6</v>
      </c>
      <c r="J193" s="1073">
        <f>J194</f>
        <v>0</v>
      </c>
      <c r="K193" s="173">
        <f t="shared" si="4"/>
        <v>93.05770491803278</v>
      </c>
      <c r="L193" s="501"/>
    </row>
    <row r="194" spans="1:12" s="1106" customFormat="1" ht="29.25" customHeight="1">
      <c r="A194" s="32"/>
      <c r="B194" s="145"/>
      <c r="C194" s="128">
        <v>85311</v>
      </c>
      <c r="D194" s="1126"/>
      <c r="E194" s="46" t="s">
        <v>302</v>
      </c>
      <c r="F194" s="1065">
        <f>F195</f>
        <v>30500</v>
      </c>
      <c r="G194" s="1065">
        <f>G195</f>
        <v>0</v>
      </c>
      <c r="H194" s="1065"/>
      <c r="I194" s="1065">
        <f>I195</f>
        <v>28382.6</v>
      </c>
      <c r="J194" s="1065">
        <f>J195</f>
        <v>0</v>
      </c>
      <c r="K194" s="177">
        <f t="shared" si="4"/>
        <v>93.05770491803278</v>
      </c>
      <c r="L194" s="1056"/>
    </row>
    <row r="195" spans="1:12" s="492" customFormat="1" ht="57" customHeight="1">
      <c r="A195" s="6">
        <v>120</v>
      </c>
      <c r="B195" s="857"/>
      <c r="C195" s="89"/>
      <c r="D195" s="83">
        <v>6060</v>
      </c>
      <c r="E195" s="14" t="s">
        <v>71</v>
      </c>
      <c r="F195" s="1043">
        <f>500+30000</f>
        <v>30500</v>
      </c>
      <c r="G195" s="134"/>
      <c r="H195" s="1068" t="s">
        <v>72</v>
      </c>
      <c r="I195" s="134">
        <v>28382.6</v>
      </c>
      <c r="J195" s="134">
        <v>0</v>
      </c>
      <c r="K195" s="173">
        <f t="shared" si="4"/>
        <v>93.05770491803278</v>
      </c>
      <c r="L195" s="501" t="s">
        <v>823</v>
      </c>
    </row>
    <row r="196" spans="1:14" s="492" customFormat="1" ht="30" customHeight="1">
      <c r="A196" s="16"/>
      <c r="B196" s="1179" t="s">
        <v>463</v>
      </c>
      <c r="C196" s="1148"/>
      <c r="D196" s="1149"/>
      <c r="E196" s="1180"/>
      <c r="F196" s="242">
        <f>F12+F158</f>
        <v>49864256.36</v>
      </c>
      <c r="G196" s="242">
        <f>G12+G158</f>
        <v>5611830</v>
      </c>
      <c r="H196" s="1181"/>
      <c r="I196" s="242">
        <f>I12+I158</f>
        <v>47301107.88000001</v>
      </c>
      <c r="J196" s="242">
        <f>J12+J158</f>
        <v>4417526.34</v>
      </c>
      <c r="K196" s="173">
        <f t="shared" si="4"/>
        <v>94.85974790941415</v>
      </c>
      <c r="L196" s="1182"/>
      <c r="N196" s="887"/>
    </row>
    <row r="197" spans="1:15" s="492" customFormat="1" ht="15.75">
      <c r="A197" s="109"/>
      <c r="F197" s="1183"/>
      <c r="G197" s="1183"/>
      <c r="H197" s="1184"/>
      <c r="I197" s="1183"/>
      <c r="J197" s="1183"/>
      <c r="K197" s="1183"/>
      <c r="N197" s="1185"/>
      <c r="O197" s="1186"/>
    </row>
    <row r="198" spans="1:15" s="492" customFormat="1" ht="15.75">
      <c r="A198" s="109"/>
      <c r="F198" s="1183"/>
      <c r="G198" s="1183"/>
      <c r="H198" s="1184"/>
      <c r="I198" s="1183"/>
      <c r="J198" s="1183"/>
      <c r="K198" s="1183"/>
      <c r="N198" s="1185"/>
      <c r="O198" s="1186"/>
    </row>
    <row r="199" spans="1:11" s="492" customFormat="1" ht="12.75">
      <c r="A199" s="109"/>
      <c r="F199" s="1187"/>
      <c r="G199" s="1187"/>
      <c r="H199" s="1188"/>
      <c r="I199" s="1187"/>
      <c r="J199" s="1187"/>
      <c r="K199" s="1187"/>
    </row>
    <row r="200" spans="1:11" s="492" customFormat="1" ht="12.75">
      <c r="A200" s="109"/>
      <c r="F200" s="1187"/>
      <c r="G200" s="1187"/>
      <c r="H200" s="1188"/>
      <c r="I200" s="1187"/>
      <c r="J200" s="1187"/>
      <c r="K200" s="1187"/>
    </row>
    <row r="201" spans="1:11" s="492" customFormat="1" ht="12.75">
      <c r="A201" s="109"/>
      <c r="F201" s="1187"/>
      <c r="G201" s="1187"/>
      <c r="H201" s="1188"/>
      <c r="I201" s="1187"/>
      <c r="J201" s="1187"/>
      <c r="K201" s="1187"/>
    </row>
    <row r="202" spans="1:11" s="492" customFormat="1" ht="12.75">
      <c r="A202" s="109"/>
      <c r="F202" s="1187"/>
      <c r="G202" s="1187"/>
      <c r="H202" s="1188"/>
      <c r="I202" s="1187"/>
      <c r="J202" s="1187"/>
      <c r="K202" s="1187"/>
    </row>
    <row r="203" spans="1:11" s="492" customFormat="1" ht="12.75">
      <c r="A203" s="109"/>
      <c r="F203" s="1187"/>
      <c r="G203" s="1187"/>
      <c r="H203" s="1188"/>
      <c r="I203" s="1187"/>
      <c r="J203" s="1187"/>
      <c r="K203" s="1187"/>
    </row>
    <row r="204" spans="1:11" s="492" customFormat="1" ht="12.75">
      <c r="A204" s="109"/>
      <c r="F204" s="1187"/>
      <c r="G204" s="1187"/>
      <c r="H204" s="1188"/>
      <c r="I204" s="1187"/>
      <c r="J204" s="1187"/>
      <c r="K204" s="1187"/>
    </row>
    <row r="205" spans="1:11" s="492" customFormat="1" ht="12.75">
      <c r="A205" s="109"/>
      <c r="F205" s="1187"/>
      <c r="G205" s="1187"/>
      <c r="H205" s="1188"/>
      <c r="I205" s="1187"/>
      <c r="J205" s="1187"/>
      <c r="K205" s="1187"/>
    </row>
    <row r="206" spans="1:11" s="492" customFormat="1" ht="12.75">
      <c r="A206" s="109"/>
      <c r="F206" s="1187"/>
      <c r="G206" s="1187"/>
      <c r="H206" s="1188"/>
      <c r="I206" s="1187"/>
      <c r="J206" s="1187"/>
      <c r="K206" s="1187"/>
    </row>
    <row r="207" spans="1:11" s="492" customFormat="1" ht="12.75">
      <c r="A207" s="109"/>
      <c r="F207" s="1187"/>
      <c r="G207" s="1187"/>
      <c r="H207" s="1188"/>
      <c r="I207" s="1187"/>
      <c r="J207" s="1187"/>
      <c r="K207" s="1187"/>
    </row>
    <row r="208" spans="1:11" s="492" customFormat="1" ht="12.75">
      <c r="A208" s="109"/>
      <c r="F208" s="1187"/>
      <c r="G208" s="1187"/>
      <c r="H208" s="1188"/>
      <c r="I208" s="1187"/>
      <c r="J208" s="1187"/>
      <c r="K208" s="1187"/>
    </row>
    <row r="209" spans="1:11" s="492" customFormat="1" ht="12.75">
      <c r="A209" s="109"/>
      <c r="F209" s="1187"/>
      <c r="G209" s="1187"/>
      <c r="H209" s="1188"/>
      <c r="I209" s="1187"/>
      <c r="J209" s="1187"/>
      <c r="K209" s="1187"/>
    </row>
    <row r="210" spans="1:11" s="492" customFormat="1" ht="12.75">
      <c r="A210" s="109"/>
      <c r="F210" s="1187"/>
      <c r="G210" s="1187"/>
      <c r="H210" s="1188"/>
      <c r="I210" s="1187"/>
      <c r="J210" s="1187"/>
      <c r="K210" s="1187"/>
    </row>
    <row r="211" spans="1:11" s="492" customFormat="1" ht="12.75">
      <c r="A211" s="109"/>
      <c r="F211" s="1187"/>
      <c r="G211" s="1187"/>
      <c r="H211" s="1188"/>
      <c r="I211" s="1187"/>
      <c r="J211" s="1187"/>
      <c r="K211" s="1187"/>
    </row>
    <row r="212" spans="1:11" s="492" customFormat="1" ht="12.75">
      <c r="A212" s="109"/>
      <c r="F212" s="1187"/>
      <c r="G212" s="1187"/>
      <c r="H212" s="1188"/>
      <c r="I212" s="1187"/>
      <c r="J212" s="1187"/>
      <c r="K212" s="1187"/>
    </row>
    <row r="213" spans="1:11" s="492" customFormat="1" ht="12.75">
      <c r="A213" s="109"/>
      <c r="F213" s="1187"/>
      <c r="G213" s="1187"/>
      <c r="H213" s="1188"/>
      <c r="I213" s="1187"/>
      <c r="J213" s="1187"/>
      <c r="K213" s="1187"/>
    </row>
    <row r="214" spans="1:11" s="492" customFormat="1" ht="12.75">
      <c r="A214" s="109"/>
      <c r="F214" s="1187"/>
      <c r="G214" s="1187"/>
      <c r="H214" s="1188"/>
      <c r="I214" s="1187"/>
      <c r="J214" s="1187"/>
      <c r="K214" s="1187"/>
    </row>
    <row r="215" spans="1:11" s="492" customFormat="1" ht="12.75">
      <c r="A215" s="109"/>
      <c r="F215" s="1187"/>
      <c r="G215" s="1187"/>
      <c r="H215" s="1188"/>
      <c r="I215" s="1187"/>
      <c r="J215" s="1187"/>
      <c r="K215" s="1187"/>
    </row>
    <row r="216" spans="1:11" s="492" customFormat="1" ht="12.75">
      <c r="A216" s="109"/>
      <c r="F216" s="1187"/>
      <c r="G216" s="1187"/>
      <c r="H216" s="1188"/>
      <c r="I216" s="1187"/>
      <c r="J216" s="1187"/>
      <c r="K216" s="1187"/>
    </row>
    <row r="217" spans="1:11" s="492" customFormat="1" ht="12.75">
      <c r="A217" s="109"/>
      <c r="F217" s="1187"/>
      <c r="G217" s="1187"/>
      <c r="H217" s="1188"/>
      <c r="I217" s="1187"/>
      <c r="J217" s="1187"/>
      <c r="K217" s="1187"/>
    </row>
    <row r="218" spans="1:11" s="492" customFormat="1" ht="12.75">
      <c r="A218" s="109"/>
      <c r="F218" s="1187"/>
      <c r="G218" s="1187"/>
      <c r="H218" s="1188"/>
      <c r="I218" s="1187"/>
      <c r="J218" s="1187"/>
      <c r="K218" s="1187"/>
    </row>
    <row r="219" spans="1:11" s="492" customFormat="1" ht="12.75">
      <c r="A219" s="109"/>
      <c r="F219" s="1187"/>
      <c r="G219" s="1187"/>
      <c r="H219" s="1188"/>
      <c r="I219" s="1187"/>
      <c r="J219" s="1187"/>
      <c r="K219" s="1187"/>
    </row>
    <row r="220" spans="1:11" s="492" customFormat="1" ht="12.75">
      <c r="A220" s="109"/>
      <c r="F220" s="1187"/>
      <c r="G220" s="1187"/>
      <c r="H220" s="1188"/>
      <c r="I220" s="1187"/>
      <c r="J220" s="1187"/>
      <c r="K220" s="1187"/>
    </row>
    <row r="221" spans="1:11" s="492" customFormat="1" ht="12.75">
      <c r="A221" s="109"/>
      <c r="F221" s="1187"/>
      <c r="G221" s="1187"/>
      <c r="H221" s="1188"/>
      <c r="I221" s="1187"/>
      <c r="J221" s="1187"/>
      <c r="K221" s="1187"/>
    </row>
    <row r="222" spans="1:11" s="492" customFormat="1" ht="12.75">
      <c r="A222" s="109"/>
      <c r="F222" s="1187"/>
      <c r="G222" s="1187"/>
      <c r="H222" s="1188"/>
      <c r="I222" s="1187"/>
      <c r="J222" s="1187"/>
      <c r="K222" s="1187"/>
    </row>
    <row r="223" spans="1:11" s="492" customFormat="1" ht="12.75">
      <c r="A223" s="109"/>
      <c r="F223" s="1187"/>
      <c r="G223" s="1187"/>
      <c r="H223" s="1188"/>
      <c r="I223" s="1187"/>
      <c r="J223" s="1187"/>
      <c r="K223" s="1187"/>
    </row>
    <row r="224" spans="1:11" s="492" customFormat="1" ht="12.75">
      <c r="A224" s="109"/>
      <c r="F224" s="1187"/>
      <c r="G224" s="1187"/>
      <c r="H224" s="1188"/>
      <c r="I224" s="1187"/>
      <c r="J224" s="1187"/>
      <c r="K224" s="1187"/>
    </row>
    <row r="225" spans="1:11" s="492" customFormat="1" ht="12.75">
      <c r="A225" s="109"/>
      <c r="F225" s="1187"/>
      <c r="G225" s="1187"/>
      <c r="H225" s="1188"/>
      <c r="I225" s="1187"/>
      <c r="J225" s="1187"/>
      <c r="K225" s="1187"/>
    </row>
    <row r="226" spans="1:11" s="492" customFormat="1" ht="12.75">
      <c r="A226" s="109"/>
      <c r="F226" s="1187"/>
      <c r="G226" s="1187"/>
      <c r="H226" s="1188"/>
      <c r="I226" s="1187"/>
      <c r="J226" s="1187"/>
      <c r="K226" s="1187"/>
    </row>
    <row r="227" spans="1:11" s="492" customFormat="1" ht="12.75">
      <c r="A227" s="109"/>
      <c r="F227" s="1187"/>
      <c r="G227" s="1187"/>
      <c r="H227" s="1188"/>
      <c r="I227" s="1187"/>
      <c r="J227" s="1187"/>
      <c r="K227" s="1187"/>
    </row>
    <row r="228" spans="1:11" s="492" customFormat="1" ht="12.75">
      <c r="A228" s="109"/>
      <c r="F228" s="1187"/>
      <c r="G228" s="1187"/>
      <c r="H228" s="1188"/>
      <c r="I228" s="1187"/>
      <c r="J228" s="1187"/>
      <c r="K228" s="1187"/>
    </row>
    <row r="229" spans="1:11" s="492" customFormat="1" ht="12.75">
      <c r="A229" s="109"/>
      <c r="F229" s="1187"/>
      <c r="G229" s="1187"/>
      <c r="H229" s="1188"/>
      <c r="I229" s="1187"/>
      <c r="J229" s="1187"/>
      <c r="K229" s="1187"/>
    </row>
    <row r="230" spans="1:11" s="492" customFormat="1" ht="12.75">
      <c r="A230" s="109"/>
      <c r="F230" s="1187"/>
      <c r="G230" s="1187"/>
      <c r="H230" s="1188"/>
      <c r="I230" s="1187"/>
      <c r="J230" s="1187"/>
      <c r="K230" s="1187"/>
    </row>
    <row r="231" spans="1:11" s="492" customFormat="1" ht="12.75">
      <c r="A231" s="109"/>
      <c r="F231" s="1187"/>
      <c r="G231" s="1187"/>
      <c r="H231" s="1188"/>
      <c r="I231" s="1187"/>
      <c r="J231" s="1187"/>
      <c r="K231" s="1187"/>
    </row>
    <row r="232" spans="1:11" s="492" customFormat="1" ht="12.75">
      <c r="A232" s="109"/>
      <c r="F232" s="1187"/>
      <c r="G232" s="1187"/>
      <c r="H232" s="1188"/>
      <c r="I232" s="1187"/>
      <c r="J232" s="1187"/>
      <c r="K232" s="1187"/>
    </row>
    <row r="233" spans="1:11" s="492" customFormat="1" ht="12.75">
      <c r="A233" s="109"/>
      <c r="F233" s="1187"/>
      <c r="G233" s="1187"/>
      <c r="H233" s="1188"/>
      <c r="I233" s="1187"/>
      <c r="J233" s="1187"/>
      <c r="K233" s="1187"/>
    </row>
    <row r="234" spans="1:11" s="492" customFormat="1" ht="12.75">
      <c r="A234" s="109"/>
      <c r="F234" s="1187"/>
      <c r="G234" s="1187"/>
      <c r="H234" s="1188"/>
      <c r="I234" s="1187"/>
      <c r="J234" s="1187"/>
      <c r="K234" s="1187"/>
    </row>
    <row r="235" spans="1:11" s="492" customFormat="1" ht="12.75">
      <c r="A235" s="109"/>
      <c r="F235" s="1187"/>
      <c r="G235" s="1187"/>
      <c r="H235" s="1188"/>
      <c r="I235" s="1187"/>
      <c r="J235" s="1187"/>
      <c r="K235" s="1187"/>
    </row>
    <row r="236" spans="1:11" s="492" customFormat="1" ht="12.75">
      <c r="A236" s="109"/>
      <c r="F236" s="1187"/>
      <c r="G236" s="1187"/>
      <c r="H236" s="1188"/>
      <c r="I236" s="1187"/>
      <c r="J236" s="1187"/>
      <c r="K236" s="1187"/>
    </row>
    <row r="237" spans="1:11" s="492" customFormat="1" ht="12.75">
      <c r="A237" s="109"/>
      <c r="F237" s="1187"/>
      <c r="G237" s="1187"/>
      <c r="H237" s="1188"/>
      <c r="I237" s="1187"/>
      <c r="J237" s="1187"/>
      <c r="K237" s="1187"/>
    </row>
    <row r="238" spans="1:11" s="492" customFormat="1" ht="12.75">
      <c r="A238" s="109"/>
      <c r="F238" s="1187"/>
      <c r="G238" s="1187"/>
      <c r="H238" s="1188"/>
      <c r="I238" s="1187"/>
      <c r="J238" s="1187"/>
      <c r="K238" s="1187"/>
    </row>
  </sheetData>
  <mergeCells count="10">
    <mergeCell ref="L140:L142"/>
    <mergeCell ref="B186:B189"/>
    <mergeCell ref="A99:A100"/>
    <mergeCell ref="A107:A108"/>
    <mergeCell ref="A140:A142"/>
    <mergeCell ref="H140:H142"/>
    <mergeCell ref="F9:G9"/>
    <mergeCell ref="H9:J9"/>
    <mergeCell ref="A94:A95"/>
    <mergeCell ref="A97:A98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1">
      <selection activeCell="H2" sqref="H2"/>
    </sheetView>
  </sheetViews>
  <sheetFormatPr defaultColWidth="9.140625" defaultRowHeight="12.75"/>
  <cols>
    <col min="1" max="1" width="3.8515625" style="54" customWidth="1"/>
    <col min="2" max="2" width="5.28125" style="54" customWidth="1"/>
    <col min="3" max="3" width="5.7109375" style="54" customWidth="1"/>
    <col min="4" max="4" width="27.7109375" style="196" customWidth="1"/>
    <col min="5" max="5" width="11.7109375" style="54" customWidth="1"/>
    <col min="6" max="6" width="11.57421875" style="54" customWidth="1"/>
    <col min="7" max="7" width="6.421875" style="54" customWidth="1"/>
    <col min="8" max="8" width="11.28125" style="54" customWidth="1"/>
    <col min="9" max="9" width="11.57421875" style="54" customWidth="1"/>
    <col min="10" max="10" width="7.140625" style="54" customWidth="1"/>
    <col min="11" max="16384" width="9.140625" style="54" customWidth="1"/>
  </cols>
  <sheetData>
    <row r="1" spans="1:9" ht="18.75">
      <c r="A1" s="193"/>
      <c r="B1" s="193"/>
      <c r="C1" s="193"/>
      <c r="E1" s="195"/>
      <c r="F1" s="195"/>
      <c r="G1" s="195"/>
      <c r="I1" s="195"/>
    </row>
    <row r="2" spans="1:9" ht="20.25">
      <c r="A2" s="193"/>
      <c r="B2" s="193"/>
      <c r="C2" s="193"/>
      <c r="E2" s="476"/>
      <c r="F2" s="476"/>
      <c r="G2" s="476"/>
      <c r="H2" s="476" t="s">
        <v>786</v>
      </c>
      <c r="I2" s="195"/>
    </row>
    <row r="3" spans="1:9" ht="18.75">
      <c r="A3" s="193"/>
      <c r="B3" s="193"/>
      <c r="C3" s="193"/>
      <c r="E3" s="478"/>
      <c r="F3" s="478"/>
      <c r="G3" s="478"/>
      <c r="I3" s="195"/>
    </row>
    <row r="4" spans="1:7" ht="12.75">
      <c r="A4" s="193"/>
      <c r="B4" s="193"/>
      <c r="C4" s="193"/>
      <c r="E4" s="197"/>
      <c r="F4" s="197"/>
      <c r="G4" s="197"/>
    </row>
    <row r="5" spans="1:7" ht="18.75">
      <c r="A5" s="540" t="s">
        <v>798</v>
      </c>
      <c r="B5" s="193"/>
      <c r="C5" s="193"/>
      <c r="E5" s="197"/>
      <c r="F5" s="197"/>
      <c r="G5" s="197"/>
    </row>
    <row r="6" spans="1:7" ht="18.75">
      <c r="A6" s="540" t="s">
        <v>102</v>
      </c>
      <c r="B6" s="193"/>
      <c r="C6" s="193"/>
      <c r="E6" s="197"/>
      <c r="F6" s="197"/>
      <c r="G6" s="197"/>
    </row>
    <row r="7" spans="1:7" ht="15.75">
      <c r="A7" s="1209" t="s">
        <v>103</v>
      </c>
      <c r="B7" s="1210"/>
      <c r="C7" s="1210"/>
      <c r="D7" s="1210"/>
      <c r="E7" s="197"/>
      <c r="F7" s="197"/>
      <c r="G7" s="197"/>
    </row>
    <row r="8" spans="1:7" ht="15.75">
      <c r="A8" s="647"/>
      <c r="B8" s="648"/>
      <c r="C8" s="648"/>
      <c r="D8" s="648"/>
      <c r="E8" s="197"/>
      <c r="F8" s="197"/>
      <c r="G8" s="197"/>
    </row>
    <row r="9" spans="1:9" ht="12.75">
      <c r="A9" s="198" t="s">
        <v>83</v>
      </c>
      <c r="B9" s="198"/>
      <c r="C9" s="198"/>
      <c r="D9" s="494"/>
      <c r="E9" s="199"/>
      <c r="F9" s="199"/>
      <c r="G9" s="199"/>
      <c r="H9" s="490"/>
      <c r="I9" s="490" t="s">
        <v>84</v>
      </c>
    </row>
    <row r="10" spans="1:10" ht="69.75" customHeight="1">
      <c r="A10" s="495" t="s">
        <v>85</v>
      </c>
      <c r="B10" s="495" t="s">
        <v>86</v>
      </c>
      <c r="C10" s="495" t="s">
        <v>294</v>
      </c>
      <c r="D10" s="649" t="s">
        <v>684</v>
      </c>
      <c r="E10" s="649" t="s">
        <v>792</v>
      </c>
      <c r="F10" s="649" t="s">
        <v>96</v>
      </c>
      <c r="G10" s="649" t="s">
        <v>80</v>
      </c>
      <c r="H10" s="650" t="s">
        <v>793</v>
      </c>
      <c r="I10" s="649" t="s">
        <v>96</v>
      </c>
      <c r="J10" s="649" t="s">
        <v>80</v>
      </c>
    </row>
    <row r="11" spans="1:10" ht="23.25" customHeight="1">
      <c r="A11" s="67">
        <v>600</v>
      </c>
      <c r="B11" s="651"/>
      <c r="C11" s="652"/>
      <c r="D11" s="653" t="s">
        <v>87</v>
      </c>
      <c r="E11" s="498">
        <f>E12</f>
        <v>1051994.3199999998</v>
      </c>
      <c r="F11" s="498">
        <f>F12</f>
        <v>1051994.32</v>
      </c>
      <c r="G11" s="498">
        <f>F11*100/E11</f>
        <v>100.00000000000001</v>
      </c>
      <c r="H11" s="498">
        <f>H12</f>
        <v>1051994.3199999998</v>
      </c>
      <c r="I11" s="654">
        <f>I12</f>
        <v>1051994.32</v>
      </c>
      <c r="J11" s="45">
        <f>I11*100/H11</f>
        <v>100.00000000000001</v>
      </c>
    </row>
    <row r="12" spans="1:10" ht="27.75" customHeight="1">
      <c r="A12" s="655"/>
      <c r="B12" s="42">
        <v>60004</v>
      </c>
      <c r="C12" s="656"/>
      <c r="D12" s="246" t="s">
        <v>88</v>
      </c>
      <c r="E12" s="200">
        <f>SUM(E13:E14)</f>
        <v>1051994.3199999998</v>
      </c>
      <c r="F12" s="200">
        <f>SUM(F13:F14)</f>
        <v>1051994.32</v>
      </c>
      <c r="G12" s="657">
        <f>F12*100/E12</f>
        <v>100.00000000000001</v>
      </c>
      <c r="H12" s="200">
        <f>SUM(H13:H14)</f>
        <v>1051994.3199999998</v>
      </c>
      <c r="I12" s="84">
        <f>SUM(I13:I14)</f>
        <v>1051994.32</v>
      </c>
      <c r="J12" s="68">
        <f>I12*100/H12</f>
        <v>100.00000000000001</v>
      </c>
    </row>
    <row r="13" spans="1:10" s="193" customFormat="1" ht="51.75" customHeight="1">
      <c r="A13" s="23"/>
      <c r="B13" s="20"/>
      <c r="C13" s="658">
        <v>2310</v>
      </c>
      <c r="D13" s="499" t="s">
        <v>97</v>
      </c>
      <c r="E13" s="659">
        <f>1098338.93-125991.62+79647.01</f>
        <v>1051994.3199999998</v>
      </c>
      <c r="F13" s="659">
        <v>1051994.32</v>
      </c>
      <c r="G13" s="659"/>
      <c r="H13" s="660"/>
      <c r="I13" s="338"/>
      <c r="J13" s="338"/>
    </row>
    <row r="14" spans="1:10" ht="39.75" customHeight="1">
      <c r="A14" s="661"/>
      <c r="B14" s="662"/>
      <c r="C14" s="663">
        <v>2650</v>
      </c>
      <c r="D14" s="500" t="s">
        <v>771</v>
      </c>
      <c r="E14" s="342"/>
      <c r="F14" s="342"/>
      <c r="G14" s="342"/>
      <c r="H14" s="94">
        <f>1098338.93-125991.62+79647.01</f>
        <v>1051994.3199999998</v>
      </c>
      <c r="I14" s="68">
        <v>1051994.32</v>
      </c>
      <c r="J14" s="68"/>
    </row>
    <row r="15" spans="1:10" ht="27.75" customHeight="1">
      <c r="A15" s="16">
        <v>801</v>
      </c>
      <c r="B15" s="501"/>
      <c r="C15" s="501"/>
      <c r="D15" s="664" t="s">
        <v>499</v>
      </c>
      <c r="E15" s="95">
        <f>SUM(E16)</f>
        <v>540000</v>
      </c>
      <c r="F15" s="95">
        <f>SUM(F16)</f>
        <v>687589</v>
      </c>
      <c r="G15" s="665">
        <f>F15*100/E15</f>
        <v>127.3312962962963</v>
      </c>
      <c r="H15" s="665">
        <f>SUM(H16)</f>
        <v>540000</v>
      </c>
      <c r="I15" s="666">
        <f>SUM(I16)</f>
        <v>540000</v>
      </c>
      <c r="J15" s="45">
        <f>I15*100/H15</f>
        <v>100</v>
      </c>
    </row>
    <row r="16" spans="1:10" ht="22.5" customHeight="1">
      <c r="A16" s="66"/>
      <c r="B16" s="42">
        <v>80104</v>
      </c>
      <c r="C16" s="658"/>
      <c r="D16" s="246" t="s">
        <v>563</v>
      </c>
      <c r="E16" s="200">
        <f>SUM(E17)</f>
        <v>540000</v>
      </c>
      <c r="F16" s="200">
        <f>SUM(F17)</f>
        <v>687589</v>
      </c>
      <c r="G16" s="667">
        <f>F16*100/E16</f>
        <v>127.3312962962963</v>
      </c>
      <c r="H16" s="667">
        <f>SUM(H17:H25)</f>
        <v>540000</v>
      </c>
      <c r="I16" s="668">
        <f>SUM(I17:I25)</f>
        <v>540000</v>
      </c>
      <c r="J16" s="68">
        <f>I16*100/H16</f>
        <v>100</v>
      </c>
    </row>
    <row r="17" spans="1:10" ht="51.75" customHeight="1">
      <c r="A17" s="661"/>
      <c r="B17" s="669"/>
      <c r="C17" s="658">
        <v>2310</v>
      </c>
      <c r="D17" s="499" t="s">
        <v>97</v>
      </c>
      <c r="E17" s="667">
        <f>400000+50000+90000</f>
        <v>540000</v>
      </c>
      <c r="F17" s="667">
        <v>687589</v>
      </c>
      <c r="G17" s="667"/>
      <c r="H17" s="670"/>
      <c r="I17" s="68"/>
      <c r="J17" s="68"/>
    </row>
    <row r="18" spans="1:10" ht="26.25" customHeight="1">
      <c r="A18" s="661"/>
      <c r="B18" s="662"/>
      <c r="C18" s="671">
        <v>4010</v>
      </c>
      <c r="D18" s="672" t="s">
        <v>572</v>
      </c>
      <c r="E18" s="673"/>
      <c r="F18" s="673"/>
      <c r="G18" s="342"/>
      <c r="H18" s="670">
        <f>315181+14847</f>
        <v>330028</v>
      </c>
      <c r="I18" s="68">
        <v>330028</v>
      </c>
      <c r="J18" s="68">
        <f aca="true" t="shared" si="0" ref="J18:J25">I18*100/H18</f>
        <v>100</v>
      </c>
    </row>
    <row r="19" spans="1:10" ht="26.25" customHeight="1">
      <c r="A19" s="661"/>
      <c r="B19" s="662"/>
      <c r="C19" s="671">
        <v>4040</v>
      </c>
      <c r="D19" s="672" t="s">
        <v>575</v>
      </c>
      <c r="E19" s="659"/>
      <c r="F19" s="659"/>
      <c r="G19" s="674"/>
      <c r="H19" s="670">
        <f>26030+1650</f>
        <v>27680</v>
      </c>
      <c r="I19" s="68">
        <v>27680</v>
      </c>
      <c r="J19" s="68">
        <f t="shared" si="0"/>
        <v>100</v>
      </c>
    </row>
    <row r="20" spans="1:10" ht="25.5" customHeight="1">
      <c r="A20" s="661"/>
      <c r="B20" s="662"/>
      <c r="C20" s="671">
        <v>4110</v>
      </c>
      <c r="D20" s="672" t="s">
        <v>576</v>
      </c>
      <c r="E20" s="659"/>
      <c r="F20" s="659"/>
      <c r="G20" s="674"/>
      <c r="H20" s="670">
        <f>51500+8300</f>
        <v>59800</v>
      </c>
      <c r="I20" s="68">
        <v>59800</v>
      </c>
      <c r="J20" s="68">
        <f t="shared" si="0"/>
        <v>100</v>
      </c>
    </row>
    <row r="21" spans="1:10" ht="25.5" customHeight="1">
      <c r="A21" s="661"/>
      <c r="B21" s="662"/>
      <c r="C21" s="671">
        <v>4120</v>
      </c>
      <c r="D21" s="672" t="s">
        <v>577</v>
      </c>
      <c r="E21" s="659"/>
      <c r="F21" s="659"/>
      <c r="G21" s="674"/>
      <c r="H21" s="670">
        <f>7289+753</f>
        <v>8042</v>
      </c>
      <c r="I21" s="68">
        <v>8042</v>
      </c>
      <c r="J21" s="68">
        <f t="shared" si="0"/>
        <v>100</v>
      </c>
    </row>
    <row r="22" spans="1:10" ht="25.5" customHeight="1">
      <c r="A22" s="661"/>
      <c r="B22" s="662"/>
      <c r="C22" s="671">
        <v>4210</v>
      </c>
      <c r="D22" s="672" t="s">
        <v>533</v>
      </c>
      <c r="E22" s="659"/>
      <c r="F22" s="659"/>
      <c r="G22" s="674"/>
      <c r="H22" s="670">
        <v>29000</v>
      </c>
      <c r="I22" s="68">
        <v>29000</v>
      </c>
      <c r="J22" s="68">
        <f t="shared" si="0"/>
        <v>100</v>
      </c>
    </row>
    <row r="23" spans="1:10" ht="25.5" customHeight="1">
      <c r="A23" s="661"/>
      <c r="B23" s="662"/>
      <c r="C23" s="671">
        <v>4220</v>
      </c>
      <c r="D23" s="672" t="s">
        <v>675</v>
      </c>
      <c r="E23" s="659"/>
      <c r="F23" s="659"/>
      <c r="G23" s="674"/>
      <c r="H23" s="670">
        <v>25000</v>
      </c>
      <c r="I23" s="68">
        <v>25000</v>
      </c>
      <c r="J23" s="68">
        <f t="shared" si="0"/>
        <v>100</v>
      </c>
    </row>
    <row r="24" spans="1:10" ht="25.5" customHeight="1">
      <c r="A24" s="661"/>
      <c r="B24" s="662"/>
      <c r="C24" s="671">
        <v>4260</v>
      </c>
      <c r="D24" s="672" t="s">
        <v>591</v>
      </c>
      <c r="E24" s="659"/>
      <c r="F24" s="659"/>
      <c r="G24" s="674"/>
      <c r="H24" s="670">
        <f>40000</f>
        <v>40000</v>
      </c>
      <c r="I24" s="68">
        <v>40000</v>
      </c>
      <c r="J24" s="68">
        <f t="shared" si="0"/>
        <v>100</v>
      </c>
    </row>
    <row r="25" spans="1:10" ht="25.5" customHeight="1">
      <c r="A25" s="661"/>
      <c r="B25" s="662"/>
      <c r="C25" s="671">
        <v>4440</v>
      </c>
      <c r="D25" s="672" t="s">
        <v>578</v>
      </c>
      <c r="E25" s="675"/>
      <c r="F25" s="675"/>
      <c r="G25" s="657"/>
      <c r="H25" s="670">
        <f>20450</f>
        <v>20450</v>
      </c>
      <c r="I25" s="68">
        <v>20450</v>
      </c>
      <c r="J25" s="68">
        <f t="shared" si="0"/>
        <v>100</v>
      </c>
    </row>
    <row r="26" spans="1:10" ht="32.25" customHeight="1">
      <c r="A26" s="25">
        <v>900</v>
      </c>
      <c r="B26" s="501"/>
      <c r="C26" s="495"/>
      <c r="D26" s="664" t="s">
        <v>502</v>
      </c>
      <c r="E26" s="676">
        <f>SUM(E27)</f>
        <v>100000</v>
      </c>
      <c r="F26" s="676">
        <f>SUM(F27)</f>
        <v>100000</v>
      </c>
      <c r="G26" s="676">
        <f>F26*100/E26</f>
        <v>100</v>
      </c>
      <c r="H26" s="665">
        <f>SUM(H27)</f>
        <v>100000</v>
      </c>
      <c r="I26" s="666">
        <f>SUM(I27)</f>
        <v>100000</v>
      </c>
      <c r="J26" s="45">
        <f>I26*100/H26</f>
        <v>100</v>
      </c>
    </row>
    <row r="27" spans="1:10" ht="21.75" customHeight="1">
      <c r="A27" s="669"/>
      <c r="B27" s="36">
        <v>90095</v>
      </c>
      <c r="C27" s="32"/>
      <c r="D27" s="246" t="s">
        <v>494</v>
      </c>
      <c r="E27" s="667">
        <f>SUM(E28:E30)</f>
        <v>100000</v>
      </c>
      <c r="F27" s="667">
        <f>SUM(F28:F30)</f>
        <v>100000</v>
      </c>
      <c r="G27" s="667">
        <f>F27*100/E27</f>
        <v>100</v>
      </c>
      <c r="H27" s="667">
        <f>SUM(H28:H30)</f>
        <v>100000</v>
      </c>
      <c r="I27" s="668">
        <f>SUM(I28:I30)</f>
        <v>100000</v>
      </c>
      <c r="J27" s="68">
        <f>I27*100/H27</f>
        <v>100</v>
      </c>
    </row>
    <row r="28" spans="1:10" ht="45.75" customHeight="1">
      <c r="A28" s="661"/>
      <c r="B28" s="42"/>
      <c r="C28" s="671">
        <v>2310</v>
      </c>
      <c r="D28" s="677" t="s">
        <v>97</v>
      </c>
      <c r="E28" s="667">
        <v>50000</v>
      </c>
      <c r="F28" s="667">
        <v>50000</v>
      </c>
      <c r="G28" s="667"/>
      <c r="H28" s="670"/>
      <c r="I28" s="68"/>
      <c r="J28" s="68"/>
    </row>
    <row r="29" spans="1:10" ht="54.75" customHeight="1">
      <c r="A29" s="661"/>
      <c r="B29" s="43"/>
      <c r="C29" s="671">
        <v>2320</v>
      </c>
      <c r="D29" s="500" t="s">
        <v>98</v>
      </c>
      <c r="E29" s="667">
        <v>50000</v>
      </c>
      <c r="F29" s="667">
        <v>50000</v>
      </c>
      <c r="G29" s="667"/>
      <c r="H29" s="670"/>
      <c r="I29" s="68"/>
      <c r="J29" s="68"/>
    </row>
    <row r="30" spans="2:10" ht="21.75" customHeight="1">
      <c r="B30" s="43"/>
      <c r="C30" s="106">
        <v>4300</v>
      </c>
      <c r="D30" s="622" t="s">
        <v>530</v>
      </c>
      <c r="E30" s="667"/>
      <c r="F30" s="667"/>
      <c r="G30" s="667"/>
      <c r="H30" s="670">
        <v>100000</v>
      </c>
      <c r="I30" s="68">
        <v>100000</v>
      </c>
      <c r="J30" s="68"/>
    </row>
    <row r="31" spans="1:10" ht="21.75" customHeight="1">
      <c r="A31" s="678" t="s">
        <v>99</v>
      </c>
      <c r="B31" s="679"/>
      <c r="C31" s="680"/>
      <c r="D31" s="681"/>
      <c r="E31" s="682">
        <f>E11+E15+E26</f>
        <v>1691994.3199999998</v>
      </c>
      <c r="F31" s="682">
        <f>F11+F15+F26</f>
        <v>1839583.32</v>
      </c>
      <c r="G31" s="682">
        <f>F31*100/E31</f>
        <v>108.72278341927296</v>
      </c>
      <c r="H31" s="682">
        <f>H11+H15+H26</f>
        <v>1691994.3199999998</v>
      </c>
      <c r="I31" s="683">
        <f>I11+I15+I26</f>
        <v>1691994.32</v>
      </c>
      <c r="J31" s="45">
        <f>I31*100/H31</f>
        <v>100.00000000000001</v>
      </c>
    </row>
    <row r="32" spans="1:10" s="487" customFormat="1" ht="23.25" customHeight="1">
      <c r="A32" s="684">
        <v>852</v>
      </c>
      <c r="B32" s="67"/>
      <c r="C32" s="685"/>
      <c r="D32" s="653" t="s">
        <v>279</v>
      </c>
      <c r="E32" s="686">
        <f>E33+E56</f>
        <v>342000</v>
      </c>
      <c r="F32" s="686">
        <f>F33+F56</f>
        <v>340362.26</v>
      </c>
      <c r="G32" s="682">
        <f>F32*100/E32</f>
        <v>99.52112865497077</v>
      </c>
      <c r="H32" s="686">
        <f>H33+H56</f>
        <v>342000</v>
      </c>
      <c r="I32" s="687">
        <f>I33+I56</f>
        <v>340362.26</v>
      </c>
      <c r="J32" s="45">
        <f aca="true" t="shared" si="1" ref="J32:J56">I32*100/H32</f>
        <v>99.52112865497077</v>
      </c>
    </row>
    <row r="33" spans="1:10" ht="24" customHeight="1">
      <c r="A33" s="688"/>
      <c r="B33" s="32">
        <v>85201</v>
      </c>
      <c r="C33" s="689"/>
      <c r="D33" s="690" t="s">
        <v>658</v>
      </c>
      <c r="E33" s="691">
        <f>SUM(E34:E55)</f>
        <v>192000</v>
      </c>
      <c r="F33" s="691">
        <f>SUM(F34:F55)</f>
        <v>191369.72</v>
      </c>
      <c r="G33" s="320">
        <f>F33*100/E33</f>
        <v>99.67172916666667</v>
      </c>
      <c r="H33" s="691">
        <f>SUM(H34:H55)</f>
        <v>192000</v>
      </c>
      <c r="I33" s="692">
        <f>SUM(I34:I55)</f>
        <v>191369.72</v>
      </c>
      <c r="J33" s="68">
        <f t="shared" si="1"/>
        <v>99.67172916666667</v>
      </c>
    </row>
    <row r="34" spans="1:10" ht="51.75" customHeight="1">
      <c r="A34" s="693"/>
      <c r="B34" s="12"/>
      <c r="C34" s="671">
        <v>2320</v>
      </c>
      <c r="D34" s="500" t="s">
        <v>98</v>
      </c>
      <c r="E34" s="691">
        <f>150000+42000</f>
        <v>192000</v>
      </c>
      <c r="F34" s="691">
        <v>191369.72</v>
      </c>
      <c r="G34" s="691"/>
      <c r="H34" s="686"/>
      <c r="I34" s="45"/>
      <c r="J34" s="68"/>
    </row>
    <row r="35" spans="1:10" ht="24" customHeight="1">
      <c r="A35" s="694"/>
      <c r="B35" s="12"/>
      <c r="C35" s="671">
        <v>3020</v>
      </c>
      <c r="D35" s="677" t="s">
        <v>721</v>
      </c>
      <c r="E35" s="691"/>
      <c r="F35" s="691"/>
      <c r="G35" s="691"/>
      <c r="H35" s="691">
        <f>60+40</f>
        <v>100</v>
      </c>
      <c r="I35" s="68">
        <v>100</v>
      </c>
      <c r="J35" s="68">
        <f t="shared" si="1"/>
        <v>100</v>
      </c>
    </row>
    <row r="36" spans="1:10" ht="21.75" customHeight="1">
      <c r="A36" s="693"/>
      <c r="B36" s="12"/>
      <c r="C36" s="671">
        <v>3110</v>
      </c>
      <c r="D36" s="677" t="s">
        <v>737</v>
      </c>
      <c r="E36" s="691"/>
      <c r="F36" s="691"/>
      <c r="G36" s="691"/>
      <c r="H36" s="691">
        <f>870+150</f>
        <v>1020</v>
      </c>
      <c r="I36" s="68">
        <v>1020</v>
      </c>
      <c r="J36" s="68">
        <f t="shared" si="1"/>
        <v>100</v>
      </c>
    </row>
    <row r="37" spans="1:10" ht="26.25" customHeight="1">
      <c r="A37" s="693"/>
      <c r="B37" s="12"/>
      <c r="C37" s="671">
        <v>4010</v>
      </c>
      <c r="D37" s="677" t="s">
        <v>572</v>
      </c>
      <c r="E37" s="691"/>
      <c r="F37" s="691"/>
      <c r="G37" s="691"/>
      <c r="H37" s="691">
        <f>92990+25910</f>
        <v>118900</v>
      </c>
      <c r="I37" s="68">
        <v>118500</v>
      </c>
      <c r="J37" s="68">
        <f t="shared" si="1"/>
        <v>99.66358284272498</v>
      </c>
    </row>
    <row r="38" spans="1:10" ht="25.5" customHeight="1">
      <c r="A38" s="693"/>
      <c r="B38" s="12"/>
      <c r="C38" s="671">
        <v>4040</v>
      </c>
      <c r="D38" s="677" t="s">
        <v>575</v>
      </c>
      <c r="E38" s="691"/>
      <c r="F38" s="691"/>
      <c r="G38" s="691"/>
      <c r="H38" s="691">
        <f>7750+950</f>
        <v>8700</v>
      </c>
      <c r="I38" s="68">
        <v>8670</v>
      </c>
      <c r="J38" s="68">
        <f t="shared" si="1"/>
        <v>99.65517241379311</v>
      </c>
    </row>
    <row r="39" spans="1:10" ht="25.5" customHeight="1">
      <c r="A39" s="693"/>
      <c r="B39" s="12"/>
      <c r="C39" s="671">
        <v>4110</v>
      </c>
      <c r="D39" s="677" t="s">
        <v>576</v>
      </c>
      <c r="E39" s="691"/>
      <c r="F39" s="691"/>
      <c r="G39" s="691"/>
      <c r="H39" s="691">
        <f>14220+6380</f>
        <v>20600</v>
      </c>
      <c r="I39" s="68">
        <v>20500</v>
      </c>
      <c r="J39" s="68">
        <f t="shared" si="1"/>
        <v>99.51456310679612</v>
      </c>
    </row>
    <row r="40" spans="1:10" ht="19.5" customHeight="1">
      <c r="A40" s="693"/>
      <c r="B40" s="12"/>
      <c r="C40" s="671">
        <v>4120</v>
      </c>
      <c r="D40" s="677" t="s">
        <v>577</v>
      </c>
      <c r="E40" s="691"/>
      <c r="F40" s="691"/>
      <c r="G40" s="691"/>
      <c r="H40" s="691">
        <f>2310+190</f>
        <v>2500</v>
      </c>
      <c r="I40" s="68">
        <v>2500</v>
      </c>
      <c r="J40" s="68">
        <f t="shared" si="1"/>
        <v>100</v>
      </c>
    </row>
    <row r="41" spans="1:10" ht="21" customHeight="1">
      <c r="A41" s="693"/>
      <c r="B41" s="12"/>
      <c r="C41" s="671">
        <v>4170</v>
      </c>
      <c r="D41" s="677" t="s">
        <v>583</v>
      </c>
      <c r="E41" s="691"/>
      <c r="F41" s="691"/>
      <c r="G41" s="691"/>
      <c r="H41" s="691">
        <f>480-130</f>
        <v>350</v>
      </c>
      <c r="I41" s="68">
        <v>350</v>
      </c>
      <c r="J41" s="68">
        <f t="shared" si="1"/>
        <v>100</v>
      </c>
    </row>
    <row r="42" spans="1:10" ht="23.25" customHeight="1">
      <c r="A42" s="693"/>
      <c r="B42" s="12"/>
      <c r="C42" s="671">
        <v>4210</v>
      </c>
      <c r="D42" s="677" t="s">
        <v>533</v>
      </c>
      <c r="E42" s="691"/>
      <c r="F42" s="691"/>
      <c r="G42" s="691"/>
      <c r="H42" s="691">
        <f>5200+200</f>
        <v>5400</v>
      </c>
      <c r="I42" s="68">
        <v>5369.72</v>
      </c>
      <c r="J42" s="68">
        <f t="shared" si="1"/>
        <v>99.43925925925926</v>
      </c>
    </row>
    <row r="43" spans="1:10" ht="23.25" customHeight="1">
      <c r="A43" s="693"/>
      <c r="B43" s="12"/>
      <c r="C43" s="671">
        <v>4220</v>
      </c>
      <c r="D43" s="677" t="s">
        <v>675</v>
      </c>
      <c r="E43" s="691"/>
      <c r="F43" s="691"/>
      <c r="G43" s="691"/>
      <c r="H43" s="691">
        <f>480+270</f>
        <v>750</v>
      </c>
      <c r="I43" s="68">
        <v>750</v>
      </c>
      <c r="J43" s="68">
        <f t="shared" si="1"/>
        <v>100</v>
      </c>
    </row>
    <row r="44" spans="1:10" ht="24.75" customHeight="1">
      <c r="A44" s="693"/>
      <c r="B44" s="12"/>
      <c r="C44" s="671">
        <v>4240</v>
      </c>
      <c r="D44" s="677" t="s">
        <v>759</v>
      </c>
      <c r="E44" s="691"/>
      <c r="F44" s="691"/>
      <c r="G44" s="691"/>
      <c r="H44" s="691">
        <f>360+440</f>
        <v>800</v>
      </c>
      <c r="I44" s="68">
        <v>800</v>
      </c>
      <c r="J44" s="68">
        <f t="shared" si="1"/>
        <v>100</v>
      </c>
    </row>
    <row r="45" spans="1:10" ht="15" customHeight="1">
      <c r="A45" s="693"/>
      <c r="B45" s="12"/>
      <c r="C45" s="671">
        <v>4260</v>
      </c>
      <c r="D45" s="677" t="s">
        <v>591</v>
      </c>
      <c r="E45" s="691"/>
      <c r="F45" s="691"/>
      <c r="G45" s="691"/>
      <c r="H45" s="691">
        <f>4390+630</f>
        <v>5020</v>
      </c>
      <c r="I45" s="68">
        <v>5000</v>
      </c>
      <c r="J45" s="68">
        <f t="shared" si="1"/>
        <v>99.60159362549801</v>
      </c>
    </row>
    <row r="46" spans="1:10" ht="15" customHeight="1">
      <c r="A46" s="693"/>
      <c r="B46" s="12"/>
      <c r="C46" s="671">
        <v>4270</v>
      </c>
      <c r="D46" s="677" t="s">
        <v>534</v>
      </c>
      <c r="E46" s="691"/>
      <c r="F46" s="691"/>
      <c r="G46" s="691"/>
      <c r="H46" s="691">
        <f>3180+920</f>
        <v>4100</v>
      </c>
      <c r="I46" s="68">
        <v>4100</v>
      </c>
      <c r="J46" s="68">
        <f t="shared" si="1"/>
        <v>100</v>
      </c>
    </row>
    <row r="47" spans="1:10" ht="15" customHeight="1">
      <c r="A47" s="693"/>
      <c r="B47" s="12"/>
      <c r="C47" s="671">
        <v>4280</v>
      </c>
      <c r="D47" s="677" t="s">
        <v>723</v>
      </c>
      <c r="E47" s="691"/>
      <c r="F47" s="691"/>
      <c r="G47" s="691"/>
      <c r="H47" s="691">
        <f>60+20</f>
        <v>80</v>
      </c>
      <c r="I47" s="68">
        <v>80</v>
      </c>
      <c r="J47" s="68">
        <f t="shared" si="1"/>
        <v>100</v>
      </c>
    </row>
    <row r="48" spans="1:10" ht="16.5" customHeight="1">
      <c r="A48" s="693"/>
      <c r="B48" s="12"/>
      <c r="C48" s="671">
        <v>4300</v>
      </c>
      <c r="D48" s="677" t="s">
        <v>530</v>
      </c>
      <c r="E48" s="691"/>
      <c r="F48" s="691"/>
      <c r="G48" s="691"/>
      <c r="H48" s="691">
        <f>10560+3540</f>
        <v>14100</v>
      </c>
      <c r="I48" s="68">
        <v>14050</v>
      </c>
      <c r="J48" s="68">
        <f t="shared" si="1"/>
        <v>99.64539007092199</v>
      </c>
    </row>
    <row r="49" spans="1:10" ht="21" customHeight="1">
      <c r="A49" s="693"/>
      <c r="B49" s="12"/>
      <c r="C49" s="671">
        <v>4350</v>
      </c>
      <c r="D49" s="677" t="s">
        <v>586</v>
      </c>
      <c r="E49" s="691"/>
      <c r="F49" s="691"/>
      <c r="G49" s="691"/>
      <c r="H49" s="691">
        <f>120+30</f>
        <v>150</v>
      </c>
      <c r="I49" s="68">
        <v>150</v>
      </c>
      <c r="J49" s="68">
        <f t="shared" si="1"/>
        <v>100</v>
      </c>
    </row>
    <row r="50" spans="1:10" ht="51" customHeight="1">
      <c r="A50" s="693"/>
      <c r="B50" s="12"/>
      <c r="C50" s="671">
        <v>4370</v>
      </c>
      <c r="D50" s="677" t="s">
        <v>767</v>
      </c>
      <c r="E50" s="691"/>
      <c r="F50" s="691"/>
      <c r="G50" s="691"/>
      <c r="H50" s="691">
        <f>810+230</f>
        <v>1040</v>
      </c>
      <c r="I50" s="68">
        <v>1040</v>
      </c>
      <c r="J50" s="68">
        <f t="shared" si="1"/>
        <v>100</v>
      </c>
    </row>
    <row r="51" spans="1:10" ht="19.5" customHeight="1">
      <c r="A51" s="693"/>
      <c r="B51" s="12"/>
      <c r="C51" s="671">
        <v>4410</v>
      </c>
      <c r="D51" s="677" t="s">
        <v>580</v>
      </c>
      <c r="E51" s="691"/>
      <c r="F51" s="691"/>
      <c r="G51" s="691"/>
      <c r="H51" s="691">
        <f>1620+450</f>
        <v>2070</v>
      </c>
      <c r="I51" s="68">
        <v>2070</v>
      </c>
      <c r="J51" s="68">
        <f t="shared" si="1"/>
        <v>100</v>
      </c>
    </row>
    <row r="52" spans="1:10" ht="20.25" customHeight="1">
      <c r="A52" s="695"/>
      <c r="B52" s="12"/>
      <c r="C52" s="671">
        <v>4430</v>
      </c>
      <c r="D52" s="677" t="s">
        <v>288</v>
      </c>
      <c r="E52" s="691"/>
      <c r="F52" s="691"/>
      <c r="G52" s="691"/>
      <c r="H52" s="691">
        <f>210+140</f>
        <v>350</v>
      </c>
      <c r="I52" s="68">
        <v>350</v>
      </c>
      <c r="J52" s="68">
        <f t="shared" si="1"/>
        <v>100</v>
      </c>
    </row>
    <row r="53" spans="1:10" ht="21" customHeight="1">
      <c r="A53" s="695"/>
      <c r="B53" s="12"/>
      <c r="C53" s="671">
        <v>4440</v>
      </c>
      <c r="D53" s="677" t="s">
        <v>578</v>
      </c>
      <c r="E53" s="691"/>
      <c r="F53" s="691"/>
      <c r="G53" s="691"/>
      <c r="H53" s="691">
        <f>3820+1080</f>
        <v>4900</v>
      </c>
      <c r="I53" s="68">
        <v>4900</v>
      </c>
      <c r="J53" s="68">
        <f t="shared" si="1"/>
        <v>100</v>
      </c>
    </row>
    <row r="54" spans="1:10" ht="23.25" customHeight="1">
      <c r="A54" s="695"/>
      <c r="B54" s="12"/>
      <c r="C54" s="671">
        <v>4480</v>
      </c>
      <c r="D54" s="677" t="s">
        <v>306</v>
      </c>
      <c r="E54" s="691"/>
      <c r="F54" s="691"/>
      <c r="G54" s="691"/>
      <c r="H54" s="691">
        <v>420</v>
      </c>
      <c r="I54" s="68">
        <v>420</v>
      </c>
      <c r="J54" s="68">
        <f t="shared" si="1"/>
        <v>100</v>
      </c>
    </row>
    <row r="55" spans="1:10" ht="24" customHeight="1">
      <c r="A55" s="695"/>
      <c r="B55" s="12"/>
      <c r="C55" s="671">
        <v>4700</v>
      </c>
      <c r="D55" s="677" t="s">
        <v>93</v>
      </c>
      <c r="E55" s="691"/>
      <c r="F55" s="691"/>
      <c r="G55" s="691"/>
      <c r="H55" s="691">
        <f>510+140</f>
        <v>650</v>
      </c>
      <c r="I55" s="68">
        <v>650</v>
      </c>
      <c r="J55" s="68">
        <f t="shared" si="1"/>
        <v>100</v>
      </c>
    </row>
    <row r="56" spans="1:10" ht="20.25" customHeight="1">
      <c r="A56" s="695"/>
      <c r="B56" s="32">
        <v>85204</v>
      </c>
      <c r="C56" s="99"/>
      <c r="D56" s="696" t="s">
        <v>315</v>
      </c>
      <c r="E56" s="691">
        <f>SUM(E57:E58)</f>
        <v>150000</v>
      </c>
      <c r="F56" s="691">
        <f>SUM(F57:F58)</f>
        <v>148992.54</v>
      </c>
      <c r="G56" s="691">
        <f>F56*100/E56</f>
        <v>99.32836</v>
      </c>
      <c r="H56" s="691">
        <f>SUM(H57:H58)</f>
        <v>150000</v>
      </c>
      <c r="I56" s="692">
        <f>SUM(I57:I58)</f>
        <v>148992.54</v>
      </c>
      <c r="J56" s="68">
        <f t="shared" si="1"/>
        <v>99.32836</v>
      </c>
    </row>
    <row r="57" spans="1:10" ht="45" customHeight="1">
      <c r="A57" s="695"/>
      <c r="B57" s="12"/>
      <c r="C57" s="671">
        <v>2320</v>
      </c>
      <c r="D57" s="500" t="s">
        <v>98</v>
      </c>
      <c r="E57" s="691">
        <f>130000+20000</f>
        <v>150000</v>
      </c>
      <c r="F57" s="691">
        <v>148992.54</v>
      </c>
      <c r="G57" s="691"/>
      <c r="H57" s="691"/>
      <c r="I57" s="68"/>
      <c r="J57" s="68"/>
    </row>
    <row r="58" spans="1:10" ht="21.75" customHeight="1">
      <c r="A58" s="201"/>
      <c r="B58" s="5"/>
      <c r="C58" s="671">
        <v>3110</v>
      </c>
      <c r="D58" s="677" t="s">
        <v>737</v>
      </c>
      <c r="E58" s="691"/>
      <c r="F58" s="691"/>
      <c r="G58" s="691"/>
      <c r="H58" s="691">
        <f>130000+20000</f>
        <v>150000</v>
      </c>
      <c r="I58" s="68">
        <v>148992.54</v>
      </c>
      <c r="J58" s="68"/>
    </row>
    <row r="59" spans="1:10" s="487" customFormat="1" ht="35.25" customHeight="1">
      <c r="A59" s="697">
        <v>853</v>
      </c>
      <c r="B59" s="9"/>
      <c r="C59" s="698"/>
      <c r="D59" s="699" t="s">
        <v>100</v>
      </c>
      <c r="E59" s="686">
        <f>E60</f>
        <v>20000</v>
      </c>
      <c r="F59" s="686">
        <f>F60</f>
        <v>18277.56</v>
      </c>
      <c r="G59" s="686">
        <f>F59*100/E59</f>
        <v>91.38780000000001</v>
      </c>
      <c r="H59" s="686">
        <f>H60</f>
        <v>20000</v>
      </c>
      <c r="I59" s="687">
        <f>I60</f>
        <v>18277.56</v>
      </c>
      <c r="J59" s="45">
        <f>I59*100/H59</f>
        <v>91.38780000000001</v>
      </c>
    </row>
    <row r="60" spans="1:10" ht="39" customHeight="1">
      <c r="A60" s="695"/>
      <c r="B60" s="48">
        <v>85311</v>
      </c>
      <c r="C60" s="99"/>
      <c r="D60" s="696" t="s">
        <v>302</v>
      </c>
      <c r="E60" s="691">
        <f>SUM(E61:E62)</f>
        <v>20000</v>
      </c>
      <c r="F60" s="691">
        <f>SUM(F61:F62)</f>
        <v>18277.56</v>
      </c>
      <c r="G60" s="691">
        <f>F60*100/E60</f>
        <v>91.38780000000001</v>
      </c>
      <c r="H60" s="691">
        <f>SUM(H61:H62)</f>
        <v>20000</v>
      </c>
      <c r="I60" s="692">
        <f>SUM(I61:I62)</f>
        <v>18277.56</v>
      </c>
      <c r="J60" s="68">
        <f>I60*100/H60</f>
        <v>91.38780000000001</v>
      </c>
    </row>
    <row r="61" spans="1:10" ht="50.25" customHeight="1">
      <c r="A61" s="695"/>
      <c r="B61" s="20"/>
      <c r="C61" s="671">
        <v>2320</v>
      </c>
      <c r="D61" s="500" t="s">
        <v>98</v>
      </c>
      <c r="E61" s="691">
        <v>20000</v>
      </c>
      <c r="F61" s="691">
        <v>18277.56</v>
      </c>
      <c r="G61" s="691"/>
      <c r="H61" s="691"/>
      <c r="I61" s="68"/>
      <c r="J61" s="68"/>
    </row>
    <row r="62" spans="1:10" ht="44.25" customHeight="1">
      <c r="A62" s="201"/>
      <c r="B62" s="5"/>
      <c r="C62" s="671">
        <v>2580</v>
      </c>
      <c r="D62" s="677" t="s">
        <v>303</v>
      </c>
      <c r="E62" s="691"/>
      <c r="F62" s="691"/>
      <c r="G62" s="691"/>
      <c r="H62" s="691">
        <v>20000</v>
      </c>
      <c r="I62" s="68">
        <v>18277.56</v>
      </c>
      <c r="J62" s="68"/>
    </row>
    <row r="63" spans="1:10" ht="25.5" customHeight="1">
      <c r="A63" s="9">
        <v>921</v>
      </c>
      <c r="B63" s="16"/>
      <c r="C63" s="700"/>
      <c r="D63" s="664" t="s">
        <v>101</v>
      </c>
      <c r="E63" s="498">
        <f>SUM(E64)</f>
        <v>80000</v>
      </c>
      <c r="F63" s="498">
        <f>SUM(F64)</f>
        <v>80000</v>
      </c>
      <c r="G63" s="498">
        <f>F63*100/E63</f>
        <v>100</v>
      </c>
      <c r="H63" s="498">
        <f>SUM(H64)</f>
        <v>80000</v>
      </c>
      <c r="I63" s="654">
        <f>SUM(I64)</f>
        <v>80000</v>
      </c>
      <c r="J63" s="45">
        <f>I63*100/H63</f>
        <v>100</v>
      </c>
    </row>
    <row r="64" spans="1:10" ht="19.5" customHeight="1">
      <c r="A64" s="43"/>
      <c r="B64" s="31">
        <v>92116</v>
      </c>
      <c r="C64" s="61"/>
      <c r="D64" s="690" t="s">
        <v>524</v>
      </c>
      <c r="E64" s="502">
        <f>SUM(E65:E66)</f>
        <v>80000</v>
      </c>
      <c r="F64" s="502">
        <f>SUM(F65:F66)</f>
        <v>80000</v>
      </c>
      <c r="G64" s="657">
        <f>F64*100/E64</f>
        <v>100</v>
      </c>
      <c r="H64" s="502">
        <f>SUM(H65:H66)</f>
        <v>80000</v>
      </c>
      <c r="I64" s="68">
        <f>SUM(I65:I66)</f>
        <v>80000</v>
      </c>
      <c r="J64" s="68">
        <f>I64*100/H64</f>
        <v>100</v>
      </c>
    </row>
    <row r="65" spans="1:10" ht="53.25" customHeight="1">
      <c r="A65" s="43"/>
      <c r="B65" s="38"/>
      <c r="C65" s="100">
        <v>2320</v>
      </c>
      <c r="D65" s="500" t="s">
        <v>98</v>
      </c>
      <c r="E65" s="701">
        <v>80000</v>
      </c>
      <c r="F65" s="701">
        <v>80000</v>
      </c>
      <c r="G65" s="701"/>
      <c r="H65" s="660"/>
      <c r="I65" s="68"/>
      <c r="J65" s="68"/>
    </row>
    <row r="66" spans="1:10" ht="33" customHeight="1">
      <c r="A66" s="101"/>
      <c r="B66" s="102"/>
      <c r="C66" s="495">
        <v>2480</v>
      </c>
      <c r="D66" s="499" t="s">
        <v>328</v>
      </c>
      <c r="E66" s="502"/>
      <c r="F66" s="502"/>
      <c r="G66" s="502"/>
      <c r="H66" s="68">
        <v>80000</v>
      </c>
      <c r="I66" s="68">
        <v>80000</v>
      </c>
      <c r="J66" s="68"/>
    </row>
    <row r="67" spans="1:10" ht="23.25" customHeight="1">
      <c r="A67" s="678" t="s">
        <v>794</v>
      </c>
      <c r="B67" s="679"/>
      <c r="C67" s="679"/>
      <c r="D67" s="681"/>
      <c r="E67" s="702">
        <f>E32+E59+E63</f>
        <v>442000</v>
      </c>
      <c r="F67" s="503">
        <f>F32+F59+F63</f>
        <v>438639.82</v>
      </c>
      <c r="G67" s="503">
        <f>F67*100/E67</f>
        <v>99.23977828054299</v>
      </c>
      <c r="H67" s="702">
        <f>H32+H59+H63</f>
        <v>442000</v>
      </c>
      <c r="I67" s="702">
        <f>I32+I59+I63</f>
        <v>438639.82</v>
      </c>
      <c r="J67" s="45">
        <f>I67*100/H67</f>
        <v>99.23977828054299</v>
      </c>
    </row>
    <row r="68" spans="1:10" s="475" customFormat="1" ht="20.25" customHeight="1">
      <c r="A68" s="703" t="s">
        <v>787</v>
      </c>
      <c r="B68" s="679"/>
      <c r="C68" s="679"/>
      <c r="D68" s="704"/>
      <c r="E68" s="705">
        <f>SUM(E31,E67)</f>
        <v>2133994.32</v>
      </c>
      <c r="F68" s="503">
        <f>SUM(F31,F67)</f>
        <v>2278223.14</v>
      </c>
      <c r="G68" s="503">
        <f>F68*100/E68</f>
        <v>106.75863185990112</v>
      </c>
      <c r="H68" s="503">
        <f>SUM(H31,H67)</f>
        <v>2133994.32</v>
      </c>
      <c r="I68" s="503">
        <f>SUM(I31,I67)</f>
        <v>2130634.14</v>
      </c>
      <c r="J68" s="45">
        <f>I68*100/H68</f>
        <v>99.8425403494045</v>
      </c>
    </row>
    <row r="69" spans="4:8" ht="15">
      <c r="D69" s="706"/>
      <c r="E69" s="475"/>
      <c r="F69" s="475"/>
      <c r="G69" s="475"/>
      <c r="H69" s="475"/>
    </row>
    <row r="70" spans="4:8" ht="15">
      <c r="D70" s="706"/>
      <c r="E70" s="475"/>
      <c r="F70" s="475"/>
      <c r="G70" s="475"/>
      <c r="H70" s="475"/>
    </row>
    <row r="71" spans="4:7" ht="12.75">
      <c r="D71" s="706"/>
      <c r="E71" s="63"/>
      <c r="F71" s="63"/>
      <c r="G71" s="63"/>
    </row>
    <row r="72" spans="4:7" ht="12.75">
      <c r="D72" s="706"/>
      <c r="E72" s="63"/>
      <c r="F72" s="63"/>
      <c r="G72" s="63"/>
    </row>
    <row r="73" ht="12.75">
      <c r="D73" s="706"/>
    </row>
    <row r="74" ht="12.75">
      <c r="D74" s="706"/>
    </row>
    <row r="75" ht="12.75">
      <c r="D75" s="706"/>
    </row>
    <row r="76" ht="12" customHeight="1">
      <c r="D76" s="706"/>
    </row>
    <row r="77" ht="12.75">
      <c r="D77" s="706"/>
    </row>
    <row r="78" ht="12.75">
      <c r="D78" s="706"/>
    </row>
    <row r="79" ht="12.75">
      <c r="D79" s="706"/>
    </row>
    <row r="80" ht="12.75">
      <c r="D80" s="706"/>
    </row>
    <row r="81" ht="12.75">
      <c r="D81" s="706"/>
    </row>
    <row r="82" ht="12.75">
      <c r="D82" s="706"/>
    </row>
    <row r="83" ht="12.75">
      <c r="D83" s="706"/>
    </row>
    <row r="84" ht="12.75">
      <c r="D84" s="706"/>
    </row>
    <row r="85" ht="12.75">
      <c r="D85" s="706"/>
    </row>
    <row r="86" ht="12.75">
      <c r="D86" s="706"/>
    </row>
    <row r="87" ht="12.75">
      <c r="D87" s="706"/>
    </row>
    <row r="88" ht="12.75">
      <c r="D88" s="706"/>
    </row>
    <row r="89" ht="12.75">
      <c r="D89" s="706"/>
    </row>
    <row r="90" ht="12.75">
      <c r="D90" s="706"/>
    </row>
    <row r="91" ht="12.75">
      <c r="D91" s="706"/>
    </row>
    <row r="92" ht="12.75">
      <c r="D92" s="706"/>
    </row>
    <row r="93" ht="12.75">
      <c r="D93" s="706"/>
    </row>
    <row r="94" ht="12.75">
      <c r="D94" s="706"/>
    </row>
    <row r="95" ht="12.75">
      <c r="D95" s="706"/>
    </row>
    <row r="96" ht="12.75">
      <c r="D96" s="706"/>
    </row>
    <row r="97" ht="12.75">
      <c r="D97" s="706"/>
    </row>
    <row r="98" ht="12.75">
      <c r="D98" s="706"/>
    </row>
    <row r="99" ht="12.75">
      <c r="D99" s="706"/>
    </row>
    <row r="100" ht="12.75">
      <c r="D100" s="706"/>
    </row>
    <row r="101" ht="12.75">
      <c r="D101" s="706"/>
    </row>
    <row r="102" ht="12.75">
      <c r="D102" s="706"/>
    </row>
    <row r="103" ht="12.75">
      <c r="D103" s="706"/>
    </row>
    <row r="104" ht="12.75">
      <c r="D104" s="706"/>
    </row>
    <row r="105" ht="12.75">
      <c r="D105" s="706"/>
    </row>
    <row r="106" ht="12.75">
      <c r="D106" s="706"/>
    </row>
    <row r="107" ht="12.75">
      <c r="D107" s="706"/>
    </row>
    <row r="108" ht="12.75">
      <c r="D108" s="706"/>
    </row>
    <row r="109" ht="12.75">
      <c r="D109" s="706"/>
    </row>
    <row r="110" ht="12.75">
      <c r="D110" s="706"/>
    </row>
    <row r="111" ht="12.75">
      <c r="D111" s="706"/>
    </row>
    <row r="112" ht="12.75">
      <c r="D112" s="706"/>
    </row>
    <row r="113" ht="12.75">
      <c r="D113" s="706"/>
    </row>
    <row r="114" ht="12.75">
      <c r="D114" s="706"/>
    </row>
    <row r="115" ht="12.75">
      <c r="D115" s="706"/>
    </row>
    <row r="116" ht="12.75">
      <c r="D116" s="706"/>
    </row>
    <row r="117" ht="12.75">
      <c r="D117" s="706"/>
    </row>
  </sheetData>
  <mergeCells count="1">
    <mergeCell ref="A7:D7"/>
  </mergeCells>
  <printOptions/>
  <pageMargins left="0.1968503937007874" right="0" top="0.787401574803149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2"/>
  <sheetViews>
    <sheetView zoomScale="130" zoomScaleNormal="130" workbookViewId="0" topLeftCell="A1">
      <selection activeCell="C3" sqref="C3"/>
    </sheetView>
  </sheetViews>
  <sheetFormatPr defaultColWidth="9.140625" defaultRowHeight="12.75"/>
  <cols>
    <col min="1" max="1" width="5.28125" style="205" customWidth="1"/>
    <col min="2" max="2" width="6.00390625" style="205" customWidth="1"/>
    <col min="3" max="3" width="5.421875" style="205" customWidth="1"/>
    <col min="4" max="4" width="36.421875" style="205" customWidth="1"/>
    <col min="5" max="5" width="16.7109375" style="209" customWidth="1"/>
    <col min="6" max="6" width="16.8515625" style="209" customWidth="1"/>
    <col min="7" max="7" width="6.28125" style="209" customWidth="1"/>
    <col min="8" max="8" width="11.57421875" style="209" customWidth="1"/>
    <col min="9" max="9" width="10.00390625" style="209" bestFit="1" customWidth="1"/>
    <col min="10" max="10" width="10.00390625" style="203" bestFit="1" customWidth="1"/>
    <col min="11" max="16384" width="9.140625" style="205" customWidth="1"/>
  </cols>
  <sheetData>
    <row r="1" spans="1:8" ht="12.75">
      <c r="A1" s="203"/>
      <c r="B1" s="203"/>
      <c r="C1" s="203"/>
      <c r="D1" s="203"/>
      <c r="E1" s="204"/>
      <c r="F1" s="204"/>
      <c r="G1" s="204"/>
      <c r="H1" s="204"/>
    </row>
    <row r="2" spans="1:10" s="208" customFormat="1" ht="20.25">
      <c r="A2" s="206"/>
      <c r="B2" s="206"/>
      <c r="C2" s="206"/>
      <c r="D2" s="206"/>
      <c r="E2" s="207"/>
      <c r="F2" s="368" t="s">
        <v>698</v>
      </c>
      <c r="G2" s="195"/>
      <c r="H2" s="207"/>
      <c r="I2" s="207"/>
      <c r="J2" s="206"/>
    </row>
    <row r="3" spans="1:10" s="208" customFormat="1" ht="18.75">
      <c r="A3" s="206"/>
      <c r="B3" s="206"/>
      <c r="C3" s="206"/>
      <c r="D3" s="206"/>
      <c r="E3" s="195"/>
      <c r="F3" s="195"/>
      <c r="G3" s="195"/>
      <c r="H3" s="207"/>
      <c r="I3" s="207"/>
      <c r="J3" s="206"/>
    </row>
    <row r="4" spans="1:8" ht="12.75">
      <c r="A4" s="203"/>
      <c r="B4" s="203"/>
      <c r="C4" s="203"/>
      <c r="D4" s="203"/>
      <c r="H4" s="204"/>
    </row>
    <row r="5" spans="1:10" s="208" customFormat="1" ht="19.5" customHeight="1">
      <c r="A5" s="162" t="s">
        <v>781</v>
      </c>
      <c r="B5" s="193"/>
      <c r="C5" s="193"/>
      <c r="D5" s="193"/>
      <c r="E5" s="197"/>
      <c r="F5" s="197"/>
      <c r="G5" s="197"/>
      <c r="H5" s="210"/>
      <c r="I5" s="207"/>
      <c r="J5" s="206"/>
    </row>
    <row r="6" spans="1:10" s="208" customFormat="1" ht="19.5" customHeight="1">
      <c r="A6" s="162" t="s">
        <v>782</v>
      </c>
      <c r="B6" s="162"/>
      <c r="C6" s="162"/>
      <c r="D6" s="162"/>
      <c r="E6" s="162"/>
      <c r="F6" s="162"/>
      <c r="G6" s="162"/>
      <c r="H6" s="210"/>
      <c r="I6" s="207"/>
      <c r="J6" s="206"/>
    </row>
    <row r="7" spans="1:10" s="208" customFormat="1" ht="16.5" customHeight="1">
      <c r="A7" s="162" t="s">
        <v>783</v>
      </c>
      <c r="B7" s="193"/>
      <c r="C7" s="193"/>
      <c r="D7" s="193"/>
      <c r="E7" s="197"/>
      <c r="F7" s="197"/>
      <c r="G7" s="197"/>
      <c r="H7" s="210"/>
      <c r="I7" s="207"/>
      <c r="J7" s="206"/>
    </row>
    <row r="8" spans="1:10" s="208" customFormat="1" ht="18" customHeight="1">
      <c r="A8" s="367" t="s">
        <v>784</v>
      </c>
      <c r="B8" s="211"/>
      <c r="C8" s="198"/>
      <c r="D8" s="202"/>
      <c r="E8" s="197"/>
      <c r="F8" s="197"/>
      <c r="G8" s="197"/>
      <c r="H8" s="210"/>
      <c r="I8" s="207"/>
      <c r="J8" s="206"/>
    </row>
    <row r="9" spans="1:10" s="208" customFormat="1" ht="12.75">
      <c r="A9" s="212"/>
      <c r="B9" s="213"/>
      <c r="C9" s="214"/>
      <c r="D9" s="215"/>
      <c r="E9" s="210"/>
      <c r="F9" s="210"/>
      <c r="G9" s="210"/>
      <c r="H9" s="210"/>
      <c r="I9" s="207"/>
      <c r="J9" s="206"/>
    </row>
    <row r="10" spans="1:10" s="208" customFormat="1" ht="12.75">
      <c r="A10" s="214" t="s">
        <v>83</v>
      </c>
      <c r="B10" s="213"/>
      <c r="C10" s="214"/>
      <c r="D10" s="215"/>
      <c r="E10" s="216"/>
      <c r="F10" s="216"/>
      <c r="G10" s="369"/>
      <c r="H10" s="210"/>
      <c r="I10" s="207"/>
      <c r="J10" s="206"/>
    </row>
    <row r="11" spans="1:10" s="208" customFormat="1" ht="12.75">
      <c r="A11" s="214"/>
      <c r="B11" s="213"/>
      <c r="C11" s="214"/>
      <c r="D11" s="215"/>
      <c r="E11" s="216"/>
      <c r="F11" s="369" t="s">
        <v>699</v>
      </c>
      <c r="G11" s="369"/>
      <c r="H11" s="210"/>
      <c r="I11" s="207"/>
      <c r="J11" s="206"/>
    </row>
    <row r="12" spans="1:10" s="208" customFormat="1" ht="39.75" customHeight="1">
      <c r="A12" s="370" t="s">
        <v>85</v>
      </c>
      <c r="B12" s="370" t="s">
        <v>86</v>
      </c>
      <c r="C12" s="370" t="s">
        <v>294</v>
      </c>
      <c r="D12" s="371" t="s">
        <v>684</v>
      </c>
      <c r="E12" s="372" t="s">
        <v>543</v>
      </c>
      <c r="F12" s="373" t="s">
        <v>96</v>
      </c>
      <c r="G12" s="373" t="s">
        <v>80</v>
      </c>
      <c r="H12" s="374"/>
      <c r="I12" s="207"/>
      <c r="J12" s="206"/>
    </row>
    <row r="13" spans="1:10" s="208" customFormat="1" ht="18.75" customHeight="1">
      <c r="A13" s="1211" t="s">
        <v>547</v>
      </c>
      <c r="B13" s="1212"/>
      <c r="C13" s="1212"/>
      <c r="D13" s="1213"/>
      <c r="E13" s="375">
        <f>E17</f>
        <v>188700</v>
      </c>
      <c r="F13" s="375">
        <f>F14+F17</f>
        <v>615285.9</v>
      </c>
      <c r="G13" s="1198">
        <f>F13/E13*100</f>
        <v>326.06565977742446</v>
      </c>
      <c r="H13" s="376"/>
      <c r="I13" s="207"/>
      <c r="J13" s="206"/>
    </row>
    <row r="14" spans="1:10" s="208" customFormat="1" ht="18.75" customHeight="1">
      <c r="A14" s="377">
        <v>750</v>
      </c>
      <c r="B14" s="377"/>
      <c r="C14" s="377"/>
      <c r="D14" s="377" t="s">
        <v>495</v>
      </c>
      <c r="E14" s="375">
        <f>E15</f>
        <v>0</v>
      </c>
      <c r="F14" s="1199">
        <f>F15</f>
        <v>2542</v>
      </c>
      <c r="G14" s="1198"/>
      <c r="H14" s="376"/>
      <c r="I14" s="207"/>
      <c r="J14" s="206"/>
    </row>
    <row r="15" spans="1:10" s="208" customFormat="1" ht="18.75" customHeight="1">
      <c r="A15" s="379"/>
      <c r="B15" s="380">
        <v>75011</v>
      </c>
      <c r="C15" s="380"/>
      <c r="D15" s="381" t="s">
        <v>548</v>
      </c>
      <c r="E15" s="378">
        <f>E16</f>
        <v>0</v>
      </c>
      <c r="F15" s="1200">
        <f>F16</f>
        <v>2542</v>
      </c>
      <c r="G15" s="1195"/>
      <c r="H15" s="376"/>
      <c r="I15" s="207"/>
      <c r="J15" s="206"/>
    </row>
    <row r="16" spans="1:10" s="208" customFormat="1" ht="21" customHeight="1">
      <c r="A16" s="382"/>
      <c r="B16" s="377"/>
      <c r="C16" s="383" t="s">
        <v>549</v>
      </c>
      <c r="D16" s="384" t="s">
        <v>550</v>
      </c>
      <c r="E16" s="385">
        <v>0</v>
      </c>
      <c r="F16" s="1201">
        <v>2542</v>
      </c>
      <c r="G16" s="1196"/>
      <c r="H16" s="376"/>
      <c r="I16" s="207"/>
      <c r="J16" s="206"/>
    </row>
    <row r="17" spans="1:10" s="208" customFormat="1" ht="21" customHeight="1">
      <c r="A17" s="386">
        <v>852</v>
      </c>
      <c r="B17" s="387" t="s">
        <v>83</v>
      </c>
      <c r="C17" s="387"/>
      <c r="D17" s="388" t="s">
        <v>279</v>
      </c>
      <c r="E17" s="389">
        <f>E18+E20+E25</f>
        <v>188700</v>
      </c>
      <c r="F17" s="389">
        <f>F18+F20+F25</f>
        <v>612743.9</v>
      </c>
      <c r="G17" s="1195">
        <f>F17/E17*100</f>
        <v>324.71854795972445</v>
      </c>
      <c r="H17" s="390"/>
      <c r="I17" s="391"/>
      <c r="J17" s="206"/>
    </row>
    <row r="18" spans="1:10" s="400" customFormat="1" ht="21" customHeight="1">
      <c r="A18" s="392"/>
      <c r="B18" s="393">
        <v>85203</v>
      </c>
      <c r="C18" s="394"/>
      <c r="D18" s="395" t="s">
        <v>551</v>
      </c>
      <c r="E18" s="396">
        <f>SUM(E19:E19)</f>
        <v>2000</v>
      </c>
      <c r="F18" s="1193">
        <f>SUM(F19:F19)</f>
        <v>1604.03</v>
      </c>
      <c r="G18" s="1198"/>
      <c r="H18" s="397"/>
      <c r="I18" s="398"/>
      <c r="J18" s="399"/>
    </row>
    <row r="19" spans="1:10" s="409" customFormat="1" ht="21" customHeight="1">
      <c r="A19" s="401"/>
      <c r="B19" s="402"/>
      <c r="C19" s="403" t="s">
        <v>552</v>
      </c>
      <c r="D19" s="404" t="s">
        <v>553</v>
      </c>
      <c r="E19" s="405">
        <v>2000</v>
      </c>
      <c r="F19" s="1194">
        <v>1604.03</v>
      </c>
      <c r="G19" s="1195"/>
      <c r="H19" s="406"/>
      <c r="I19" s="407"/>
      <c r="J19" s="408"/>
    </row>
    <row r="20" spans="1:10" s="409" customFormat="1" ht="41.25" customHeight="1">
      <c r="A20" s="401"/>
      <c r="B20" s="394">
        <v>85212</v>
      </c>
      <c r="C20" s="410"/>
      <c r="D20" s="411" t="s">
        <v>674</v>
      </c>
      <c r="E20" s="396">
        <f>SUM(E21:E24)</f>
        <v>173700</v>
      </c>
      <c r="F20" s="1193">
        <f>SUM(F21:F24)</f>
        <v>594362.02</v>
      </c>
      <c r="G20" s="1195"/>
      <c r="H20" s="406"/>
      <c r="I20" s="407"/>
      <c r="J20" s="408"/>
    </row>
    <row r="21" spans="1:10" s="409" customFormat="1" ht="21" customHeight="1">
      <c r="A21" s="401"/>
      <c r="B21" s="412"/>
      <c r="C21" s="403" t="s">
        <v>549</v>
      </c>
      <c r="D21" s="384" t="s">
        <v>550</v>
      </c>
      <c r="E21" s="413"/>
      <c r="F21" s="1197">
        <v>225.4</v>
      </c>
      <c r="G21" s="1195"/>
      <c r="H21" s="406"/>
      <c r="I21" s="407"/>
      <c r="J21" s="408"/>
    </row>
    <row r="22" spans="1:10" s="409" customFormat="1" ht="21" customHeight="1">
      <c r="A22" s="401"/>
      <c r="B22" s="402"/>
      <c r="C22" s="403" t="s">
        <v>454</v>
      </c>
      <c r="D22" s="414" t="s">
        <v>298</v>
      </c>
      <c r="E22" s="405"/>
      <c r="F22" s="1194">
        <v>113947.48</v>
      </c>
      <c r="G22" s="1195"/>
      <c r="H22" s="406"/>
      <c r="I22" s="407"/>
      <c r="J22" s="408"/>
    </row>
    <row r="23" spans="1:10" s="409" customFormat="1" ht="21" customHeight="1">
      <c r="A23" s="401"/>
      <c r="B23" s="402"/>
      <c r="C23" s="403" t="s">
        <v>756</v>
      </c>
      <c r="D23" s="415" t="s">
        <v>757</v>
      </c>
      <c r="E23" s="405"/>
      <c r="F23" s="1194">
        <v>89112.52</v>
      </c>
      <c r="G23" s="1195"/>
      <c r="H23" s="406"/>
      <c r="I23" s="407"/>
      <c r="J23" s="408"/>
    </row>
    <row r="24" spans="1:10" s="409" customFormat="1" ht="29.25" customHeight="1">
      <c r="A24" s="401"/>
      <c r="B24" s="402"/>
      <c r="C24" s="403" t="s">
        <v>700</v>
      </c>
      <c r="D24" s="404" t="s">
        <v>701</v>
      </c>
      <c r="E24" s="405">
        <v>173700</v>
      </c>
      <c r="F24" s="1194">
        <v>391076.62</v>
      </c>
      <c r="G24" s="1195"/>
      <c r="H24" s="406"/>
      <c r="I24" s="407"/>
      <c r="J24" s="408"/>
    </row>
    <row r="25" spans="1:10" s="208" customFormat="1" ht="30" customHeight="1">
      <c r="A25" s="416"/>
      <c r="B25" s="417">
        <v>85228</v>
      </c>
      <c r="C25" s="418" t="s">
        <v>83</v>
      </c>
      <c r="D25" s="395" t="s">
        <v>739</v>
      </c>
      <c r="E25" s="396">
        <f>SUM(E26:E27)</f>
        <v>13000</v>
      </c>
      <c r="F25" s="1193">
        <f>SUM(F26:F27)</f>
        <v>16777.850000000002</v>
      </c>
      <c r="G25" s="1195"/>
      <c r="H25" s="419"/>
      <c r="I25" s="207"/>
      <c r="J25" s="206"/>
    </row>
    <row r="26" spans="1:10" s="409" customFormat="1" ht="21" customHeight="1">
      <c r="A26" s="420"/>
      <c r="B26" s="421"/>
      <c r="C26" s="422" t="s">
        <v>549</v>
      </c>
      <c r="D26" s="384" t="s">
        <v>550</v>
      </c>
      <c r="E26" s="413"/>
      <c r="F26" s="1197">
        <v>26.4</v>
      </c>
      <c r="G26" s="1195"/>
      <c r="H26" s="423"/>
      <c r="I26" s="407"/>
      <c r="J26" s="408"/>
    </row>
    <row r="27" spans="1:10" s="409" customFormat="1" ht="21" customHeight="1">
      <c r="A27" s="420"/>
      <c r="B27" s="424"/>
      <c r="C27" s="422" t="s">
        <v>552</v>
      </c>
      <c r="D27" s="415" t="s">
        <v>553</v>
      </c>
      <c r="E27" s="405">
        <v>13000</v>
      </c>
      <c r="F27" s="1194">
        <v>16751.45</v>
      </c>
      <c r="G27" s="1196"/>
      <c r="H27" s="423"/>
      <c r="I27" s="407"/>
      <c r="J27" s="408"/>
    </row>
    <row r="28" spans="1:10" s="208" customFormat="1" ht="22.5" customHeight="1">
      <c r="A28" s="1211" t="s">
        <v>520</v>
      </c>
      <c r="B28" s="1212"/>
      <c r="C28" s="1212"/>
      <c r="D28" s="1213"/>
      <c r="E28" s="375">
        <f>E29+E37</f>
        <v>3278110</v>
      </c>
      <c r="F28" s="375">
        <f>F29+F37</f>
        <v>2952868.01</v>
      </c>
      <c r="G28" s="1196">
        <f>F28/E28*100</f>
        <v>90.07836863314532</v>
      </c>
      <c r="H28" s="376"/>
      <c r="I28" s="207"/>
      <c r="J28" s="206"/>
    </row>
    <row r="29" spans="1:10" s="208" customFormat="1" ht="22.5" customHeight="1">
      <c r="A29" s="386">
        <v>700</v>
      </c>
      <c r="B29" s="387"/>
      <c r="C29" s="387"/>
      <c r="D29" s="425" t="s">
        <v>89</v>
      </c>
      <c r="E29" s="389">
        <f>SUM(E30)</f>
        <v>3266000</v>
      </c>
      <c r="F29" s="389">
        <f>SUM(F30)</f>
        <v>2937478.9299999997</v>
      </c>
      <c r="G29" s="1198">
        <f>F29/E29*100</f>
        <v>89.94117973055725</v>
      </c>
      <c r="H29" s="390"/>
      <c r="I29" s="207"/>
      <c r="J29" s="206"/>
    </row>
    <row r="30" spans="1:10" s="208" customFormat="1" ht="29.25" customHeight="1">
      <c r="A30" s="426"/>
      <c r="B30" s="418">
        <v>70005</v>
      </c>
      <c r="C30" s="418"/>
      <c r="D30" s="427" t="s">
        <v>493</v>
      </c>
      <c r="E30" s="396">
        <f>E31+E32+E33+E34+E35+E36</f>
        <v>3266000</v>
      </c>
      <c r="F30" s="1193">
        <f>F31+F32+F33+F34+F35+F36</f>
        <v>2937478.9299999997</v>
      </c>
      <c r="G30" s="1198"/>
      <c r="H30" s="419"/>
      <c r="I30" s="391"/>
      <c r="J30" s="206"/>
    </row>
    <row r="31" spans="1:10" s="409" customFormat="1" ht="29.25" customHeight="1">
      <c r="A31" s="420"/>
      <c r="B31" s="428"/>
      <c r="C31" s="429" t="s">
        <v>554</v>
      </c>
      <c r="D31" s="414" t="s">
        <v>555</v>
      </c>
      <c r="E31" s="405">
        <v>2300000</v>
      </c>
      <c r="F31" s="1194">
        <v>2713740.74</v>
      </c>
      <c r="G31" s="1195"/>
      <c r="H31" s="423"/>
      <c r="I31" s="430"/>
      <c r="J31" s="408"/>
    </row>
    <row r="32" spans="1:10" s="409" customFormat="1" ht="72" customHeight="1">
      <c r="A32" s="420"/>
      <c r="B32" s="428"/>
      <c r="C32" s="429" t="s">
        <v>556</v>
      </c>
      <c r="D32" s="414" t="s">
        <v>751</v>
      </c>
      <c r="E32" s="405">
        <v>1000</v>
      </c>
      <c r="F32" s="1194">
        <v>7764.78</v>
      </c>
      <c r="G32" s="1195"/>
      <c r="H32" s="423"/>
      <c r="I32" s="430"/>
      <c r="J32" s="408"/>
    </row>
    <row r="33" spans="1:10" s="409" customFormat="1" ht="43.5" customHeight="1">
      <c r="A33" s="420"/>
      <c r="B33" s="428"/>
      <c r="C33" s="429" t="s">
        <v>752</v>
      </c>
      <c r="D33" s="414" t="s">
        <v>753</v>
      </c>
      <c r="E33" s="405">
        <v>3000</v>
      </c>
      <c r="F33" s="1194">
        <v>134474.55</v>
      </c>
      <c r="G33" s="1195"/>
      <c r="H33" s="423"/>
      <c r="I33" s="430"/>
      <c r="J33" s="408"/>
    </row>
    <row r="34" spans="1:10" s="409" customFormat="1" ht="42" customHeight="1">
      <c r="A34" s="420"/>
      <c r="B34" s="428"/>
      <c r="C34" s="429" t="s">
        <v>754</v>
      </c>
      <c r="D34" s="414" t="s">
        <v>755</v>
      </c>
      <c r="E34" s="405">
        <v>950000</v>
      </c>
      <c r="F34" s="1194">
        <v>48871.28</v>
      </c>
      <c r="G34" s="1195"/>
      <c r="H34" s="423"/>
      <c r="I34" s="430"/>
      <c r="J34" s="408"/>
    </row>
    <row r="35" spans="1:10" s="409" customFormat="1" ht="21" customHeight="1">
      <c r="A35" s="420"/>
      <c r="B35" s="428"/>
      <c r="C35" s="429" t="s">
        <v>454</v>
      </c>
      <c r="D35" s="414" t="s">
        <v>298</v>
      </c>
      <c r="E35" s="405">
        <v>12000</v>
      </c>
      <c r="F35" s="1194">
        <v>31674.56</v>
      </c>
      <c r="G35" s="1195"/>
      <c r="H35" s="423"/>
      <c r="I35" s="430"/>
      <c r="J35" s="408"/>
    </row>
    <row r="36" spans="1:10" s="409" customFormat="1" ht="21" customHeight="1">
      <c r="A36" s="420"/>
      <c r="B36" s="428"/>
      <c r="C36" s="422" t="s">
        <v>756</v>
      </c>
      <c r="D36" s="415" t="s">
        <v>757</v>
      </c>
      <c r="E36" s="405"/>
      <c r="F36" s="1194">
        <v>953.02</v>
      </c>
      <c r="G36" s="1196"/>
      <c r="H36" s="423"/>
      <c r="I36" s="430"/>
      <c r="J36" s="408"/>
    </row>
    <row r="37" spans="1:10" s="208" customFormat="1" ht="34.5" customHeight="1">
      <c r="A37" s="386">
        <v>754</v>
      </c>
      <c r="B37" s="387"/>
      <c r="C37" s="387"/>
      <c r="D37" s="425" t="s">
        <v>496</v>
      </c>
      <c r="E37" s="389">
        <f>SUM(E38)</f>
        <v>12110</v>
      </c>
      <c r="F37" s="389">
        <f>SUM(F38)</f>
        <v>15389.08</v>
      </c>
      <c r="G37" s="1195">
        <f>F37/E37*100</f>
        <v>127.07745664739885</v>
      </c>
      <c r="H37" s="431"/>
      <c r="I37" s="391"/>
      <c r="J37" s="206"/>
    </row>
    <row r="38" spans="1:10" s="208" customFormat="1" ht="27" customHeight="1">
      <c r="A38" s="426"/>
      <c r="B38" s="417">
        <v>75411</v>
      </c>
      <c r="C38" s="418"/>
      <c r="D38" s="427" t="s">
        <v>310</v>
      </c>
      <c r="E38" s="432">
        <f>SUM(E39:E43)</f>
        <v>12110</v>
      </c>
      <c r="F38" s="1202">
        <f>SUM(F39:F43)</f>
        <v>15389.08</v>
      </c>
      <c r="G38" s="1198"/>
      <c r="H38" s="431"/>
      <c r="I38" s="391"/>
      <c r="J38" s="433"/>
    </row>
    <row r="39" spans="1:10" s="208" customFormat="1" ht="21" customHeight="1">
      <c r="A39" s="434"/>
      <c r="B39" s="435"/>
      <c r="C39" s="436" t="s">
        <v>549</v>
      </c>
      <c r="D39" s="404" t="s">
        <v>550</v>
      </c>
      <c r="E39" s="413">
        <v>44</v>
      </c>
      <c r="F39" s="1197">
        <v>132</v>
      </c>
      <c r="G39" s="1195"/>
      <c r="H39" s="431"/>
      <c r="I39" s="207"/>
      <c r="J39" s="206"/>
    </row>
    <row r="40" spans="1:10" s="208" customFormat="1" ht="66" customHeight="1">
      <c r="A40" s="434"/>
      <c r="B40" s="437"/>
      <c r="C40" s="438" t="s">
        <v>556</v>
      </c>
      <c r="D40" s="415" t="s">
        <v>751</v>
      </c>
      <c r="E40" s="413">
        <v>11770</v>
      </c>
      <c r="F40" s="1197">
        <v>13842.58</v>
      </c>
      <c r="G40" s="1195"/>
      <c r="H40" s="431"/>
      <c r="I40" s="207"/>
      <c r="J40" s="206"/>
    </row>
    <row r="41" spans="1:10" s="208" customFormat="1" ht="18.75" customHeight="1">
      <c r="A41" s="434"/>
      <c r="B41" s="437"/>
      <c r="C41" s="259" t="s">
        <v>746</v>
      </c>
      <c r="D41" s="14" t="s">
        <v>747</v>
      </c>
      <c r="E41" s="413">
        <v>0</v>
      </c>
      <c r="F41" s="1197">
        <v>24</v>
      </c>
      <c r="G41" s="1195"/>
      <c r="H41" s="431"/>
      <c r="I41" s="207"/>
      <c r="J41" s="206"/>
    </row>
    <row r="42" spans="1:10" s="208" customFormat="1" ht="21" customHeight="1">
      <c r="A42" s="434"/>
      <c r="B42" s="437"/>
      <c r="C42" s="429" t="s">
        <v>454</v>
      </c>
      <c r="D42" s="414" t="s">
        <v>298</v>
      </c>
      <c r="E42" s="413">
        <v>0</v>
      </c>
      <c r="F42" s="1197">
        <v>0.6</v>
      </c>
      <c r="G42" s="1195"/>
      <c r="H42" s="431"/>
      <c r="I42" s="207"/>
      <c r="J42" s="206"/>
    </row>
    <row r="43" spans="1:10" s="409" customFormat="1" ht="21" customHeight="1">
      <c r="A43" s="420"/>
      <c r="B43" s="428"/>
      <c r="C43" s="422" t="s">
        <v>756</v>
      </c>
      <c r="D43" s="415" t="s">
        <v>757</v>
      </c>
      <c r="E43" s="413">
        <v>296</v>
      </c>
      <c r="F43" s="1194">
        <v>1389.9</v>
      </c>
      <c r="G43" s="1196"/>
      <c r="H43" s="423"/>
      <c r="I43" s="407"/>
      <c r="J43" s="408"/>
    </row>
    <row r="44" spans="1:10" s="208" customFormat="1" ht="27" customHeight="1">
      <c r="A44" s="1214" t="s">
        <v>463</v>
      </c>
      <c r="B44" s="1215"/>
      <c r="C44" s="1215"/>
      <c r="D44" s="1216"/>
      <c r="E44" s="389">
        <f>E28+E13</f>
        <v>3466810</v>
      </c>
      <c r="F44" s="389">
        <f>F28+F13</f>
        <v>3568153.9099999997</v>
      </c>
      <c r="G44" s="1196">
        <f>F44/E44*100</f>
        <v>102.92326115362538</v>
      </c>
      <c r="H44" s="390"/>
      <c r="I44" s="391"/>
      <c r="J44" s="433"/>
    </row>
    <row r="45" spans="5:10" s="208" customFormat="1" ht="12.75">
      <c r="E45" s="207"/>
      <c r="F45" s="207"/>
      <c r="G45" s="207"/>
      <c r="H45" s="207"/>
      <c r="I45" s="207"/>
      <c r="J45" s="206"/>
    </row>
    <row r="46" spans="5:10" s="208" customFormat="1" ht="12.75">
      <c r="E46" s="207"/>
      <c r="F46" s="207"/>
      <c r="G46" s="207"/>
      <c r="H46" s="207"/>
      <c r="I46" s="207"/>
      <c r="J46" s="206"/>
    </row>
    <row r="47" spans="5:10" s="208" customFormat="1" ht="12.75">
      <c r="E47" s="207"/>
      <c r="F47" s="207"/>
      <c r="G47" s="207"/>
      <c r="H47" s="207"/>
      <c r="I47" s="207"/>
      <c r="J47" s="206"/>
    </row>
    <row r="48" spans="5:10" s="208" customFormat="1" ht="12.75">
      <c r="E48" s="207"/>
      <c r="F48" s="207"/>
      <c r="G48" s="207"/>
      <c r="H48" s="207"/>
      <c r="I48" s="207"/>
      <c r="J48" s="206"/>
    </row>
    <row r="49" spans="5:10" s="208" customFormat="1" ht="12.75">
      <c r="E49" s="207"/>
      <c r="F49" s="207"/>
      <c r="G49" s="207"/>
      <c r="H49" s="207"/>
      <c r="I49" s="207"/>
      <c r="J49" s="206"/>
    </row>
    <row r="50" spans="4:10" s="208" customFormat="1" ht="12.75">
      <c r="D50" s="391"/>
      <c r="E50" s="207"/>
      <c r="F50" s="207"/>
      <c r="G50" s="207"/>
      <c r="H50" s="207"/>
      <c r="I50" s="207"/>
      <c r="J50" s="206"/>
    </row>
    <row r="51" spans="4:10" s="208" customFormat="1" ht="12.75">
      <c r="D51" s="391"/>
      <c r="E51" s="207"/>
      <c r="F51" s="207"/>
      <c r="G51" s="207"/>
      <c r="H51" s="207"/>
      <c r="I51" s="207"/>
      <c r="J51" s="206"/>
    </row>
    <row r="52" spans="4:10" s="208" customFormat="1" ht="12.75">
      <c r="D52" s="391"/>
      <c r="E52" s="207"/>
      <c r="F52" s="207"/>
      <c r="G52" s="207"/>
      <c r="H52" s="207"/>
      <c r="I52" s="207"/>
      <c r="J52" s="206"/>
    </row>
    <row r="53" spans="4:10" s="208" customFormat="1" ht="12.75">
      <c r="D53" s="391"/>
      <c r="E53" s="207"/>
      <c r="F53" s="207"/>
      <c r="G53" s="207"/>
      <c r="H53" s="207"/>
      <c r="I53" s="207"/>
      <c r="J53" s="206"/>
    </row>
    <row r="54" ht="12.75">
      <c r="D54" s="391"/>
    </row>
    <row r="55" ht="12.75">
      <c r="D55" s="391"/>
    </row>
    <row r="56" spans="1:8" ht="12.75">
      <c r="A56" s="203"/>
      <c r="B56" s="203"/>
      <c r="C56" s="203"/>
      <c r="D56" s="439"/>
      <c r="E56" s="204"/>
      <c r="F56" s="204"/>
      <c r="G56" s="204"/>
      <c r="H56" s="204"/>
    </row>
    <row r="57" spans="1:7" ht="15">
      <c r="A57" s="203"/>
      <c r="B57" s="203"/>
      <c r="C57" s="203"/>
      <c r="D57" s="439"/>
      <c r="E57" s="440"/>
      <c r="F57" s="440"/>
      <c r="G57" s="440"/>
    </row>
    <row r="58" spans="1:7" ht="12.75">
      <c r="A58" s="203"/>
      <c r="B58" s="203"/>
      <c r="C58" s="203"/>
      <c r="D58" s="439"/>
      <c r="E58" s="217"/>
      <c r="F58" s="217"/>
      <c r="G58" s="217"/>
    </row>
    <row r="59" spans="1:7" ht="12.75">
      <c r="A59" s="203"/>
      <c r="B59" s="203"/>
      <c r="C59" s="203"/>
      <c r="D59" s="439"/>
      <c r="E59" s="217"/>
      <c r="F59" s="217"/>
      <c r="G59" s="217"/>
    </row>
    <row r="60" spans="1:7" ht="12.75">
      <c r="A60" s="203"/>
      <c r="B60" s="203"/>
      <c r="C60" s="203"/>
      <c r="D60" s="439"/>
      <c r="E60" s="217"/>
      <c r="F60" s="217"/>
      <c r="G60" s="217"/>
    </row>
    <row r="61" spans="1:7" ht="12.75">
      <c r="A61" s="203"/>
      <c r="B61" s="203"/>
      <c r="C61" s="203"/>
      <c r="D61" s="439"/>
      <c r="E61" s="217"/>
      <c r="F61" s="217"/>
      <c r="G61" s="217"/>
    </row>
    <row r="62" spans="4:7" ht="12.75">
      <c r="D62" s="441"/>
      <c r="E62" s="217"/>
      <c r="F62" s="217"/>
      <c r="G62" s="217"/>
    </row>
    <row r="63" spans="4:7" ht="12.75">
      <c r="D63" s="441"/>
      <c r="E63" s="217"/>
      <c r="F63" s="217"/>
      <c r="G63" s="217"/>
    </row>
    <row r="64" spans="4:7" ht="12.75">
      <c r="D64" s="441"/>
      <c r="E64" s="217"/>
      <c r="F64" s="217"/>
      <c r="G64" s="217"/>
    </row>
    <row r="65" spans="4:7" ht="12.75">
      <c r="D65" s="441"/>
      <c r="E65" s="217"/>
      <c r="F65" s="217"/>
      <c r="G65" s="217"/>
    </row>
    <row r="66" spans="4:7" ht="12.75">
      <c r="D66" s="441"/>
      <c r="E66" s="217"/>
      <c r="F66" s="217"/>
      <c r="G66" s="217"/>
    </row>
    <row r="67" spans="5:7" ht="12.75">
      <c r="E67" s="217"/>
      <c r="F67" s="217"/>
      <c r="G67" s="217"/>
    </row>
    <row r="68" spans="5:7" ht="12.75">
      <c r="E68" s="217"/>
      <c r="F68" s="217"/>
      <c r="G68" s="217"/>
    </row>
    <row r="69" spans="5:7" ht="12.75">
      <c r="E69" s="217"/>
      <c r="F69" s="217"/>
      <c r="G69" s="217"/>
    </row>
    <row r="70" spans="5:7" ht="12.75">
      <c r="E70" s="217"/>
      <c r="F70" s="217"/>
      <c r="G70" s="217"/>
    </row>
    <row r="71" spans="5:7" ht="12.75">
      <c r="E71" s="217"/>
      <c r="F71" s="217"/>
      <c r="G71" s="217"/>
    </row>
    <row r="72" spans="5:7" ht="12.75">
      <c r="E72" s="217"/>
      <c r="F72" s="217"/>
      <c r="G72" s="217"/>
    </row>
  </sheetData>
  <mergeCells count="3">
    <mergeCell ref="A13:D13"/>
    <mergeCell ref="A28:D28"/>
    <mergeCell ref="A44:D4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65"/>
  <sheetViews>
    <sheetView workbookViewId="0" topLeftCell="A1">
      <selection activeCell="G28" sqref="G28"/>
    </sheetView>
  </sheetViews>
  <sheetFormatPr defaultColWidth="9.140625" defaultRowHeight="12.75"/>
  <cols>
    <col min="1" max="1" width="4.00390625" style="93" customWidth="1"/>
    <col min="2" max="2" width="6.8515625" style="93" customWidth="1"/>
    <col min="3" max="3" width="4.8515625" style="93" customWidth="1"/>
    <col min="4" max="4" width="21.00390625" style="505" customWidth="1"/>
    <col min="5" max="5" width="11.421875" style="54" customWidth="1"/>
    <col min="6" max="6" width="12.140625" style="54" customWidth="1"/>
    <col min="7" max="7" width="6.28125" style="54" customWidth="1"/>
    <col min="8" max="8" width="12.7109375" style="93" customWidth="1"/>
    <col min="9" max="9" width="11.8515625" style="194" customWidth="1"/>
    <col min="10" max="10" width="6.28125" style="93" customWidth="1"/>
    <col min="11" max="16384" width="9.140625" style="93" customWidth="1"/>
  </cols>
  <sheetData>
    <row r="2" spans="5:11" ht="20.25">
      <c r="E2" s="506"/>
      <c r="F2" s="506"/>
      <c r="G2" s="506"/>
      <c r="H2" s="507" t="s">
        <v>795</v>
      </c>
      <c r="J2" s="195"/>
      <c r="K2" s="195" t="s">
        <v>83</v>
      </c>
    </row>
    <row r="3" spans="5:11" ht="20.25">
      <c r="E3" s="506"/>
      <c r="F3" s="506"/>
      <c r="G3" s="506"/>
      <c r="H3" s="507"/>
      <c r="J3" s="195"/>
      <c r="K3" s="195"/>
    </row>
    <row r="4" spans="5:11" ht="20.25">
      <c r="E4" s="506"/>
      <c r="F4" s="506"/>
      <c r="G4" s="506"/>
      <c r="H4" s="507"/>
      <c r="J4" s="195"/>
      <c r="K4" s="195"/>
    </row>
    <row r="5" spans="1:9" ht="12.75">
      <c r="A5" s="193"/>
      <c r="B5" s="193"/>
      <c r="C5" s="193"/>
      <c r="D5" s="196"/>
      <c r="E5" s="197"/>
      <c r="F5" s="197"/>
      <c r="G5" s="197"/>
      <c r="H5" s="454"/>
      <c r="I5" s="508"/>
    </row>
    <row r="6" spans="1:9" ht="18.75">
      <c r="A6" s="540" t="s">
        <v>796</v>
      </c>
      <c r="B6" s="481"/>
      <c r="C6" s="481"/>
      <c r="D6" s="481"/>
      <c r="E6" s="542"/>
      <c r="F6" s="197"/>
      <c r="G6" s="197"/>
      <c r="H6" s="197"/>
      <c r="I6" s="193"/>
    </row>
    <row r="7" spans="1:9" ht="18.75">
      <c r="A7" s="540" t="s">
        <v>780</v>
      </c>
      <c r="B7" s="481"/>
      <c r="C7" s="481"/>
      <c r="D7" s="481"/>
      <c r="E7" s="542"/>
      <c r="F7" s="197"/>
      <c r="G7" s="197"/>
      <c r="H7" s="197"/>
      <c r="I7" s="193"/>
    </row>
    <row r="8" spans="1:9" ht="18.75">
      <c r="A8" s="540"/>
      <c r="B8" s="481"/>
      <c r="C8" s="481"/>
      <c r="D8" s="481"/>
      <c r="E8" s="542"/>
      <c r="F8" s="197"/>
      <c r="G8" s="197"/>
      <c r="H8" s="197"/>
      <c r="I8" s="193"/>
    </row>
    <row r="9" spans="1:9" ht="18.75">
      <c r="A9" s="540"/>
      <c r="B9" s="481"/>
      <c r="C9" s="481"/>
      <c r="D9" s="481"/>
      <c r="E9" s="542"/>
      <c r="F9" s="197"/>
      <c r="G9" s="197"/>
      <c r="H9" s="197"/>
      <c r="I9" s="193"/>
    </row>
    <row r="10" spans="1:9" ht="12.75">
      <c r="A10" s="487"/>
      <c r="B10" s="193"/>
      <c r="C10" s="193"/>
      <c r="D10" s="196"/>
      <c r="E10" s="197"/>
      <c r="F10" s="197"/>
      <c r="G10" s="197"/>
      <c r="H10" s="197"/>
      <c r="I10" s="193"/>
    </row>
    <row r="11" spans="1:9" ht="12.75">
      <c r="A11" s="198" t="s">
        <v>83</v>
      </c>
      <c r="B11" s="198"/>
      <c r="C11" s="198"/>
      <c r="D11" s="494"/>
      <c r="E11" s="199"/>
      <c r="F11" s="199"/>
      <c r="G11" s="199"/>
      <c r="H11" s="199"/>
      <c r="I11" s="491" t="s">
        <v>84</v>
      </c>
    </row>
    <row r="12" spans="1:10" ht="46.5" customHeight="1">
      <c r="A12" s="501" t="s">
        <v>85</v>
      </c>
      <c r="B12" s="501" t="s">
        <v>86</v>
      </c>
      <c r="C12" s="501" t="s">
        <v>294</v>
      </c>
      <c r="D12" s="509" t="s">
        <v>684</v>
      </c>
      <c r="E12" s="496" t="s">
        <v>792</v>
      </c>
      <c r="F12" s="496" t="s">
        <v>96</v>
      </c>
      <c r="G12" s="497" t="s">
        <v>80</v>
      </c>
      <c r="H12" s="497" t="s">
        <v>793</v>
      </c>
      <c r="I12" s="496" t="s">
        <v>96</v>
      </c>
      <c r="J12" s="497" t="s">
        <v>80</v>
      </c>
    </row>
    <row r="13" spans="1:10" s="504" customFormat="1" ht="28.5" customHeight="1">
      <c r="A13" s="88">
        <v>750</v>
      </c>
      <c r="B13" s="510"/>
      <c r="C13" s="88"/>
      <c r="D13" s="511" t="s">
        <v>495</v>
      </c>
      <c r="E13" s="498">
        <f>SUM(E14)</f>
        <v>2520</v>
      </c>
      <c r="F13" s="498">
        <f>SUM(F14)</f>
        <v>2520</v>
      </c>
      <c r="G13" s="512">
        <f>F13/E13*100</f>
        <v>100</v>
      </c>
      <c r="H13" s="498">
        <f>SUM(H14)</f>
        <v>2520</v>
      </c>
      <c r="I13" s="498">
        <f>SUM(I14)</f>
        <v>2520</v>
      </c>
      <c r="J13" s="513">
        <f>I13/H13*100</f>
        <v>100</v>
      </c>
    </row>
    <row r="14" spans="1:10" s="504" customFormat="1" ht="27" customHeight="1">
      <c r="A14" s="514"/>
      <c r="B14" s="515">
        <v>75045</v>
      </c>
      <c r="C14" s="61"/>
      <c r="D14" s="516" t="s">
        <v>565</v>
      </c>
      <c r="E14" s="502">
        <f>SUM(E15:E16)</f>
        <v>2520</v>
      </c>
      <c r="F14" s="502">
        <f>SUM(F15:F16)</f>
        <v>2520</v>
      </c>
      <c r="G14" s="517">
        <f>F14/E14*100</f>
        <v>100</v>
      </c>
      <c r="H14" s="502">
        <f>H15+H16</f>
        <v>2520</v>
      </c>
      <c r="I14" s="502">
        <f>I15+I16</f>
        <v>2520</v>
      </c>
      <c r="J14" s="518">
        <f>I14/H14*100</f>
        <v>100</v>
      </c>
    </row>
    <row r="15" spans="1:10" ht="82.5" customHeight="1">
      <c r="A15" s="514"/>
      <c r="B15" s="519"/>
      <c r="C15" s="495">
        <v>2120</v>
      </c>
      <c r="D15" s="499" t="s">
        <v>653</v>
      </c>
      <c r="E15" s="520">
        <v>2520</v>
      </c>
      <c r="F15" s="520">
        <v>2520</v>
      </c>
      <c r="G15" s="512"/>
      <c r="H15" s="333"/>
      <c r="I15" s="521"/>
      <c r="J15" s="518"/>
    </row>
    <row r="16" spans="1:10" ht="29.25" customHeight="1">
      <c r="A16" s="522"/>
      <c r="B16" s="523"/>
      <c r="C16" s="100">
        <v>4300</v>
      </c>
      <c r="D16" s="500" t="s">
        <v>530</v>
      </c>
      <c r="E16" s="524"/>
      <c r="F16" s="524"/>
      <c r="G16" s="512"/>
      <c r="H16" s="524">
        <v>2520</v>
      </c>
      <c r="I16" s="524">
        <v>2520</v>
      </c>
      <c r="J16" s="525">
        <f>I16*100/H16</f>
        <v>100</v>
      </c>
    </row>
    <row r="17" spans="1:10" s="529" customFormat="1" ht="28.5" customHeight="1">
      <c r="A17" s="562" t="s">
        <v>794</v>
      </c>
      <c r="B17" s="526"/>
      <c r="C17" s="527"/>
      <c r="D17" s="528"/>
      <c r="E17" s="503">
        <f aca="true" t="shared" si="0" ref="E17:J17">SUM(E13,)</f>
        <v>2520</v>
      </c>
      <c r="F17" s="503">
        <f t="shared" si="0"/>
        <v>2520</v>
      </c>
      <c r="G17" s="503">
        <f t="shared" si="0"/>
        <v>100</v>
      </c>
      <c r="H17" s="503">
        <f t="shared" si="0"/>
        <v>2520</v>
      </c>
      <c r="I17" s="503">
        <f t="shared" si="0"/>
        <v>2520</v>
      </c>
      <c r="J17" s="503">
        <f t="shared" si="0"/>
        <v>100</v>
      </c>
    </row>
    <row r="18" spans="1:10" s="530" customFormat="1" ht="36" customHeight="1">
      <c r="A18" s="1217" t="s">
        <v>787</v>
      </c>
      <c r="B18" s="1240"/>
      <c r="C18" s="1240"/>
      <c r="D18" s="1241"/>
      <c r="E18" s="503">
        <f aca="true" t="shared" si="1" ref="E18:J18">E17</f>
        <v>2520</v>
      </c>
      <c r="F18" s="503">
        <f t="shared" si="1"/>
        <v>2520</v>
      </c>
      <c r="G18" s="503">
        <f t="shared" si="1"/>
        <v>100</v>
      </c>
      <c r="H18" s="503">
        <f t="shared" si="1"/>
        <v>2520</v>
      </c>
      <c r="I18" s="503">
        <f t="shared" si="1"/>
        <v>2520</v>
      </c>
      <c r="J18" s="503">
        <f t="shared" si="1"/>
        <v>100</v>
      </c>
    </row>
    <row r="19" spans="1:10" ht="12.75">
      <c r="A19" s="531"/>
      <c r="B19" s="531"/>
      <c r="C19" s="532"/>
      <c r="D19" s="533"/>
      <c r="E19" s="534"/>
      <c r="F19" s="534"/>
      <c r="G19" s="534"/>
      <c r="H19" s="535"/>
      <c r="I19" s="531"/>
      <c r="J19" s="531"/>
    </row>
    <row r="20" spans="1:10" ht="12.75">
      <c r="A20" s="531"/>
      <c r="B20" s="531"/>
      <c r="C20" s="532"/>
      <c r="D20" s="533"/>
      <c r="E20" s="534"/>
      <c r="F20" s="534"/>
      <c r="G20" s="534"/>
      <c r="H20" s="536"/>
      <c r="I20" s="531"/>
      <c r="J20" s="531"/>
    </row>
    <row r="21" spans="3:8" ht="12.75">
      <c r="C21" s="537"/>
      <c r="D21" s="538"/>
      <c r="H21" s="539"/>
    </row>
    <row r="22" spans="3:8" ht="12.75">
      <c r="C22" s="537"/>
      <c r="D22" s="538"/>
      <c r="H22" s="539"/>
    </row>
    <row r="23" spans="3:8" ht="12.75">
      <c r="C23" s="537"/>
      <c r="D23" s="538"/>
      <c r="H23" s="539"/>
    </row>
    <row r="24" spans="3:8" ht="12.75">
      <c r="C24" s="537"/>
      <c r="D24" s="538"/>
      <c r="H24" s="539"/>
    </row>
    <row r="25" spans="3:8" ht="12.75">
      <c r="C25" s="537"/>
      <c r="D25" s="538"/>
      <c r="H25" s="539"/>
    </row>
    <row r="26" spans="3:8" ht="12.75">
      <c r="C26" s="537"/>
      <c r="D26" s="538"/>
      <c r="H26" s="539"/>
    </row>
    <row r="27" spans="3:8" ht="12.75">
      <c r="C27" s="537"/>
      <c r="D27" s="538"/>
      <c r="H27" s="539"/>
    </row>
    <row r="28" spans="3:8" ht="12.75">
      <c r="C28" s="537"/>
      <c r="D28" s="538"/>
      <c r="H28" s="539"/>
    </row>
    <row r="29" spans="3:8" ht="12.75">
      <c r="C29" s="537"/>
      <c r="H29" s="539"/>
    </row>
    <row r="30" spans="3:8" ht="12.75">
      <c r="C30" s="537"/>
      <c r="H30" s="539"/>
    </row>
    <row r="31" spans="3:8" ht="12.75">
      <c r="C31" s="537"/>
      <c r="H31" s="539"/>
    </row>
    <row r="32" spans="3:8" ht="12.75">
      <c r="C32" s="537"/>
      <c r="H32" s="539"/>
    </row>
    <row r="33" spans="3:8" ht="12.75">
      <c r="C33" s="537"/>
      <c r="H33" s="539"/>
    </row>
    <row r="34" spans="3:8" ht="12.75">
      <c r="C34" s="537"/>
      <c r="H34" s="539"/>
    </row>
    <row r="35" spans="3:8" ht="12.75">
      <c r="C35" s="537"/>
      <c r="H35" s="539"/>
    </row>
    <row r="36" spans="3:8" ht="12.75">
      <c r="C36" s="537"/>
      <c r="H36" s="539"/>
    </row>
    <row r="37" spans="3:8" ht="12.75">
      <c r="C37" s="537"/>
      <c r="H37" s="539"/>
    </row>
    <row r="38" spans="3:8" ht="12.75">
      <c r="C38" s="537"/>
      <c r="H38" s="539"/>
    </row>
    <row r="39" spans="3:8" ht="12.75">
      <c r="C39" s="537"/>
      <c r="H39" s="539"/>
    </row>
    <row r="40" spans="3:8" ht="12.75">
      <c r="C40" s="537"/>
      <c r="H40" s="539"/>
    </row>
    <row r="41" spans="3:8" ht="12.75">
      <c r="C41" s="537"/>
      <c r="H41" s="539"/>
    </row>
    <row r="42" spans="3:8" ht="12.75">
      <c r="C42" s="537"/>
      <c r="H42" s="539"/>
    </row>
    <row r="43" spans="3:8" ht="12.75">
      <c r="C43" s="537"/>
      <c r="H43" s="539"/>
    </row>
    <row r="44" spans="3:8" ht="12.75">
      <c r="C44" s="537"/>
      <c r="H44" s="539"/>
    </row>
    <row r="45" spans="3:8" ht="12.75">
      <c r="C45" s="537"/>
      <c r="H45" s="539"/>
    </row>
    <row r="46" spans="3:8" ht="12.75">
      <c r="C46" s="537"/>
      <c r="H46" s="539"/>
    </row>
    <row r="47" spans="3:8" ht="12.75">
      <c r="C47" s="537"/>
      <c r="H47" s="539"/>
    </row>
    <row r="48" spans="3:8" ht="12.75">
      <c r="C48" s="537"/>
      <c r="H48" s="539"/>
    </row>
    <row r="49" spans="3:8" ht="12.75">
      <c r="C49" s="537"/>
      <c r="H49" s="539"/>
    </row>
    <row r="50" spans="3:8" ht="12.75">
      <c r="C50" s="537"/>
      <c r="H50" s="539"/>
    </row>
    <row r="51" spans="3:8" ht="12.75">
      <c r="C51" s="537"/>
      <c r="H51" s="539"/>
    </row>
    <row r="52" spans="3:8" ht="12.75">
      <c r="C52" s="537"/>
      <c r="H52" s="539"/>
    </row>
    <row r="53" spans="3:8" ht="12.75">
      <c r="C53" s="537"/>
      <c r="H53" s="539"/>
    </row>
    <row r="54" spans="3:8" ht="12.75">
      <c r="C54" s="537"/>
      <c r="H54" s="539"/>
    </row>
    <row r="55" spans="3:8" ht="12.75">
      <c r="C55" s="537"/>
      <c r="H55" s="539"/>
    </row>
    <row r="56" spans="3:8" ht="12.75">
      <c r="C56" s="537"/>
      <c r="H56" s="539"/>
    </row>
    <row r="57" spans="3:8" ht="12.75">
      <c r="C57" s="537"/>
      <c r="H57" s="539"/>
    </row>
    <row r="58" spans="3:8" ht="12.75">
      <c r="C58" s="537"/>
      <c r="H58" s="539"/>
    </row>
    <row r="59" spans="3:8" ht="12.75">
      <c r="C59" s="537"/>
      <c r="H59" s="539"/>
    </row>
    <row r="60" spans="3:8" ht="12.75">
      <c r="C60" s="537"/>
      <c r="H60" s="539"/>
    </row>
    <row r="61" spans="3:8" ht="12.75">
      <c r="C61" s="537"/>
      <c r="H61" s="539"/>
    </row>
    <row r="62" spans="3:8" ht="12.75">
      <c r="C62" s="537"/>
      <c r="H62" s="539"/>
    </row>
    <row r="63" spans="3:8" ht="12.75">
      <c r="C63" s="537"/>
      <c r="H63" s="539"/>
    </row>
    <row r="64" spans="3:8" ht="12.75">
      <c r="C64" s="537"/>
      <c r="H64" s="539"/>
    </row>
    <row r="65" spans="3:8" ht="12.75">
      <c r="C65" s="537"/>
      <c r="H65" s="539"/>
    </row>
  </sheetData>
  <mergeCells count="1">
    <mergeCell ref="A18:D18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M14" sqref="M14"/>
    </sheetView>
  </sheetViews>
  <sheetFormatPr defaultColWidth="9.140625" defaultRowHeight="12.75"/>
  <cols>
    <col min="1" max="1" width="5.140625" style="54" customWidth="1"/>
    <col min="2" max="2" width="7.140625" style="54" customWidth="1"/>
    <col min="3" max="3" width="5.8515625" style="54" customWidth="1"/>
    <col min="4" max="4" width="23.7109375" style="54" customWidth="1"/>
    <col min="5" max="5" width="11.421875" style="54" customWidth="1"/>
    <col min="6" max="6" width="11.57421875" style="54" customWidth="1"/>
    <col min="7" max="7" width="6.7109375" style="54" customWidth="1"/>
    <col min="8" max="8" width="11.00390625" style="63" customWidth="1"/>
    <col min="9" max="9" width="11.421875" style="63" customWidth="1"/>
    <col min="10" max="10" width="6.57421875" style="63" customWidth="1"/>
    <col min="11" max="11" width="9.140625" style="54" customWidth="1"/>
    <col min="12" max="12" width="9.421875" style="54" bestFit="1" customWidth="1"/>
    <col min="13" max="16384" width="9.140625" style="54" customWidth="1"/>
  </cols>
  <sheetData>
    <row r="1" spans="5:7" ht="19.5">
      <c r="E1" s="707"/>
      <c r="F1" s="707"/>
      <c r="G1" s="707"/>
    </row>
    <row r="2" spans="5:8" ht="20.25">
      <c r="E2" s="161"/>
      <c r="F2" s="161"/>
      <c r="G2" s="161"/>
      <c r="H2" s="476" t="s">
        <v>797</v>
      </c>
    </row>
    <row r="3" spans="1:7" ht="12.75">
      <c r="A3" s="193"/>
      <c r="B3" s="193"/>
      <c r="C3" s="193"/>
      <c r="D3" s="193"/>
      <c r="E3" s="193"/>
      <c r="F3" s="193"/>
      <c r="G3" s="193"/>
    </row>
    <row r="4" spans="1:7" ht="18.75">
      <c r="A4" s="540" t="s">
        <v>798</v>
      </c>
      <c r="B4" s="193"/>
      <c r="C4" s="193"/>
      <c r="D4" s="193"/>
      <c r="E4" s="193"/>
      <c r="F4" s="193"/>
      <c r="G4" s="193"/>
    </row>
    <row r="5" spans="1:7" ht="18.75">
      <c r="A5" s="540" t="s">
        <v>102</v>
      </c>
      <c r="B5" s="193"/>
      <c r="C5" s="193"/>
      <c r="D5" s="193"/>
      <c r="E5" s="193"/>
      <c r="F5" s="193"/>
      <c r="G5" s="193"/>
    </row>
    <row r="6" spans="1:7" ht="18.75">
      <c r="A6" s="541" t="s">
        <v>104</v>
      </c>
      <c r="B6" s="708"/>
      <c r="C6" s="198"/>
      <c r="D6" s="202"/>
      <c r="E6" s="202"/>
      <c r="F6" s="202"/>
      <c r="G6" s="202"/>
    </row>
    <row r="7" spans="1:7" ht="12.75">
      <c r="A7" s="487"/>
      <c r="B7" s="708"/>
      <c r="C7" s="198"/>
      <c r="D7" s="202"/>
      <c r="E7" s="202"/>
      <c r="F7" s="202"/>
      <c r="G7" s="202"/>
    </row>
    <row r="8" spans="1:7" ht="12.75">
      <c r="A8" s="487"/>
      <c r="B8" s="708"/>
      <c r="C8" s="198"/>
      <c r="D8" s="202"/>
      <c r="E8" s="202"/>
      <c r="F8" s="202"/>
      <c r="G8" s="202"/>
    </row>
    <row r="9" spans="1:10" ht="12.75">
      <c r="A9" s="198" t="s">
        <v>83</v>
      </c>
      <c r="B9" s="198"/>
      <c r="C9" s="198"/>
      <c r="D9" s="202"/>
      <c r="E9" s="202"/>
      <c r="F9" s="202"/>
      <c r="G9" s="202"/>
      <c r="H9" s="709"/>
      <c r="I9" s="709" t="s">
        <v>84</v>
      </c>
      <c r="J9" s="709"/>
    </row>
    <row r="10" spans="1:10" s="193" customFormat="1" ht="52.5" customHeight="1">
      <c r="A10" s="82" t="s">
        <v>85</v>
      </c>
      <c r="B10" s="82" t="s">
        <v>86</v>
      </c>
      <c r="C10" s="82" t="s">
        <v>294</v>
      </c>
      <c r="D10" s="710" t="s">
        <v>684</v>
      </c>
      <c r="E10" s="649" t="s">
        <v>792</v>
      </c>
      <c r="F10" s="649" t="s">
        <v>96</v>
      </c>
      <c r="G10" s="649" t="s">
        <v>80</v>
      </c>
      <c r="H10" s="649" t="s">
        <v>793</v>
      </c>
      <c r="I10" s="649" t="s">
        <v>96</v>
      </c>
      <c r="J10" s="649" t="s">
        <v>80</v>
      </c>
    </row>
    <row r="11" spans="1:10" ht="28.5" customHeight="1">
      <c r="A11" s="64" t="s">
        <v>520</v>
      </c>
      <c r="B11" s="711"/>
      <c r="C11" s="711"/>
      <c r="D11" s="712"/>
      <c r="E11" s="713"/>
      <c r="F11" s="713"/>
      <c r="G11" s="713"/>
      <c r="H11" s="714"/>
      <c r="I11" s="715"/>
      <c r="J11" s="716"/>
    </row>
    <row r="12" spans="1:10" ht="50.25" customHeight="1">
      <c r="A12" s="717">
        <v>853</v>
      </c>
      <c r="B12" s="717"/>
      <c r="C12" s="717"/>
      <c r="D12" s="718" t="s">
        <v>105</v>
      </c>
      <c r="E12" s="719">
        <f>SUM(E13)</f>
        <v>331489</v>
      </c>
      <c r="F12" s="719">
        <f>SUM(F13)</f>
        <v>331489</v>
      </c>
      <c r="G12" s="742">
        <f>F12*100/E12</f>
        <v>100</v>
      </c>
      <c r="H12" s="719">
        <f>H13</f>
        <v>331489</v>
      </c>
      <c r="I12" s="720">
        <f>I13</f>
        <v>331489</v>
      </c>
      <c r="J12" s="503">
        <f>I12*100/H12</f>
        <v>100</v>
      </c>
    </row>
    <row r="13" spans="1:12" s="491" customFormat="1" ht="54" customHeight="1">
      <c r="A13" s="721"/>
      <c r="B13" s="722">
        <v>85321</v>
      </c>
      <c r="C13" s="722"/>
      <c r="D13" s="723" t="s">
        <v>324</v>
      </c>
      <c r="E13" s="724">
        <f>SUM(E14)</f>
        <v>331489</v>
      </c>
      <c r="F13" s="724">
        <f>SUM(F14)</f>
        <v>331489</v>
      </c>
      <c r="G13" s="743">
        <f>F13*100/E13</f>
        <v>100</v>
      </c>
      <c r="H13" s="724">
        <f>SUM(H15:H21)</f>
        <v>331489</v>
      </c>
      <c r="I13" s="724">
        <f>SUM(I15:I21)</f>
        <v>331489</v>
      </c>
      <c r="J13" s="502">
        <f aca="true" t="shared" si="0" ref="J13:J22">I13*100/H13</f>
        <v>100</v>
      </c>
      <c r="L13" s="726"/>
    </row>
    <row r="14" spans="1:12" ht="83.25" customHeight="1">
      <c r="A14" s="727"/>
      <c r="B14" s="721"/>
      <c r="C14" s="728">
        <v>2320</v>
      </c>
      <c r="D14" s="318" t="s">
        <v>661</v>
      </c>
      <c r="E14" s="729">
        <v>331489</v>
      </c>
      <c r="F14" s="729">
        <v>331489</v>
      </c>
      <c r="G14" s="524"/>
      <c r="H14" s="730"/>
      <c r="I14" s="730"/>
      <c r="J14" s="503"/>
      <c r="L14" s="63"/>
    </row>
    <row r="15" spans="1:10" ht="27" customHeight="1">
      <c r="A15" s="731"/>
      <c r="B15" s="732"/>
      <c r="C15" s="733">
        <v>4010</v>
      </c>
      <c r="D15" s="734" t="s">
        <v>572</v>
      </c>
      <c r="E15" s="729"/>
      <c r="F15" s="729"/>
      <c r="G15" s="524"/>
      <c r="H15" s="730">
        <v>211312.54</v>
      </c>
      <c r="I15" s="730">
        <v>211312.54</v>
      </c>
      <c r="J15" s="502">
        <f t="shared" si="0"/>
        <v>100</v>
      </c>
    </row>
    <row r="16" spans="1:10" ht="26.25" customHeight="1">
      <c r="A16" s="731"/>
      <c r="B16" s="732"/>
      <c r="C16" s="733">
        <v>4040</v>
      </c>
      <c r="D16" s="734" t="s">
        <v>575</v>
      </c>
      <c r="E16" s="735"/>
      <c r="F16" s="735"/>
      <c r="G16" s="744"/>
      <c r="H16" s="730">
        <v>16169</v>
      </c>
      <c r="I16" s="730">
        <v>16169</v>
      </c>
      <c r="J16" s="502">
        <f t="shared" si="0"/>
        <v>100</v>
      </c>
    </row>
    <row r="17" spans="1:10" ht="29.25" customHeight="1">
      <c r="A17" s="731"/>
      <c r="B17" s="732"/>
      <c r="C17" s="733">
        <v>4110</v>
      </c>
      <c r="D17" s="734" t="s">
        <v>576</v>
      </c>
      <c r="E17" s="735"/>
      <c r="F17" s="735"/>
      <c r="G17" s="744"/>
      <c r="H17" s="730">
        <v>32723.23</v>
      </c>
      <c r="I17" s="730">
        <v>32723.23</v>
      </c>
      <c r="J17" s="502">
        <f t="shared" si="0"/>
        <v>100</v>
      </c>
    </row>
    <row r="18" spans="1:10" ht="23.25" customHeight="1">
      <c r="A18" s="731"/>
      <c r="B18" s="732"/>
      <c r="C18" s="736">
        <v>4120</v>
      </c>
      <c r="D18" s="737" t="s">
        <v>577</v>
      </c>
      <c r="E18" s="735"/>
      <c r="F18" s="735"/>
      <c r="G18" s="744"/>
      <c r="H18" s="730">
        <v>4129.4</v>
      </c>
      <c r="I18" s="730">
        <v>4129.4</v>
      </c>
      <c r="J18" s="502">
        <f t="shared" si="0"/>
        <v>100</v>
      </c>
    </row>
    <row r="19" spans="1:10" ht="27.75" customHeight="1">
      <c r="A19" s="731"/>
      <c r="B19" s="732"/>
      <c r="C19" s="736">
        <v>4170</v>
      </c>
      <c r="D19" s="737" t="s">
        <v>583</v>
      </c>
      <c r="E19" s="735"/>
      <c r="F19" s="735"/>
      <c r="G19" s="744"/>
      <c r="H19" s="730">
        <v>14197</v>
      </c>
      <c r="I19" s="730">
        <v>14197</v>
      </c>
      <c r="J19" s="502">
        <f>I19*100/H19</f>
        <v>100</v>
      </c>
    </row>
    <row r="20" spans="1:10" ht="26.25" customHeight="1">
      <c r="A20" s="731"/>
      <c r="B20" s="732"/>
      <c r="C20" s="733">
        <v>4300</v>
      </c>
      <c r="D20" s="734" t="s">
        <v>530</v>
      </c>
      <c r="E20" s="735"/>
      <c r="F20" s="735"/>
      <c r="G20" s="744"/>
      <c r="H20" s="730">
        <v>47305.86</v>
      </c>
      <c r="I20" s="730">
        <v>47305.86</v>
      </c>
      <c r="J20" s="502">
        <f t="shared" si="0"/>
        <v>100</v>
      </c>
    </row>
    <row r="21" spans="1:10" ht="31.5" customHeight="1">
      <c r="A21" s="731"/>
      <c r="B21" s="732"/>
      <c r="C21" s="736">
        <v>4440</v>
      </c>
      <c r="D21" s="737" t="s">
        <v>578</v>
      </c>
      <c r="E21" s="725"/>
      <c r="F21" s="725"/>
      <c r="G21" s="743"/>
      <c r="H21" s="730">
        <v>5651.97</v>
      </c>
      <c r="I21" s="730">
        <v>5651.97</v>
      </c>
      <c r="J21" s="502">
        <f t="shared" si="0"/>
        <v>100</v>
      </c>
    </row>
    <row r="22" spans="1:10" ht="33.75" customHeight="1">
      <c r="A22" s="738" t="s">
        <v>106</v>
      </c>
      <c r="B22" s="711"/>
      <c r="C22" s="711"/>
      <c r="D22" s="739"/>
      <c r="E22" s="719">
        <f>SUM(E12)</f>
        <v>331489</v>
      </c>
      <c r="F22" s="719">
        <f>SUM(F12)</f>
        <v>331489</v>
      </c>
      <c r="G22" s="742">
        <f>F22*100/E22</f>
        <v>100</v>
      </c>
      <c r="H22" s="720">
        <f>SUM(H15:H21)</f>
        <v>331489</v>
      </c>
      <c r="I22" s="720">
        <f>SUM(I15:I21)</f>
        <v>331489</v>
      </c>
      <c r="J22" s="503">
        <f t="shared" si="0"/>
        <v>100</v>
      </c>
    </row>
    <row r="23" spans="1:10" ht="15.75">
      <c r="A23" s="534"/>
      <c r="B23" s="534"/>
      <c r="C23" s="534"/>
      <c r="D23" s="534"/>
      <c r="E23" s="740"/>
      <c r="F23" s="740"/>
      <c r="G23" s="740"/>
      <c r="H23" s="741"/>
      <c r="I23" s="741"/>
      <c r="J23" s="741"/>
    </row>
    <row r="24" spans="1:7" ht="12.75">
      <c r="A24" s="534"/>
      <c r="B24" s="534"/>
      <c r="C24" s="534"/>
      <c r="D24" s="534"/>
      <c r="E24" s="534"/>
      <c r="F24" s="534"/>
      <c r="G24" s="534"/>
    </row>
    <row r="25" spans="1:7" ht="12.75">
      <c r="A25" s="534"/>
      <c r="B25" s="534"/>
      <c r="C25" s="534"/>
      <c r="D25" s="534"/>
      <c r="E25" s="534"/>
      <c r="F25" s="534"/>
      <c r="G25" s="534"/>
    </row>
  </sheetData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W4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.57421875" style="93" customWidth="1"/>
    <col min="2" max="2" width="34.140625" style="93" customWidth="1"/>
    <col min="3" max="3" width="16.421875" style="93" customWidth="1"/>
    <col min="4" max="5" width="15.8515625" style="93" customWidth="1"/>
    <col min="6" max="6" width="15.57421875" style="93" customWidth="1"/>
    <col min="7" max="7" width="16.7109375" style="93" customWidth="1"/>
    <col min="8" max="8" width="16.00390625" style="93" customWidth="1"/>
    <col min="9" max="9" width="16.140625" style="93" customWidth="1"/>
    <col min="10" max="10" width="21.421875" style="278" customWidth="1"/>
    <col min="11" max="11" width="21.8515625" style="93" customWidth="1"/>
    <col min="12" max="12" width="20.57421875" style="194" customWidth="1"/>
    <col min="13" max="13" width="14.57421875" style="93" customWidth="1"/>
    <col min="14" max="14" width="9.140625" style="93" customWidth="1"/>
    <col min="15" max="15" width="18.00390625" style="93" customWidth="1"/>
    <col min="16" max="16" width="21.28125" style="93" customWidth="1"/>
    <col min="17" max="19" width="9.140625" style="93" customWidth="1"/>
    <col min="20" max="20" width="20.57421875" style="93" customWidth="1"/>
    <col min="21" max="16384" width="9.140625" style="93" customWidth="1"/>
  </cols>
  <sheetData>
    <row r="1" spans="3:6" ht="20.25">
      <c r="C1" s="161"/>
      <c r="D1" s="161"/>
      <c r="E1" s="161"/>
      <c r="F1" s="160" t="s">
        <v>539</v>
      </c>
    </row>
    <row r="2" spans="3:6" ht="18.75">
      <c r="C2" s="161"/>
      <c r="D2" s="161"/>
      <c r="E2" s="161"/>
      <c r="F2" s="161"/>
    </row>
    <row r="3" spans="3:6" ht="18.75">
      <c r="C3" s="161"/>
      <c r="D3" s="161"/>
      <c r="E3" s="161"/>
      <c r="F3" s="161"/>
    </row>
    <row r="4" spans="2:14" ht="15.75">
      <c r="B4" s="279"/>
      <c r="C4" s="279"/>
      <c r="D4" s="279"/>
      <c r="E4" s="279"/>
      <c r="F4" s="279"/>
      <c r="G4" s="279"/>
      <c r="H4" s="280"/>
      <c r="I4" s="280"/>
      <c r="J4" s="281"/>
      <c r="K4" s="279"/>
      <c r="L4" s="280"/>
      <c r="M4" s="279"/>
      <c r="N4" s="279"/>
    </row>
    <row r="5" spans="2:14" ht="19.5">
      <c r="B5" s="560" t="s">
        <v>778</v>
      </c>
      <c r="C5" s="279"/>
      <c r="D5" s="279"/>
      <c r="E5" s="279"/>
      <c r="F5" s="279"/>
      <c r="G5" s="279"/>
      <c r="H5" s="280"/>
      <c r="I5" s="280"/>
      <c r="J5" s="281"/>
      <c r="K5" s="279"/>
      <c r="L5" s="280"/>
      <c r="M5" s="279"/>
      <c r="N5" s="279"/>
    </row>
    <row r="6" spans="2:14" ht="18.75">
      <c r="B6" s="282"/>
      <c r="C6" s="279"/>
      <c r="D6" s="279"/>
      <c r="E6" s="279"/>
      <c r="F6" s="279"/>
      <c r="G6" s="279"/>
      <c r="H6" s="280"/>
      <c r="I6" s="280"/>
      <c r="J6" s="281"/>
      <c r="K6" s="279"/>
      <c r="L6" s="280"/>
      <c r="M6" s="279"/>
      <c r="N6" s="279"/>
    </row>
    <row r="7" spans="2:14" ht="18.75">
      <c r="B7" s="282"/>
      <c r="C7" s="279"/>
      <c r="D7" s="279"/>
      <c r="E7" s="279"/>
      <c r="F7" s="279"/>
      <c r="G7" s="279"/>
      <c r="H7" s="283" t="s">
        <v>84</v>
      </c>
      <c r="I7" s="280"/>
      <c r="J7" s="281"/>
      <c r="K7" s="279"/>
      <c r="L7" s="280"/>
      <c r="M7" s="279"/>
      <c r="N7" s="279"/>
    </row>
    <row r="8" spans="2:14" s="290" customFormat="1" ht="28.5" customHeight="1">
      <c r="B8" s="284"/>
      <c r="C8" s="285"/>
      <c r="D8" s="286" t="s">
        <v>472</v>
      </c>
      <c r="E8" s="285"/>
      <c r="F8" s="287"/>
      <c r="G8" s="1242" t="s">
        <v>442</v>
      </c>
      <c r="H8" s="1243"/>
      <c r="I8" s="1008"/>
      <c r="J8" s="1009"/>
      <c r="K8" s="1006"/>
      <c r="L8" s="1008"/>
      <c r="M8" s="289"/>
      <c r="N8" s="289"/>
    </row>
    <row r="9" spans="2:14" ht="72.75" customHeight="1">
      <c r="B9" s="291" t="s">
        <v>684</v>
      </c>
      <c r="C9" s="292" t="s">
        <v>340</v>
      </c>
      <c r="D9" s="236" t="s">
        <v>73</v>
      </c>
      <c r="E9" s="293" t="s">
        <v>341</v>
      </c>
      <c r="F9" s="236" t="s">
        <v>779</v>
      </c>
      <c r="G9" s="294" t="s">
        <v>342</v>
      </c>
      <c r="H9" s="993" t="s">
        <v>73</v>
      </c>
      <c r="I9" s="994"/>
      <c r="J9" s="995"/>
      <c r="K9" s="1001"/>
      <c r="L9" s="1010"/>
      <c r="M9" s="295"/>
      <c r="N9" s="279"/>
    </row>
    <row r="10" spans="2:14" s="300" customFormat="1" ht="36.75" customHeight="1">
      <c r="B10" s="296" t="s">
        <v>672</v>
      </c>
      <c r="C10" s="328">
        <f aca="true" t="shared" si="0" ref="C10:H10">C11</f>
        <v>42000000</v>
      </c>
      <c r="D10" s="328">
        <f t="shared" si="0"/>
        <v>42000000</v>
      </c>
      <c r="E10" s="328">
        <f t="shared" si="0"/>
        <v>5799064</v>
      </c>
      <c r="F10" s="328">
        <f t="shared" si="0"/>
        <v>5799064</v>
      </c>
      <c r="G10" s="328">
        <f t="shared" si="0"/>
        <v>24179068.759999998</v>
      </c>
      <c r="H10" s="328">
        <f t="shared" si="0"/>
        <v>24179068.759999998</v>
      </c>
      <c r="I10" s="297"/>
      <c r="J10" s="561"/>
      <c r="K10" s="997"/>
      <c r="L10" s="1010"/>
      <c r="M10" s="298"/>
      <c r="N10" s="299"/>
    </row>
    <row r="11" spans="2:14" s="300" customFormat="1" ht="63" customHeight="1">
      <c r="B11" s="301" t="s">
        <v>673</v>
      </c>
      <c r="C11" s="329">
        <f aca="true" t="shared" si="1" ref="C11:H11">SUM(C12:C15)</f>
        <v>42000000</v>
      </c>
      <c r="D11" s="329">
        <f t="shared" si="1"/>
        <v>42000000</v>
      </c>
      <c r="E11" s="329">
        <f t="shared" si="1"/>
        <v>5799064</v>
      </c>
      <c r="F11" s="329">
        <f t="shared" si="1"/>
        <v>5799064</v>
      </c>
      <c r="G11" s="329">
        <f t="shared" si="1"/>
        <v>24179068.759999998</v>
      </c>
      <c r="H11" s="329">
        <f t="shared" si="1"/>
        <v>24179068.759999998</v>
      </c>
      <c r="I11" s="996"/>
      <c r="J11" s="997"/>
      <c r="K11" s="997"/>
      <c r="L11" s="1011"/>
      <c r="M11" s="302"/>
      <c r="N11" s="299"/>
    </row>
    <row r="12" spans="2:14" s="300" customFormat="1" ht="35.25" customHeight="1">
      <c r="B12" s="303" t="s">
        <v>473</v>
      </c>
      <c r="C12" s="304"/>
      <c r="D12" s="304"/>
      <c r="E12" s="304">
        <v>5799064</v>
      </c>
      <c r="F12" s="304">
        <v>5799064</v>
      </c>
      <c r="G12" s="304"/>
      <c r="H12" s="304"/>
      <c r="I12" s="998"/>
      <c r="J12" s="999"/>
      <c r="K12" s="999"/>
      <c r="L12" s="1011"/>
      <c r="M12" s="302"/>
      <c r="N12" s="299"/>
    </row>
    <row r="13" spans="2:14" ht="39" customHeight="1">
      <c r="B13" s="303" t="s">
        <v>568</v>
      </c>
      <c r="C13" s="330"/>
      <c r="D13" s="330"/>
      <c r="E13" s="330"/>
      <c r="F13" s="330"/>
      <c r="G13" s="330">
        <f>486680-93336</f>
        <v>393344</v>
      </c>
      <c r="H13" s="330">
        <f>486680-93336</f>
        <v>393344</v>
      </c>
      <c r="I13" s="1000"/>
      <c r="J13" s="997"/>
      <c r="K13" s="1002"/>
      <c r="L13" s="1012"/>
      <c r="M13" s="306"/>
      <c r="N13" s="289"/>
    </row>
    <row r="14" spans="2:14" ht="57" customHeight="1">
      <c r="B14" s="303" t="s">
        <v>685</v>
      </c>
      <c r="C14" s="330"/>
      <c r="D14" s="331"/>
      <c r="E14" s="331"/>
      <c r="F14" s="331"/>
      <c r="G14" s="332">
        <v>6037948.92</v>
      </c>
      <c r="H14" s="332">
        <v>6037948.92</v>
      </c>
      <c r="I14" s="1000"/>
      <c r="J14" s="997"/>
      <c r="K14" s="1003"/>
      <c r="L14" s="1013"/>
      <c r="M14" s="307"/>
      <c r="N14" s="289"/>
    </row>
    <row r="15" spans="2:14" ht="31.5" customHeight="1">
      <c r="B15" s="308" t="s">
        <v>777</v>
      </c>
      <c r="C15" s="331">
        <v>42000000</v>
      </c>
      <c r="D15" s="331">
        <v>42000000</v>
      </c>
      <c r="E15" s="331"/>
      <c r="F15" s="331"/>
      <c r="G15" s="331">
        <f>14637775.92+3109999.92</f>
        <v>17747775.84</v>
      </c>
      <c r="H15" s="331">
        <f>14637775.92+3109999.92</f>
        <v>17747775.84</v>
      </c>
      <c r="I15" s="1000"/>
      <c r="J15" s="997"/>
      <c r="K15" s="1004"/>
      <c r="L15" s="1008"/>
      <c r="M15" s="289"/>
      <c r="N15" s="289"/>
    </row>
    <row r="16" spans="2:14" ht="26.25" customHeight="1">
      <c r="B16" s="309"/>
      <c r="C16" s="305"/>
      <c r="D16" s="305"/>
      <c r="E16" s="305"/>
      <c r="F16" s="305"/>
      <c r="G16" s="310"/>
      <c r="H16" s="288"/>
      <c r="I16" s="1013"/>
      <c r="J16" s="1005"/>
      <c r="K16" s="1006"/>
      <c r="L16" s="1008"/>
      <c r="M16" s="307"/>
      <c r="N16" s="289"/>
    </row>
    <row r="17" spans="9:23" ht="15.75">
      <c r="I17" s="937"/>
      <c r="J17" s="1007"/>
      <c r="K17" s="937"/>
      <c r="L17" s="933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</row>
    <row r="18" spans="8:23" ht="15.75">
      <c r="H18" s="98"/>
      <c r="I18" s="937"/>
      <c r="J18" s="1007"/>
      <c r="K18" s="937"/>
      <c r="L18" s="933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</row>
    <row r="19" spans="9:23" ht="15.75">
      <c r="I19" s="937"/>
      <c r="J19" s="1007"/>
      <c r="K19" s="937"/>
      <c r="L19" s="933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</row>
    <row r="20" spans="3:23" ht="18.75">
      <c r="C20" s="327"/>
      <c r="D20" s="327"/>
      <c r="E20" s="327"/>
      <c r="F20" s="327"/>
      <c r="G20" s="327"/>
      <c r="I20" s="937"/>
      <c r="J20" s="1010"/>
      <c r="K20" s="937"/>
      <c r="L20" s="933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</row>
    <row r="21" spans="3:23" ht="18.75">
      <c r="C21" s="327"/>
      <c r="D21" s="327"/>
      <c r="E21" s="327"/>
      <c r="F21" s="327"/>
      <c r="G21" s="327"/>
      <c r="I21" s="937"/>
      <c r="J21" s="1010"/>
      <c r="K21" s="937"/>
      <c r="L21" s="933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</row>
    <row r="22" spans="3:23" ht="18.75">
      <c r="C22" s="327"/>
      <c r="D22" s="327"/>
      <c r="E22" s="327"/>
      <c r="F22" s="327"/>
      <c r="G22" s="327"/>
      <c r="I22" s="937"/>
      <c r="J22" s="1010"/>
      <c r="K22" s="937"/>
      <c r="L22" s="933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</row>
    <row r="23" spans="3:23" ht="15.75">
      <c r="C23" s="327"/>
      <c r="D23" s="327"/>
      <c r="E23" s="327"/>
      <c r="F23" s="327"/>
      <c r="G23" s="327"/>
      <c r="I23" s="937"/>
      <c r="J23" s="1007"/>
      <c r="K23" s="937"/>
      <c r="L23" s="933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</row>
    <row r="24" spans="3:23" ht="15.75">
      <c r="C24" s="327"/>
      <c r="D24" s="327"/>
      <c r="E24" s="327"/>
      <c r="F24" s="327"/>
      <c r="G24" s="327"/>
      <c r="I24" s="937"/>
      <c r="J24" s="1007"/>
      <c r="K24" s="937"/>
      <c r="L24" s="933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</row>
    <row r="25" spans="3:23" ht="15.75">
      <c r="C25" s="327"/>
      <c r="D25" s="327"/>
      <c r="E25" s="327"/>
      <c r="F25" s="327"/>
      <c r="G25" s="327"/>
      <c r="I25" s="937"/>
      <c r="J25" s="1007"/>
      <c r="K25" s="937"/>
      <c r="L25" s="933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</row>
    <row r="26" spans="3:23" ht="15.75">
      <c r="C26" s="323"/>
      <c r="D26" s="323"/>
      <c r="E26" s="323"/>
      <c r="F26" s="323"/>
      <c r="G26" s="327"/>
      <c r="I26" s="937"/>
      <c r="J26" s="1007"/>
      <c r="K26" s="937"/>
      <c r="L26" s="933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</row>
    <row r="27" spans="3:23" ht="15.75">
      <c r="C27" s="327"/>
      <c r="D27" s="327"/>
      <c r="E27" s="327"/>
      <c r="F27" s="327"/>
      <c r="G27" s="327"/>
      <c r="I27" s="937"/>
      <c r="J27" s="1007"/>
      <c r="K27" s="937"/>
      <c r="L27" s="933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</row>
    <row r="28" spans="3:23" ht="15.75">
      <c r="C28" s="327"/>
      <c r="D28" s="327"/>
      <c r="E28" s="327"/>
      <c r="F28" s="327"/>
      <c r="G28" s="327"/>
      <c r="I28" s="937"/>
      <c r="J28" s="1007"/>
      <c r="K28" s="937"/>
      <c r="L28" s="933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</row>
    <row r="29" spans="3:23" ht="15.75">
      <c r="C29" s="327"/>
      <c r="D29" s="327"/>
      <c r="E29" s="327"/>
      <c r="F29" s="327"/>
      <c r="G29" s="327"/>
      <c r="I29" s="937"/>
      <c r="J29" s="1007"/>
      <c r="K29" s="937"/>
      <c r="L29" s="933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</row>
    <row r="30" spans="3:23" ht="15.75">
      <c r="C30" s="327"/>
      <c r="D30" s="327"/>
      <c r="E30" s="327"/>
      <c r="F30" s="327"/>
      <c r="G30" s="327"/>
      <c r="I30" s="937"/>
      <c r="J30" s="1007"/>
      <c r="K30" s="937"/>
      <c r="L30" s="933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</row>
    <row r="31" spans="3:23" ht="15.75">
      <c r="C31" s="323"/>
      <c r="D31" s="327"/>
      <c r="E31" s="327"/>
      <c r="F31" s="327"/>
      <c r="G31" s="327"/>
      <c r="I31" s="937"/>
      <c r="J31" s="1007"/>
      <c r="K31" s="937"/>
      <c r="L31" s="933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</row>
    <row r="32" spans="3:23" ht="15.75">
      <c r="C32" s="327"/>
      <c r="D32" s="327"/>
      <c r="E32" s="327"/>
      <c r="F32" s="327"/>
      <c r="G32" s="327"/>
      <c r="I32" s="937"/>
      <c r="J32" s="1007"/>
      <c r="K32" s="937"/>
      <c r="L32" s="933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</row>
    <row r="33" spans="3:12" ht="15.75">
      <c r="C33" s="327"/>
      <c r="D33" s="327"/>
      <c r="E33" s="327"/>
      <c r="F33" s="327"/>
      <c r="G33" s="327"/>
      <c r="I33" s="937"/>
      <c r="J33" s="1007"/>
      <c r="K33" s="937"/>
      <c r="L33" s="933"/>
    </row>
    <row r="34" spans="3:12" ht="15.75">
      <c r="C34" s="327"/>
      <c r="D34" s="327"/>
      <c r="E34" s="327"/>
      <c r="F34" s="327"/>
      <c r="G34" s="327"/>
      <c r="I34" s="937"/>
      <c r="J34" s="1007"/>
      <c r="K34" s="937"/>
      <c r="L34" s="933"/>
    </row>
    <row r="35" spans="3:12" ht="15.75">
      <c r="C35" s="327"/>
      <c r="D35" s="327"/>
      <c r="E35" s="327"/>
      <c r="F35" s="327"/>
      <c r="G35" s="327"/>
      <c r="I35" s="937"/>
      <c r="J35" s="1007"/>
      <c r="K35" s="937"/>
      <c r="L35" s="933"/>
    </row>
    <row r="36" spans="3:12" ht="15.75">
      <c r="C36" s="327"/>
      <c r="D36" s="327"/>
      <c r="E36" s="327"/>
      <c r="F36" s="327"/>
      <c r="G36" s="327"/>
      <c r="I36" s="937"/>
      <c r="J36" s="1007"/>
      <c r="K36" s="937"/>
      <c r="L36" s="933"/>
    </row>
    <row r="37" spans="3:12" ht="15.75">
      <c r="C37" s="323"/>
      <c r="D37" s="327"/>
      <c r="E37" s="323"/>
      <c r="F37" s="327"/>
      <c r="G37" s="327"/>
      <c r="I37" s="937"/>
      <c r="J37" s="1007"/>
      <c r="K37" s="937"/>
      <c r="L37" s="933"/>
    </row>
    <row r="38" spans="3:12" ht="15.75">
      <c r="C38" s="327"/>
      <c r="D38" s="327"/>
      <c r="E38" s="327"/>
      <c r="F38" s="327"/>
      <c r="G38" s="327"/>
      <c r="I38" s="937"/>
      <c r="J38" s="1007"/>
      <c r="K38" s="937"/>
      <c r="L38" s="933"/>
    </row>
    <row r="39" spans="3:7" ht="15.75">
      <c r="C39" s="327"/>
      <c r="D39" s="327"/>
      <c r="E39" s="327"/>
      <c r="F39" s="327"/>
      <c r="G39" s="327"/>
    </row>
    <row r="40" spans="3:7" ht="15.75">
      <c r="C40" s="327"/>
      <c r="D40" s="327"/>
      <c r="E40" s="327"/>
      <c r="F40" s="327"/>
      <c r="G40" s="327"/>
    </row>
    <row r="41" spans="3:7" ht="15.75">
      <c r="C41" s="327"/>
      <c r="D41" s="327"/>
      <c r="E41" s="327"/>
      <c r="F41" s="327"/>
      <c r="G41" s="327"/>
    </row>
  </sheetData>
  <sheetProtection/>
  <mergeCells count="1">
    <mergeCell ref="G8:H8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2"/>
  <sheetViews>
    <sheetView workbookViewId="0" topLeftCell="A1">
      <selection activeCell="I13" sqref="I13"/>
    </sheetView>
  </sheetViews>
  <sheetFormatPr defaultColWidth="9.140625" defaultRowHeight="12.75"/>
  <cols>
    <col min="1" max="1" width="5.421875" style="54" customWidth="1"/>
    <col min="2" max="2" width="21.00390625" style="54" customWidth="1"/>
    <col min="3" max="3" width="33.57421875" style="188" customWidth="1"/>
    <col min="4" max="4" width="17.8515625" style="54" customWidth="1"/>
    <col min="5" max="5" width="17.57421875" style="54" customWidth="1"/>
    <col min="6" max="6" width="6.140625" style="63" customWidth="1"/>
    <col min="7" max="7" width="11.7109375" style="54" bestFit="1" customWidth="1"/>
    <col min="8" max="16384" width="9.140625" style="54" customWidth="1"/>
  </cols>
  <sheetData>
    <row r="1" spans="3:5" ht="19.5" customHeight="1">
      <c r="C1" s="484"/>
      <c r="D1" s="707"/>
      <c r="E1" s="707"/>
    </row>
    <row r="2" spans="3:5" ht="19.5" customHeight="1">
      <c r="C2" s="484"/>
      <c r="D2" s="161"/>
      <c r="E2" s="476" t="s">
        <v>788</v>
      </c>
    </row>
    <row r="3" ht="15" customHeight="1"/>
    <row r="4" ht="14.25" customHeight="1"/>
    <row r="5" spans="1:6" s="475" customFormat="1" ht="19.5" customHeight="1">
      <c r="A5" s="802" t="s">
        <v>135</v>
      </c>
      <c r="B5" s="803"/>
      <c r="C5" s="109"/>
      <c r="D5" s="54"/>
      <c r="E5" s="54"/>
      <c r="F5" s="63"/>
    </row>
    <row r="6" spans="1:6" s="475" customFormat="1" ht="19.5" customHeight="1">
      <c r="A6" s="802" t="s">
        <v>136</v>
      </c>
      <c r="B6" s="803"/>
      <c r="C6" s="109"/>
      <c r="D6" s="54"/>
      <c r="E6" s="54"/>
      <c r="F6" s="63"/>
    </row>
    <row r="7" spans="1:3" ht="18.75" customHeight="1">
      <c r="A7" s="802" t="s">
        <v>137</v>
      </c>
      <c r="B7" s="51"/>
      <c r="C7" s="109"/>
    </row>
    <row r="8" spans="1:2" ht="13.5">
      <c r="A8" s="487" t="s">
        <v>83</v>
      </c>
      <c r="B8" s="488"/>
    </row>
    <row r="9" spans="3:5" ht="11.25" customHeight="1">
      <c r="C9" s="804"/>
      <c r="D9" s="490"/>
      <c r="E9" s="490" t="s">
        <v>84</v>
      </c>
    </row>
    <row r="10" spans="1:6" ht="30.75" customHeight="1">
      <c r="A10" s="495" t="s">
        <v>85</v>
      </c>
      <c r="B10" s="495" t="s">
        <v>109</v>
      </c>
      <c r="C10" s="495" t="s">
        <v>110</v>
      </c>
      <c r="D10" s="649" t="s">
        <v>111</v>
      </c>
      <c r="E10" s="649" t="s">
        <v>96</v>
      </c>
      <c r="F10" s="649" t="s">
        <v>80</v>
      </c>
    </row>
    <row r="11" spans="1:6" s="51" customFormat="1" ht="22.5" customHeight="1">
      <c r="A11" s="638" t="s">
        <v>99</v>
      </c>
      <c r="B11" s="805"/>
      <c r="C11" s="806"/>
      <c r="D11" s="750">
        <f>D12+D24</f>
        <v>8941226.56</v>
      </c>
      <c r="E11" s="750">
        <f>E12+E24</f>
        <v>8528433.92</v>
      </c>
      <c r="F11" s="242">
        <f aca="true" t="shared" si="0" ref="F11:F26">E11*100/D11</f>
        <v>95.38326607395574</v>
      </c>
    </row>
    <row r="12" spans="1:6" s="51" customFormat="1" ht="24.75" customHeight="1">
      <c r="A12" s="7" t="s">
        <v>138</v>
      </c>
      <c r="B12" s="808"/>
      <c r="C12" s="809"/>
      <c r="D12" s="750">
        <f>D13</f>
        <v>1913680</v>
      </c>
      <c r="E12" s="750">
        <f>E13</f>
        <v>1661818</v>
      </c>
      <c r="F12" s="242">
        <f t="shared" si="0"/>
        <v>86.83886543204716</v>
      </c>
    </row>
    <row r="13" spans="1:7" s="51" customFormat="1" ht="30" customHeight="1">
      <c r="A13" s="810">
        <v>801</v>
      </c>
      <c r="B13" s="811" t="s">
        <v>499</v>
      </c>
      <c r="C13" s="169"/>
      <c r="D13" s="807">
        <f>SUM(D14:D23)</f>
        <v>1913680</v>
      </c>
      <c r="E13" s="807">
        <f>SUM(E14:E23)</f>
        <v>1661818</v>
      </c>
      <c r="F13" s="242">
        <f t="shared" si="0"/>
        <v>86.83886543204716</v>
      </c>
      <c r="G13" s="812"/>
    </row>
    <row r="14" spans="1:6" s="51" customFormat="1" ht="25.5" customHeight="1">
      <c r="A14" s="810"/>
      <c r="B14" s="813"/>
      <c r="C14" s="169" t="s">
        <v>139</v>
      </c>
      <c r="D14" s="759">
        <v>21250</v>
      </c>
      <c r="E14" s="759">
        <v>0</v>
      </c>
      <c r="F14" s="134">
        <f t="shared" si="0"/>
        <v>0</v>
      </c>
    </row>
    <row r="15" spans="1:6" s="51" customFormat="1" ht="17.25" customHeight="1">
      <c r="A15" s="814"/>
      <c r="B15" s="813"/>
      <c r="C15" s="2" t="s">
        <v>140</v>
      </c>
      <c r="D15" s="759">
        <f>348500-50776</f>
        <v>297724</v>
      </c>
      <c r="E15" s="759">
        <v>297724</v>
      </c>
      <c r="F15" s="134">
        <f t="shared" si="0"/>
        <v>100</v>
      </c>
    </row>
    <row r="16" spans="1:6" s="51" customFormat="1" ht="18" customHeight="1">
      <c r="A16" s="814"/>
      <c r="B16" s="813"/>
      <c r="C16" s="815" t="s">
        <v>141</v>
      </c>
      <c r="D16" s="759">
        <f>62000-16864</f>
        <v>45136</v>
      </c>
      <c r="E16" s="759">
        <v>45136</v>
      </c>
      <c r="F16" s="134">
        <f t="shared" si="0"/>
        <v>100</v>
      </c>
    </row>
    <row r="17" spans="1:6" s="51" customFormat="1" ht="18.75" customHeight="1">
      <c r="A17" s="814"/>
      <c r="B17" s="816"/>
      <c r="C17" s="2" t="s">
        <v>142</v>
      </c>
      <c r="D17" s="765">
        <f>622200-57566</f>
        <v>564634</v>
      </c>
      <c r="E17" s="765">
        <v>564634</v>
      </c>
      <c r="F17" s="134">
        <f t="shared" si="0"/>
        <v>100</v>
      </c>
    </row>
    <row r="18" spans="1:6" s="51" customFormat="1" ht="18.75" customHeight="1">
      <c r="A18" s="814"/>
      <c r="B18" s="816"/>
      <c r="C18" s="2" t="s">
        <v>143</v>
      </c>
      <c r="D18" s="765">
        <v>204000</v>
      </c>
      <c r="E18" s="765">
        <v>0</v>
      </c>
      <c r="F18" s="134">
        <f t="shared" si="0"/>
        <v>0</v>
      </c>
    </row>
    <row r="19" spans="1:6" s="51" customFormat="1" ht="18.75" customHeight="1">
      <c r="A19" s="814"/>
      <c r="B19" s="816"/>
      <c r="C19" s="2" t="s">
        <v>144</v>
      </c>
      <c r="D19" s="765">
        <f>113100+61696-12000-6000</f>
        <v>156796</v>
      </c>
      <c r="E19" s="765">
        <v>152012</v>
      </c>
      <c r="F19" s="134">
        <f t="shared" si="0"/>
        <v>96.9489017576979</v>
      </c>
    </row>
    <row r="20" spans="1:6" s="51" customFormat="1" ht="18.75" customHeight="1">
      <c r="A20" s="814"/>
      <c r="B20" s="816"/>
      <c r="C20" s="2" t="s">
        <v>145</v>
      </c>
      <c r="D20" s="765">
        <f>509040-31696-45148</f>
        <v>432196</v>
      </c>
      <c r="E20" s="765">
        <v>422176</v>
      </c>
      <c r="F20" s="134">
        <f t="shared" si="0"/>
        <v>97.68160741885626</v>
      </c>
    </row>
    <row r="21" spans="1:6" s="51" customFormat="1" ht="21" customHeight="1">
      <c r="A21" s="814"/>
      <c r="B21" s="816"/>
      <c r="C21" s="2" t="s">
        <v>146</v>
      </c>
      <c r="D21" s="765">
        <f>113100-41544-5000</f>
        <v>66556</v>
      </c>
      <c r="E21" s="765">
        <v>63368</v>
      </c>
      <c r="F21" s="134">
        <f t="shared" si="0"/>
        <v>95.21004868081015</v>
      </c>
    </row>
    <row r="22" spans="1:6" s="51" customFormat="1" ht="21" customHeight="1">
      <c r="A22" s="814"/>
      <c r="B22" s="816"/>
      <c r="C22" s="2" t="s">
        <v>147</v>
      </c>
      <c r="D22" s="817">
        <f>113100-30000</f>
        <v>83100</v>
      </c>
      <c r="E22" s="765">
        <v>79032</v>
      </c>
      <c r="F22" s="134">
        <f t="shared" si="0"/>
        <v>95.10469314079423</v>
      </c>
    </row>
    <row r="23" spans="1:6" s="51" customFormat="1" ht="21" customHeight="1">
      <c r="A23" s="814"/>
      <c r="B23" s="816"/>
      <c r="C23" s="39" t="s">
        <v>148</v>
      </c>
      <c r="D23" s="817">
        <f>54288-11000-1000</f>
        <v>42288</v>
      </c>
      <c r="E23" s="765">
        <v>37736</v>
      </c>
      <c r="F23" s="134">
        <f t="shared" si="0"/>
        <v>89.23571698827091</v>
      </c>
    </row>
    <row r="24" spans="1:6" s="51" customFormat="1" ht="24.75" customHeight="1">
      <c r="A24" s="7" t="s">
        <v>117</v>
      </c>
      <c r="B24" s="808"/>
      <c r="C24" s="809"/>
      <c r="D24" s="818">
        <f>D25+D63+D73+D78+D81+D85+D90</f>
        <v>7027546.5600000005</v>
      </c>
      <c r="E24" s="818">
        <f>E25+E63+E73+E78+E81+E85+E90</f>
        <v>6866615.92</v>
      </c>
      <c r="F24" s="242">
        <f t="shared" si="0"/>
        <v>97.71000250761767</v>
      </c>
    </row>
    <row r="25" spans="1:6" s="51" customFormat="1" ht="21.75" customHeight="1">
      <c r="A25" s="88">
        <v>851</v>
      </c>
      <c r="B25" s="697" t="s">
        <v>82</v>
      </c>
      <c r="C25" s="58"/>
      <c r="D25" s="819">
        <f>SUM(D26:D60)</f>
        <v>805000</v>
      </c>
      <c r="E25" s="819">
        <f>E26+E29+E38+E41+E44+E54+E57+E60</f>
        <v>805000</v>
      </c>
      <c r="F25" s="130">
        <f t="shared" si="0"/>
        <v>100</v>
      </c>
    </row>
    <row r="26" spans="1:7" s="51" customFormat="1" ht="40.5" customHeight="1">
      <c r="A26" s="78"/>
      <c r="B26" s="821"/>
      <c r="C26" s="822" t="s">
        <v>149</v>
      </c>
      <c r="D26" s="823">
        <v>95000</v>
      </c>
      <c r="E26" s="823">
        <v>95000</v>
      </c>
      <c r="F26" s="130">
        <f t="shared" si="0"/>
        <v>100</v>
      </c>
      <c r="G26" s="812"/>
    </row>
    <row r="27" spans="1:7" s="51" customFormat="1" ht="19.5" customHeight="1">
      <c r="A27" s="824"/>
      <c r="B27" s="365"/>
      <c r="C27" s="825" t="s">
        <v>150</v>
      </c>
      <c r="D27" s="826"/>
      <c r="E27" s="826"/>
      <c r="F27" s="112"/>
      <c r="G27" s="812"/>
    </row>
    <row r="28" spans="1:7" s="51" customFormat="1" ht="27" customHeight="1">
      <c r="A28" s="87"/>
      <c r="B28" s="828"/>
      <c r="C28" s="4" t="s">
        <v>151</v>
      </c>
      <c r="D28" s="829"/>
      <c r="E28" s="829"/>
      <c r="F28" s="115"/>
      <c r="G28" s="812"/>
    </row>
    <row r="29" spans="1:6" s="51" customFormat="1" ht="27.75" customHeight="1">
      <c r="A29" s="87"/>
      <c r="B29" s="830"/>
      <c r="C29" s="798" t="s">
        <v>152</v>
      </c>
      <c r="D29" s="827">
        <v>410000</v>
      </c>
      <c r="E29" s="827">
        <f>SUM(E31:E37)</f>
        <v>410000</v>
      </c>
      <c r="F29" s="112">
        <f>E29*100/D29</f>
        <v>100</v>
      </c>
    </row>
    <row r="30" spans="1:7" s="51" customFormat="1" ht="19.5" customHeight="1">
      <c r="A30" s="824"/>
      <c r="B30" s="365"/>
      <c r="C30" s="825" t="s">
        <v>150</v>
      </c>
      <c r="D30" s="826"/>
      <c r="E30" s="826"/>
      <c r="F30" s="112"/>
      <c r="G30" s="812"/>
    </row>
    <row r="31" spans="1:6" s="51" customFormat="1" ht="27.75" customHeight="1">
      <c r="A31" s="87"/>
      <c r="B31" s="828"/>
      <c r="C31" s="2" t="s">
        <v>153</v>
      </c>
      <c r="D31" s="820"/>
      <c r="E31" s="831">
        <v>98000</v>
      </c>
      <c r="F31" s="130"/>
    </row>
    <row r="32" spans="1:6" s="51" customFormat="1" ht="27.75" customHeight="1">
      <c r="A32" s="87"/>
      <c r="B32" s="828"/>
      <c r="C32" s="2" t="s">
        <v>154</v>
      </c>
      <c r="D32" s="827"/>
      <c r="E32" s="831">
        <v>86000</v>
      </c>
      <c r="F32" s="112"/>
    </row>
    <row r="33" spans="1:6" s="51" customFormat="1" ht="27.75" customHeight="1">
      <c r="A33" s="87"/>
      <c r="B33" s="828"/>
      <c r="C33" s="2" t="s">
        <v>155</v>
      </c>
      <c r="D33" s="827"/>
      <c r="E33" s="831">
        <v>45000</v>
      </c>
      <c r="F33" s="112"/>
    </row>
    <row r="34" spans="1:6" s="51" customFormat="1" ht="27.75" customHeight="1">
      <c r="A34" s="87"/>
      <c r="B34" s="828"/>
      <c r="C34" s="3" t="s">
        <v>156</v>
      </c>
      <c r="D34" s="827"/>
      <c r="E34" s="831">
        <v>50000</v>
      </c>
      <c r="F34" s="112"/>
    </row>
    <row r="35" spans="1:6" s="51" customFormat="1" ht="27.75" customHeight="1">
      <c r="A35" s="87"/>
      <c r="B35" s="828"/>
      <c r="C35" s="3" t="s">
        <v>157</v>
      </c>
      <c r="D35" s="827"/>
      <c r="E35" s="831">
        <v>36000</v>
      </c>
      <c r="F35" s="112"/>
    </row>
    <row r="36" spans="1:6" s="51" customFormat="1" ht="27.75" customHeight="1">
      <c r="A36" s="87"/>
      <c r="B36" s="828"/>
      <c r="C36" s="3" t="s">
        <v>158</v>
      </c>
      <c r="D36" s="827"/>
      <c r="E36" s="831">
        <v>50000</v>
      </c>
      <c r="F36" s="112"/>
    </row>
    <row r="37" spans="1:6" s="51" customFormat="1" ht="27.75" customHeight="1">
      <c r="A37" s="87"/>
      <c r="B37" s="828"/>
      <c r="C37" s="3" t="s">
        <v>159</v>
      </c>
      <c r="D37" s="762"/>
      <c r="E37" s="831">
        <v>45000</v>
      </c>
      <c r="F37" s="115"/>
    </row>
    <row r="38" spans="1:6" s="51" customFormat="1" ht="63" customHeight="1">
      <c r="A38" s="87"/>
      <c r="B38" s="828"/>
      <c r="C38" s="822" t="s">
        <v>160</v>
      </c>
      <c r="D38" s="832">
        <v>50000</v>
      </c>
      <c r="E38" s="823">
        <v>50000</v>
      </c>
      <c r="F38" s="112">
        <f>E38*100/D38</f>
        <v>100</v>
      </c>
    </row>
    <row r="39" spans="1:7" s="51" customFormat="1" ht="19.5" customHeight="1">
      <c r="A39" s="824"/>
      <c r="B39" s="365"/>
      <c r="C39" s="825" t="s">
        <v>150</v>
      </c>
      <c r="D39" s="826"/>
      <c r="E39" s="826"/>
      <c r="F39" s="112"/>
      <c r="G39" s="812"/>
    </row>
    <row r="40" spans="1:6" s="51" customFormat="1" ht="21" customHeight="1">
      <c r="A40" s="87"/>
      <c r="B40" s="828"/>
      <c r="C40" s="4" t="s">
        <v>155</v>
      </c>
      <c r="D40" s="829"/>
      <c r="E40" s="829"/>
      <c r="F40" s="115"/>
    </row>
    <row r="41" spans="1:6" s="51" customFormat="1" ht="31.5" customHeight="1">
      <c r="A41" s="87"/>
      <c r="B41" s="828"/>
      <c r="C41" s="833" t="s">
        <v>161</v>
      </c>
      <c r="D41" s="832">
        <v>10000</v>
      </c>
      <c r="E41" s="832">
        <v>10000</v>
      </c>
      <c r="F41" s="112">
        <f>E41*100/D41</f>
        <v>100</v>
      </c>
    </row>
    <row r="42" spans="1:7" s="51" customFormat="1" ht="19.5" customHeight="1">
      <c r="A42" s="824"/>
      <c r="B42" s="365"/>
      <c r="C42" s="825" t="s">
        <v>150</v>
      </c>
      <c r="D42" s="826"/>
      <c r="E42" s="826"/>
      <c r="F42" s="112"/>
      <c r="G42" s="812"/>
    </row>
    <row r="43" spans="1:6" s="51" customFormat="1" ht="31.5" customHeight="1">
      <c r="A43" s="87"/>
      <c r="B43" s="828"/>
      <c r="C43" s="4" t="s">
        <v>162</v>
      </c>
      <c r="D43" s="829"/>
      <c r="E43" s="829"/>
      <c r="F43" s="112"/>
    </row>
    <row r="44" spans="1:6" s="51" customFormat="1" ht="57.75" customHeight="1">
      <c r="A44" s="87"/>
      <c r="B44" s="830"/>
      <c r="C44" s="798" t="s">
        <v>163</v>
      </c>
      <c r="D44" s="827">
        <f>35000+65000+15000-13050</f>
        <v>101950</v>
      </c>
      <c r="E44" s="832">
        <f>SUM(E46:E53)</f>
        <v>101950</v>
      </c>
      <c r="F44" s="130">
        <f>E44*100/D44</f>
        <v>100</v>
      </c>
    </row>
    <row r="45" spans="1:7" s="51" customFormat="1" ht="19.5" customHeight="1">
      <c r="A45" s="824"/>
      <c r="B45" s="365"/>
      <c r="C45" s="825" t="s">
        <v>150</v>
      </c>
      <c r="D45" s="826"/>
      <c r="E45" s="826"/>
      <c r="F45" s="115"/>
      <c r="G45" s="812"/>
    </row>
    <row r="46" spans="1:6" s="51" customFormat="1" ht="36" customHeight="1">
      <c r="A46" s="87"/>
      <c r="B46" s="828"/>
      <c r="C46" s="3" t="s">
        <v>164</v>
      </c>
      <c r="D46" s="820"/>
      <c r="E46" s="834">
        <v>10000</v>
      </c>
      <c r="F46" s="112"/>
    </row>
    <row r="47" spans="1:6" s="51" customFormat="1" ht="36" customHeight="1">
      <c r="A47" s="87"/>
      <c r="B47" s="828"/>
      <c r="C47" s="14" t="s">
        <v>165</v>
      </c>
      <c r="D47" s="827"/>
      <c r="E47" s="834">
        <v>10000</v>
      </c>
      <c r="F47" s="112"/>
    </row>
    <row r="48" spans="1:6" s="51" customFormat="1" ht="36" customHeight="1">
      <c r="A48" s="87"/>
      <c r="B48" s="828"/>
      <c r="C48" s="3" t="s">
        <v>166</v>
      </c>
      <c r="D48" s="827"/>
      <c r="E48" s="834">
        <v>11000</v>
      </c>
      <c r="F48" s="112"/>
    </row>
    <row r="49" spans="1:6" s="51" customFormat="1" ht="36" customHeight="1">
      <c r="A49" s="87"/>
      <c r="B49" s="828"/>
      <c r="C49" s="14" t="s">
        <v>167</v>
      </c>
      <c r="D49" s="827"/>
      <c r="E49" s="834">
        <v>4000</v>
      </c>
      <c r="F49" s="112"/>
    </row>
    <row r="50" spans="1:6" s="51" customFormat="1" ht="36" customHeight="1">
      <c r="A50" s="87"/>
      <c r="B50" s="828"/>
      <c r="C50" s="3" t="s">
        <v>168</v>
      </c>
      <c r="D50" s="827"/>
      <c r="E50" s="834">
        <v>16000</v>
      </c>
      <c r="F50" s="112"/>
    </row>
    <row r="51" spans="1:6" s="51" customFormat="1" ht="36" customHeight="1">
      <c r="A51" s="87"/>
      <c r="B51" s="828"/>
      <c r="C51" s="14" t="s">
        <v>169</v>
      </c>
      <c r="D51" s="827"/>
      <c r="E51" s="834">
        <v>16000</v>
      </c>
      <c r="F51" s="112"/>
    </row>
    <row r="52" spans="1:6" s="51" customFormat="1" ht="36" customHeight="1">
      <c r="A52" s="87"/>
      <c r="B52" s="828"/>
      <c r="C52" s="3" t="s">
        <v>170</v>
      </c>
      <c r="D52" s="827"/>
      <c r="E52" s="831">
        <v>20950</v>
      </c>
      <c r="F52" s="112"/>
    </row>
    <row r="53" spans="1:6" s="51" customFormat="1" ht="36" customHeight="1">
      <c r="A53" s="87"/>
      <c r="B53" s="828"/>
      <c r="C53" s="14" t="s">
        <v>171</v>
      </c>
      <c r="D53" s="762"/>
      <c r="E53" s="831">
        <v>14000</v>
      </c>
      <c r="F53" s="112"/>
    </row>
    <row r="54" spans="1:6" s="51" customFormat="1" ht="52.5" customHeight="1">
      <c r="A54" s="87"/>
      <c r="B54" s="828"/>
      <c r="C54" s="822" t="s">
        <v>172</v>
      </c>
      <c r="D54" s="832">
        <f>94000+13050</f>
        <v>107050</v>
      </c>
      <c r="E54" s="823">
        <v>107050</v>
      </c>
      <c r="F54" s="130">
        <f>E54*100/D54</f>
        <v>100</v>
      </c>
    </row>
    <row r="55" spans="1:7" s="51" customFormat="1" ht="19.5" customHeight="1">
      <c r="A55" s="824"/>
      <c r="B55" s="365"/>
      <c r="C55" s="825" t="s">
        <v>150</v>
      </c>
      <c r="D55" s="826"/>
      <c r="E55" s="826"/>
      <c r="F55" s="112"/>
      <c r="G55" s="812"/>
    </row>
    <row r="56" spans="1:6" s="51" customFormat="1" ht="42.75" customHeight="1">
      <c r="A56" s="87"/>
      <c r="B56" s="828"/>
      <c r="C56" s="4" t="s">
        <v>173</v>
      </c>
      <c r="D56" s="829"/>
      <c r="E56" s="829"/>
      <c r="F56" s="115"/>
    </row>
    <row r="57" spans="1:6" s="51" customFormat="1" ht="25.5" customHeight="1">
      <c r="A57" s="87"/>
      <c r="B57" s="830"/>
      <c r="C57" s="798" t="s">
        <v>174</v>
      </c>
      <c r="D57" s="827">
        <v>25000</v>
      </c>
      <c r="E57" s="827">
        <v>25000</v>
      </c>
      <c r="F57" s="112">
        <f>E57*100/D57</f>
        <v>100</v>
      </c>
    </row>
    <row r="58" spans="1:7" s="51" customFormat="1" ht="19.5" customHeight="1">
      <c r="A58" s="824"/>
      <c r="B58" s="365"/>
      <c r="C58" s="825" t="s">
        <v>150</v>
      </c>
      <c r="D58" s="826"/>
      <c r="E58" s="826"/>
      <c r="F58" s="112"/>
      <c r="G58" s="812"/>
    </row>
    <row r="59" spans="1:6" s="51" customFormat="1" ht="25.5" customHeight="1">
      <c r="A59" s="87"/>
      <c r="B59" s="828"/>
      <c r="C59" s="835" t="s">
        <v>175</v>
      </c>
      <c r="D59" s="832"/>
      <c r="E59" s="832"/>
      <c r="F59" s="112"/>
    </row>
    <row r="60" spans="1:6" s="51" customFormat="1" ht="21" customHeight="1">
      <c r="A60" s="87"/>
      <c r="B60" s="828"/>
      <c r="C60" s="822" t="s">
        <v>176</v>
      </c>
      <c r="D60" s="823">
        <v>6000</v>
      </c>
      <c r="E60" s="823">
        <v>6000</v>
      </c>
      <c r="F60" s="130">
        <f>E60*100/D60</f>
        <v>100</v>
      </c>
    </row>
    <row r="61" spans="1:7" s="51" customFormat="1" ht="19.5" customHeight="1">
      <c r="A61" s="824"/>
      <c r="B61" s="365"/>
      <c r="C61" s="825" t="s">
        <v>150</v>
      </c>
      <c r="D61" s="826"/>
      <c r="E61" s="826"/>
      <c r="F61" s="112"/>
      <c r="G61" s="812"/>
    </row>
    <row r="62" spans="1:6" s="51" customFormat="1" ht="21" customHeight="1">
      <c r="A62" s="87"/>
      <c r="B62" s="828"/>
      <c r="C62" s="4" t="s">
        <v>155</v>
      </c>
      <c r="D62" s="829"/>
      <c r="E62" s="829"/>
      <c r="F62" s="115"/>
    </row>
    <row r="63" spans="1:7" s="51" customFormat="1" ht="21" customHeight="1">
      <c r="A63" s="78">
        <v>852</v>
      </c>
      <c r="B63" s="545" t="s">
        <v>279</v>
      </c>
      <c r="C63" s="345"/>
      <c r="D63" s="836">
        <f>SUM(D64:D70)</f>
        <v>1525000</v>
      </c>
      <c r="E63" s="836">
        <f>SUM(E64:E70)</f>
        <v>1525000</v>
      </c>
      <c r="F63" s="181">
        <f>E63*100/D63</f>
        <v>100</v>
      </c>
      <c r="G63" s="65"/>
    </row>
    <row r="64" spans="1:7" s="51" customFormat="1" ht="27" customHeight="1">
      <c r="A64" s="838"/>
      <c r="B64" s="545"/>
      <c r="C64" s="360" t="s">
        <v>177</v>
      </c>
      <c r="D64" s="823">
        <v>1250000</v>
      </c>
      <c r="E64" s="823">
        <v>1250000</v>
      </c>
      <c r="F64" s="130">
        <f>E64*100/D64</f>
        <v>100</v>
      </c>
      <c r="G64" s="839"/>
    </row>
    <row r="65" spans="1:7" s="51" customFormat="1" ht="19.5" customHeight="1">
      <c r="A65" s="824"/>
      <c r="B65" s="365"/>
      <c r="C65" s="825" t="s">
        <v>150</v>
      </c>
      <c r="D65" s="826"/>
      <c r="E65" s="826"/>
      <c r="F65" s="112"/>
      <c r="G65" s="812"/>
    </row>
    <row r="66" spans="1:7" s="51" customFormat="1" ht="27" customHeight="1">
      <c r="A66" s="90"/>
      <c r="B66" s="767"/>
      <c r="C66" s="840" t="s">
        <v>178</v>
      </c>
      <c r="D66" s="829"/>
      <c r="E66" s="829"/>
      <c r="F66" s="115"/>
      <c r="G66" s="839"/>
    </row>
    <row r="67" spans="1:7" s="51" customFormat="1" ht="26.25" customHeight="1">
      <c r="A67" s="90"/>
      <c r="B67" s="772"/>
      <c r="C67" s="841" t="s">
        <v>179</v>
      </c>
      <c r="D67" s="842">
        <v>190000</v>
      </c>
      <c r="E67" s="827">
        <v>190000</v>
      </c>
      <c r="F67" s="112">
        <f>E67*100/D67</f>
        <v>100</v>
      </c>
      <c r="G67" s="839"/>
    </row>
    <row r="68" spans="1:7" s="51" customFormat="1" ht="19.5" customHeight="1">
      <c r="A68" s="824"/>
      <c r="B68" s="365"/>
      <c r="C68" s="775" t="s">
        <v>150</v>
      </c>
      <c r="D68" s="843"/>
      <c r="E68" s="826"/>
      <c r="F68" s="112"/>
      <c r="G68" s="812"/>
    </row>
    <row r="69" spans="1:7" s="51" customFormat="1" ht="26.25" customHeight="1">
      <c r="A69" s="90"/>
      <c r="B69" s="772"/>
      <c r="C69" s="40" t="s">
        <v>180</v>
      </c>
      <c r="D69" s="844"/>
      <c r="E69" s="832"/>
      <c r="F69" s="112"/>
      <c r="G69" s="839"/>
    </row>
    <row r="70" spans="1:7" s="51" customFormat="1" ht="39" customHeight="1">
      <c r="A70" s="90"/>
      <c r="B70" s="772"/>
      <c r="C70" s="845" t="s">
        <v>181</v>
      </c>
      <c r="D70" s="823">
        <v>85000</v>
      </c>
      <c r="E70" s="823">
        <v>85000</v>
      </c>
      <c r="F70" s="130">
        <f>E70*100/D70</f>
        <v>100</v>
      </c>
      <c r="G70" s="839"/>
    </row>
    <row r="71" spans="1:7" s="51" customFormat="1" ht="16.5" customHeight="1">
      <c r="A71" s="90"/>
      <c r="B71" s="772"/>
      <c r="C71" s="845" t="s">
        <v>150</v>
      </c>
      <c r="D71" s="832"/>
      <c r="E71" s="832"/>
      <c r="F71" s="112"/>
      <c r="G71" s="839"/>
    </row>
    <row r="72" spans="1:7" s="51" customFormat="1" ht="40.5" customHeight="1">
      <c r="A72" s="90"/>
      <c r="B72" s="772"/>
      <c r="C72" s="846" t="s">
        <v>182</v>
      </c>
      <c r="D72" s="829"/>
      <c r="E72" s="829"/>
      <c r="F72" s="115"/>
      <c r="G72" s="839"/>
    </row>
    <row r="73" spans="1:7" s="51" customFormat="1" ht="39" customHeight="1">
      <c r="A73" s="77">
        <v>853</v>
      </c>
      <c r="B73" s="218" t="s">
        <v>523</v>
      </c>
      <c r="C73" s="847"/>
      <c r="D73" s="768">
        <f>SUM(D74:D77)</f>
        <v>1814912.42</v>
      </c>
      <c r="E73" s="768">
        <f>SUM(E74:E77)</f>
        <v>1707976.89</v>
      </c>
      <c r="F73" s="921">
        <f aca="true" t="shared" si="1" ref="F73:F91">E73*100/D73</f>
        <v>94.1079509500519</v>
      </c>
      <c r="G73" s="65"/>
    </row>
    <row r="74" spans="1:7" s="51" customFormat="1" ht="33.75" customHeight="1">
      <c r="A74" s="90"/>
      <c r="B74" s="767"/>
      <c r="C74" s="848" t="s">
        <v>183</v>
      </c>
      <c r="D74" s="759">
        <f>336000-100000-100000-60000</f>
        <v>76000</v>
      </c>
      <c r="E74" s="759">
        <v>0</v>
      </c>
      <c r="F74" s="134">
        <f t="shared" si="1"/>
        <v>0</v>
      </c>
      <c r="G74" s="839"/>
    </row>
    <row r="75" spans="1:7" s="51" customFormat="1" ht="32.25" customHeight="1">
      <c r="A75" s="90"/>
      <c r="B75" s="767"/>
      <c r="C75" s="848" t="s">
        <v>184</v>
      </c>
      <c r="D75" s="759">
        <f>14400-500</f>
        <v>13900</v>
      </c>
      <c r="E75" s="759">
        <v>0</v>
      </c>
      <c r="F75" s="134">
        <f t="shared" si="1"/>
        <v>0</v>
      </c>
      <c r="G75" s="839"/>
    </row>
    <row r="76" spans="1:7" s="51" customFormat="1" ht="48.75" customHeight="1">
      <c r="A76" s="90"/>
      <c r="B76" s="767"/>
      <c r="C76" s="849" t="s">
        <v>185</v>
      </c>
      <c r="D76" s="759">
        <f>1530000+270000-13285.57-2344.51-221000</f>
        <v>1563369.92</v>
      </c>
      <c r="E76" s="759">
        <f>1320217.83+232979.63</f>
        <v>1553197.46</v>
      </c>
      <c r="F76" s="134">
        <f t="shared" si="1"/>
        <v>99.3493248226242</v>
      </c>
      <c r="G76" s="839"/>
    </row>
    <row r="77" spans="1:7" s="51" customFormat="1" ht="48.75" customHeight="1">
      <c r="A77" s="90"/>
      <c r="B77" s="767"/>
      <c r="C77" s="849" t="s">
        <v>186</v>
      </c>
      <c r="D77" s="759">
        <f>198426.12+35016.38-61030-10770</f>
        <v>161642.5</v>
      </c>
      <c r="E77" s="759">
        <f>131562.51+23216.92</f>
        <v>154779.43</v>
      </c>
      <c r="F77" s="134">
        <f t="shared" si="1"/>
        <v>95.75416737553552</v>
      </c>
      <c r="G77" s="839"/>
    </row>
    <row r="78" spans="1:7" s="51" customFormat="1" ht="37.5" customHeight="1">
      <c r="A78" s="850">
        <v>854</v>
      </c>
      <c r="B78" s="811" t="s">
        <v>309</v>
      </c>
      <c r="C78" s="849"/>
      <c r="D78" s="807">
        <f>SUM(D79:D80)</f>
        <v>634.14</v>
      </c>
      <c r="E78" s="807">
        <f>SUM(E79:E80)</f>
        <v>634.14</v>
      </c>
      <c r="F78" s="242">
        <f t="shared" si="1"/>
        <v>100</v>
      </c>
      <c r="G78" s="839"/>
    </row>
    <row r="79" spans="1:7" s="51" customFormat="1" ht="37.5" customHeight="1">
      <c r="A79" s="851"/>
      <c r="B79" s="852"/>
      <c r="C79" s="849" t="s">
        <v>187</v>
      </c>
      <c r="D79" s="759">
        <v>292.74</v>
      </c>
      <c r="E79" s="759">
        <v>292.74</v>
      </c>
      <c r="F79" s="134">
        <f t="shared" si="1"/>
        <v>100</v>
      </c>
      <c r="G79" s="839"/>
    </row>
    <row r="80" spans="1:7" s="51" customFormat="1" ht="36" customHeight="1">
      <c r="A80" s="90"/>
      <c r="B80" s="767"/>
      <c r="C80" s="849" t="s">
        <v>188</v>
      </c>
      <c r="D80" s="759">
        <v>341.4</v>
      </c>
      <c r="E80" s="759">
        <v>341.4</v>
      </c>
      <c r="F80" s="134">
        <f t="shared" si="1"/>
        <v>100</v>
      </c>
      <c r="G80" s="839"/>
    </row>
    <row r="81" spans="1:6" s="51" customFormat="1" ht="43.5" customHeight="1">
      <c r="A81" s="78">
        <v>900</v>
      </c>
      <c r="B81" s="756" t="s">
        <v>189</v>
      </c>
      <c r="C81" s="788"/>
      <c r="D81" s="750">
        <f>SUM(D82:D84)</f>
        <v>712000</v>
      </c>
      <c r="E81" s="750">
        <f>SUM(E82:E84)</f>
        <v>673844.8899999999</v>
      </c>
      <c r="F81" s="242">
        <f t="shared" si="1"/>
        <v>94.64113623595503</v>
      </c>
    </row>
    <row r="82" spans="1:7" s="51" customFormat="1" ht="64.5" customHeight="1">
      <c r="A82" s="853"/>
      <c r="B82" s="854"/>
      <c r="C82" s="681" t="s">
        <v>190</v>
      </c>
      <c r="D82" s="759">
        <f>270000+10000-30000+15000-3000</f>
        <v>262000</v>
      </c>
      <c r="E82" s="759">
        <v>260000</v>
      </c>
      <c r="F82" s="134">
        <f t="shared" si="1"/>
        <v>99.23664122137404</v>
      </c>
      <c r="G82" s="812"/>
    </row>
    <row r="83" spans="1:7" s="51" customFormat="1" ht="45" customHeight="1">
      <c r="A83" s="91"/>
      <c r="B83" s="855"/>
      <c r="C83" s="856" t="s">
        <v>122</v>
      </c>
      <c r="D83" s="759">
        <f>30000-10000</f>
        <v>20000</v>
      </c>
      <c r="E83" s="759">
        <v>9789.92</v>
      </c>
      <c r="F83" s="134">
        <f t="shared" si="1"/>
        <v>48.9496</v>
      </c>
      <c r="G83" s="812"/>
    </row>
    <row r="84" spans="1:7" s="51" customFormat="1" ht="45" customHeight="1">
      <c r="A84" s="857"/>
      <c r="B84" s="858"/>
      <c r="C84" s="856" t="s">
        <v>191</v>
      </c>
      <c r="D84" s="759">
        <f>100000+50000+280000</f>
        <v>430000</v>
      </c>
      <c r="E84" s="759">
        <v>404054.97</v>
      </c>
      <c r="F84" s="134">
        <f t="shared" si="1"/>
        <v>93.96627209302325</v>
      </c>
      <c r="G84" s="812"/>
    </row>
    <row r="85" spans="1:7" s="71" customFormat="1" ht="42.75" customHeight="1">
      <c r="A85" s="90">
        <v>921</v>
      </c>
      <c r="B85" s="859" t="s">
        <v>101</v>
      </c>
      <c r="C85" s="860"/>
      <c r="D85" s="750">
        <f>SUM(D86:D89)</f>
        <v>230000</v>
      </c>
      <c r="E85" s="750">
        <f>SUM(E86:E89)</f>
        <v>230000</v>
      </c>
      <c r="F85" s="242">
        <f t="shared" si="1"/>
        <v>100</v>
      </c>
      <c r="G85" s="812"/>
    </row>
    <row r="86" spans="1:6" s="51" customFormat="1" ht="50.25" customHeight="1">
      <c r="A86" s="853"/>
      <c r="B86" s="854"/>
      <c r="C86" s="34" t="s">
        <v>192</v>
      </c>
      <c r="D86" s="759">
        <v>50000</v>
      </c>
      <c r="E86" s="759">
        <v>50000</v>
      </c>
      <c r="F86" s="134">
        <f t="shared" si="1"/>
        <v>100</v>
      </c>
    </row>
    <row r="87" spans="1:6" s="51" customFormat="1" ht="39" customHeight="1">
      <c r="A87" s="91"/>
      <c r="B87" s="855"/>
      <c r="C87" s="34" t="s">
        <v>193</v>
      </c>
      <c r="D87" s="759">
        <v>50000</v>
      </c>
      <c r="E87" s="759">
        <v>50000</v>
      </c>
      <c r="F87" s="134">
        <f t="shared" si="1"/>
        <v>100</v>
      </c>
    </row>
    <row r="88" spans="1:6" s="51" customFormat="1" ht="33.75" customHeight="1">
      <c r="A88" s="91"/>
      <c r="B88" s="855"/>
      <c r="C88" s="34" t="s">
        <v>194</v>
      </c>
      <c r="D88" s="759">
        <v>100000</v>
      </c>
      <c r="E88" s="759">
        <v>100000</v>
      </c>
      <c r="F88" s="134">
        <f t="shared" si="1"/>
        <v>100</v>
      </c>
    </row>
    <row r="89" spans="1:7" s="51" customFormat="1" ht="33.75" customHeight="1">
      <c r="A89" s="857"/>
      <c r="B89" s="858"/>
      <c r="C89" s="861" t="s">
        <v>195</v>
      </c>
      <c r="D89" s="765">
        <v>30000</v>
      </c>
      <c r="E89" s="765">
        <v>30000</v>
      </c>
      <c r="F89" s="134">
        <f t="shared" si="1"/>
        <v>100</v>
      </c>
      <c r="G89" s="812"/>
    </row>
    <row r="90" spans="1:6" s="51" customFormat="1" ht="29.25" customHeight="1">
      <c r="A90" s="87">
        <v>926</v>
      </c>
      <c r="B90" s="862" t="s">
        <v>196</v>
      </c>
      <c r="C90" s="788"/>
      <c r="D90" s="750">
        <f>SUM(D91:D121)</f>
        <v>1940000</v>
      </c>
      <c r="E90" s="750">
        <f>E91+E107+E121</f>
        <v>1924160</v>
      </c>
      <c r="F90" s="242">
        <f t="shared" si="1"/>
        <v>99.18350515463918</v>
      </c>
    </row>
    <row r="91" spans="1:7" s="51" customFormat="1" ht="93" customHeight="1">
      <c r="A91" s="82"/>
      <c r="B91" s="863"/>
      <c r="C91" s="756" t="s">
        <v>197</v>
      </c>
      <c r="D91" s="817">
        <f>1780000+10000</f>
        <v>1790000</v>
      </c>
      <c r="E91" s="817">
        <f>SUM(E93:E106)</f>
        <v>1790000</v>
      </c>
      <c r="F91" s="130">
        <f t="shared" si="1"/>
        <v>100</v>
      </c>
      <c r="G91" s="812"/>
    </row>
    <row r="92" spans="1:7" s="51" customFormat="1" ht="19.5" customHeight="1">
      <c r="A92" s="824"/>
      <c r="B92" s="365"/>
      <c r="C92" s="864" t="s">
        <v>150</v>
      </c>
      <c r="D92" s="826"/>
      <c r="E92" s="865"/>
      <c r="F92" s="112"/>
      <c r="G92" s="812"/>
    </row>
    <row r="93" spans="1:7" s="51" customFormat="1" ht="32.25" customHeight="1">
      <c r="A93" s="81"/>
      <c r="B93" s="866"/>
      <c r="C93" s="867" t="s">
        <v>198</v>
      </c>
      <c r="D93" s="817"/>
      <c r="E93" s="868">
        <v>377100</v>
      </c>
      <c r="F93" s="130"/>
      <c r="G93" s="812"/>
    </row>
    <row r="94" spans="1:7" s="51" customFormat="1" ht="32.25" customHeight="1">
      <c r="A94" s="81"/>
      <c r="B94" s="866"/>
      <c r="C94" s="867" t="s">
        <v>199</v>
      </c>
      <c r="D94" s="869"/>
      <c r="E94" s="868">
        <v>125500</v>
      </c>
      <c r="F94" s="112"/>
      <c r="G94" s="812"/>
    </row>
    <row r="95" spans="1:7" s="51" customFormat="1" ht="32.25" customHeight="1">
      <c r="A95" s="81"/>
      <c r="B95" s="866"/>
      <c r="C95" s="867" t="s">
        <v>200</v>
      </c>
      <c r="D95" s="869"/>
      <c r="E95" s="868">
        <v>301400</v>
      </c>
      <c r="F95" s="112"/>
      <c r="G95" s="812"/>
    </row>
    <row r="96" spans="1:7" s="51" customFormat="1" ht="32.25" customHeight="1">
      <c r="A96" s="81"/>
      <c r="B96" s="866"/>
      <c r="C96" s="867" t="s">
        <v>201</v>
      </c>
      <c r="D96" s="869"/>
      <c r="E96" s="868">
        <v>308400</v>
      </c>
      <c r="F96" s="112"/>
      <c r="G96" s="812"/>
    </row>
    <row r="97" spans="1:7" s="51" customFormat="1" ht="32.25" customHeight="1">
      <c r="A97" s="81"/>
      <c r="B97" s="866"/>
      <c r="C97" s="867" t="s">
        <v>202</v>
      </c>
      <c r="D97" s="869"/>
      <c r="E97" s="868">
        <v>203700</v>
      </c>
      <c r="F97" s="112"/>
      <c r="G97" s="812"/>
    </row>
    <row r="98" spans="1:7" s="51" customFormat="1" ht="32.25" customHeight="1">
      <c r="A98" s="81"/>
      <c r="B98" s="866"/>
      <c r="C98" s="867" t="s">
        <v>203</v>
      </c>
      <c r="D98" s="869"/>
      <c r="E98" s="868">
        <v>130300</v>
      </c>
      <c r="F98" s="112"/>
      <c r="G98" s="812"/>
    </row>
    <row r="99" spans="1:7" s="51" customFormat="1" ht="32.25" customHeight="1">
      <c r="A99" s="81"/>
      <c r="B99" s="866"/>
      <c r="C99" s="867" t="s">
        <v>204</v>
      </c>
      <c r="D99" s="869"/>
      <c r="E99" s="868">
        <v>89400</v>
      </c>
      <c r="F99" s="112"/>
      <c r="G99" s="812"/>
    </row>
    <row r="100" spans="1:7" s="51" customFormat="1" ht="32.25" customHeight="1">
      <c r="A100" s="81"/>
      <c r="B100" s="866"/>
      <c r="C100" s="867" t="s">
        <v>205</v>
      </c>
      <c r="D100" s="869"/>
      <c r="E100" s="868">
        <v>50900</v>
      </c>
      <c r="F100" s="112"/>
      <c r="G100" s="812"/>
    </row>
    <row r="101" spans="1:7" s="51" customFormat="1" ht="32.25" customHeight="1">
      <c r="A101" s="81"/>
      <c r="B101" s="866"/>
      <c r="C101" s="870" t="s">
        <v>206</v>
      </c>
      <c r="D101" s="869"/>
      <c r="E101" s="868">
        <v>12300</v>
      </c>
      <c r="F101" s="112"/>
      <c r="G101" s="812"/>
    </row>
    <row r="102" spans="1:7" s="51" customFormat="1" ht="32.25" customHeight="1">
      <c r="A102" s="81"/>
      <c r="B102" s="866"/>
      <c r="C102" s="867" t="s">
        <v>207</v>
      </c>
      <c r="D102" s="869"/>
      <c r="E102" s="868">
        <v>91100</v>
      </c>
      <c r="F102" s="112"/>
      <c r="G102" s="812"/>
    </row>
    <row r="103" spans="1:7" s="51" customFormat="1" ht="32.25" customHeight="1">
      <c r="A103" s="81"/>
      <c r="B103" s="866"/>
      <c r="C103" s="867" t="s">
        <v>208</v>
      </c>
      <c r="D103" s="869"/>
      <c r="E103" s="868">
        <v>35000</v>
      </c>
      <c r="F103" s="112"/>
      <c r="G103" s="812"/>
    </row>
    <row r="104" spans="1:7" s="51" customFormat="1" ht="32.25" customHeight="1">
      <c r="A104" s="81"/>
      <c r="B104" s="866"/>
      <c r="C104" s="867" t="s">
        <v>209</v>
      </c>
      <c r="D104" s="869"/>
      <c r="E104" s="868">
        <v>25600</v>
      </c>
      <c r="F104" s="112"/>
      <c r="G104" s="812"/>
    </row>
    <row r="105" spans="1:7" s="51" customFormat="1" ht="32.25" customHeight="1">
      <c r="A105" s="81"/>
      <c r="B105" s="866"/>
      <c r="C105" s="867" t="s">
        <v>210</v>
      </c>
      <c r="D105" s="869"/>
      <c r="E105" s="868">
        <v>23000</v>
      </c>
      <c r="F105" s="112"/>
      <c r="G105" s="812"/>
    </row>
    <row r="106" spans="1:7" s="51" customFormat="1" ht="32.25" customHeight="1">
      <c r="A106" s="81"/>
      <c r="B106" s="866"/>
      <c r="C106" s="867" t="s">
        <v>211</v>
      </c>
      <c r="D106" s="871"/>
      <c r="E106" s="868">
        <v>16300</v>
      </c>
      <c r="F106" s="115"/>
      <c r="G106" s="812"/>
    </row>
    <row r="107" spans="1:7" s="51" customFormat="1" ht="38.25" customHeight="1">
      <c r="A107" s="824"/>
      <c r="B107" s="365"/>
      <c r="C107" s="872" t="s">
        <v>212</v>
      </c>
      <c r="D107" s="826">
        <v>130000</v>
      </c>
      <c r="E107" s="873">
        <f>SUM(E109:E120)</f>
        <v>114160</v>
      </c>
      <c r="F107" s="112">
        <f>E107*100/D107</f>
        <v>87.81538461538462</v>
      </c>
      <c r="G107" s="812"/>
    </row>
    <row r="108" spans="1:7" s="51" customFormat="1" ht="19.5" customHeight="1">
      <c r="A108" s="824"/>
      <c r="B108" s="365"/>
      <c r="C108" s="864" t="s">
        <v>150</v>
      </c>
      <c r="D108" s="826"/>
      <c r="E108" s="865"/>
      <c r="F108" s="112"/>
      <c r="G108" s="812"/>
    </row>
    <row r="109" spans="1:7" s="51" customFormat="1" ht="29.25" customHeight="1">
      <c r="A109" s="824"/>
      <c r="B109" s="874"/>
      <c r="C109" s="875" t="s">
        <v>213</v>
      </c>
      <c r="D109" s="817"/>
      <c r="E109" s="876">
        <v>12000</v>
      </c>
      <c r="F109" s="130"/>
      <c r="G109" s="812"/>
    </row>
    <row r="110" spans="1:7" s="51" customFormat="1" ht="30.75" customHeight="1">
      <c r="A110" s="824"/>
      <c r="B110" s="874"/>
      <c r="C110" s="867" t="s">
        <v>214</v>
      </c>
      <c r="D110" s="869"/>
      <c r="E110" s="877">
        <v>10000</v>
      </c>
      <c r="F110" s="112"/>
      <c r="G110" s="812"/>
    </row>
    <row r="111" spans="1:7" s="51" customFormat="1" ht="31.5" customHeight="1">
      <c r="A111" s="824"/>
      <c r="B111" s="874"/>
      <c r="C111" s="867" t="s">
        <v>215</v>
      </c>
      <c r="D111" s="869"/>
      <c r="E111" s="877">
        <v>12000</v>
      </c>
      <c r="F111" s="112"/>
      <c r="G111" s="812"/>
    </row>
    <row r="112" spans="1:7" s="51" customFormat="1" ht="30.75" customHeight="1">
      <c r="A112" s="824"/>
      <c r="B112" s="874"/>
      <c r="C112" s="867" t="s">
        <v>206</v>
      </c>
      <c r="D112" s="869"/>
      <c r="E112" s="877">
        <v>15000</v>
      </c>
      <c r="F112" s="112"/>
      <c r="G112" s="812"/>
    </row>
    <row r="113" spans="1:7" s="51" customFormat="1" ht="30.75" customHeight="1">
      <c r="A113" s="824"/>
      <c r="B113" s="874"/>
      <c r="C113" s="867" t="s">
        <v>216</v>
      </c>
      <c r="D113" s="869"/>
      <c r="E113" s="877">
        <v>9000</v>
      </c>
      <c r="F113" s="112"/>
      <c r="G113" s="812"/>
    </row>
    <row r="114" spans="1:7" s="51" customFormat="1" ht="28.5" customHeight="1">
      <c r="A114" s="824"/>
      <c r="B114" s="874"/>
      <c r="C114" s="867" t="s">
        <v>217</v>
      </c>
      <c r="D114" s="869"/>
      <c r="E114" s="877">
        <v>10000</v>
      </c>
      <c r="F114" s="112"/>
      <c r="G114" s="812"/>
    </row>
    <row r="115" spans="1:7" s="51" customFormat="1" ht="30.75" customHeight="1">
      <c r="A115" s="824"/>
      <c r="B115" s="874"/>
      <c r="C115" s="867" t="s">
        <v>218</v>
      </c>
      <c r="D115" s="869"/>
      <c r="E115" s="877">
        <v>2660</v>
      </c>
      <c r="F115" s="112"/>
      <c r="G115" s="812"/>
    </row>
    <row r="116" spans="1:7" s="51" customFormat="1" ht="30.75" customHeight="1">
      <c r="A116" s="824"/>
      <c r="B116" s="874"/>
      <c r="C116" s="867" t="s">
        <v>219</v>
      </c>
      <c r="D116" s="869"/>
      <c r="E116" s="877">
        <v>8000</v>
      </c>
      <c r="F116" s="112"/>
      <c r="G116" s="812"/>
    </row>
    <row r="117" spans="1:7" s="51" customFormat="1" ht="33" customHeight="1">
      <c r="A117" s="824"/>
      <c r="B117" s="874"/>
      <c r="C117" s="867" t="s">
        <v>220</v>
      </c>
      <c r="D117" s="869"/>
      <c r="E117" s="877">
        <v>9000</v>
      </c>
      <c r="F117" s="112"/>
      <c r="G117" s="812"/>
    </row>
    <row r="118" spans="1:7" s="51" customFormat="1" ht="29.25" customHeight="1">
      <c r="A118" s="824"/>
      <c r="B118" s="874"/>
      <c r="C118" s="867" t="s">
        <v>209</v>
      </c>
      <c r="D118" s="869"/>
      <c r="E118" s="877">
        <v>5000</v>
      </c>
      <c r="F118" s="112"/>
      <c r="G118" s="812"/>
    </row>
    <row r="119" spans="1:7" s="51" customFormat="1" ht="38.25" customHeight="1">
      <c r="A119" s="824"/>
      <c r="B119" s="874"/>
      <c r="C119" s="867" t="s">
        <v>221</v>
      </c>
      <c r="D119" s="869"/>
      <c r="E119" s="877">
        <v>1500</v>
      </c>
      <c r="F119" s="112"/>
      <c r="G119" s="812"/>
    </row>
    <row r="120" spans="1:7" s="51" customFormat="1" ht="29.25" customHeight="1">
      <c r="A120" s="824"/>
      <c r="B120" s="874"/>
      <c r="C120" s="867" t="s">
        <v>222</v>
      </c>
      <c r="D120" s="871"/>
      <c r="E120" s="868">
        <v>20000</v>
      </c>
      <c r="F120" s="112"/>
      <c r="G120" s="812"/>
    </row>
    <row r="121" spans="1:11" s="51" customFormat="1" ht="34.5" customHeight="1">
      <c r="A121" s="824"/>
      <c r="B121" s="365"/>
      <c r="C121" s="872" t="s">
        <v>223</v>
      </c>
      <c r="D121" s="826">
        <v>20000</v>
      </c>
      <c r="E121" s="873">
        <f>SUM(E123:E125)</f>
        <v>20000</v>
      </c>
      <c r="F121" s="130">
        <f>E121*100/D121</f>
        <v>100</v>
      </c>
      <c r="G121" s="812"/>
      <c r="H121" s="492"/>
      <c r="I121" s="492"/>
      <c r="J121" s="492"/>
      <c r="K121" s="492"/>
    </row>
    <row r="122" spans="1:7" s="51" customFormat="1" ht="19.5" customHeight="1">
      <c r="A122" s="824"/>
      <c r="B122" s="365"/>
      <c r="C122" s="864" t="s">
        <v>150</v>
      </c>
      <c r="D122" s="826"/>
      <c r="E122" s="865"/>
      <c r="F122" s="112"/>
      <c r="G122" s="812"/>
    </row>
    <row r="123" spans="1:11" s="51" customFormat="1" ht="34.5" customHeight="1">
      <c r="A123" s="824"/>
      <c r="B123" s="365"/>
      <c r="C123" s="878" t="s">
        <v>224</v>
      </c>
      <c r="D123" s="817"/>
      <c r="E123" s="876">
        <v>15000</v>
      </c>
      <c r="F123" s="130"/>
      <c r="G123" s="812"/>
      <c r="H123" s="492"/>
      <c r="I123" s="492"/>
      <c r="J123" s="492"/>
      <c r="K123" s="492"/>
    </row>
    <row r="124" spans="1:11" s="51" customFormat="1" ht="34.5" customHeight="1">
      <c r="A124" s="824"/>
      <c r="B124" s="365"/>
      <c r="C124" s="878" t="s">
        <v>225</v>
      </c>
      <c r="D124" s="869"/>
      <c r="E124" s="876">
        <v>3000</v>
      </c>
      <c r="F124" s="112"/>
      <c r="G124" s="812"/>
      <c r="H124" s="492"/>
      <c r="I124" s="492"/>
      <c r="J124" s="492"/>
      <c r="K124" s="492"/>
    </row>
    <row r="125" spans="1:11" s="51" customFormat="1" ht="34.5" customHeight="1">
      <c r="A125" s="879"/>
      <c r="B125" s="365"/>
      <c r="C125" s="878" t="s">
        <v>226</v>
      </c>
      <c r="D125" s="871"/>
      <c r="E125" s="876">
        <v>2000</v>
      </c>
      <c r="F125" s="115"/>
      <c r="G125" s="812"/>
      <c r="H125" s="492"/>
      <c r="I125" s="492"/>
      <c r="J125" s="492"/>
      <c r="K125" s="492"/>
    </row>
    <row r="126" spans="1:11" s="882" customFormat="1" ht="24.75" customHeight="1">
      <c r="A126" s="779" t="s">
        <v>129</v>
      </c>
      <c r="B126" s="880"/>
      <c r="C126" s="785"/>
      <c r="D126" s="782">
        <f>D127+D150</f>
        <v>10029492</v>
      </c>
      <c r="E126" s="782">
        <f>E127+E150</f>
        <v>9952787.559999999</v>
      </c>
      <c r="F126" s="921">
        <f aca="true" t="shared" si="2" ref="F126:F142">E126*100/D126</f>
        <v>99.23521111537852</v>
      </c>
      <c r="G126" s="881"/>
      <c r="H126" s="881"/>
      <c r="I126" s="881"/>
      <c r="J126" s="881"/>
      <c r="K126" s="881"/>
    </row>
    <row r="127" spans="1:11" s="882" customFormat="1" ht="27.75" customHeight="1">
      <c r="A127" s="366" t="s">
        <v>138</v>
      </c>
      <c r="B127" s="883"/>
      <c r="C127" s="884"/>
      <c r="D127" s="885">
        <f>D128+D141+D148</f>
        <v>9599492</v>
      </c>
      <c r="E127" s="754">
        <f>E128+E141+E148</f>
        <v>9522787.559999999</v>
      </c>
      <c r="F127" s="242">
        <f t="shared" si="2"/>
        <v>99.20095313376999</v>
      </c>
      <c r="G127" s="881"/>
      <c r="H127" s="881"/>
      <c r="I127" s="881"/>
      <c r="J127" s="881"/>
      <c r="K127" s="881"/>
    </row>
    <row r="128" spans="1:11" s="51" customFormat="1" ht="30" customHeight="1">
      <c r="A128" s="810">
        <v>801</v>
      </c>
      <c r="B128" s="886" t="s">
        <v>499</v>
      </c>
      <c r="C128" s="2"/>
      <c r="D128" s="807">
        <f>SUM(D129:D140)</f>
        <v>7962467</v>
      </c>
      <c r="E128" s="807">
        <f>SUM(E129:E140)</f>
        <v>7888372</v>
      </c>
      <c r="F128" s="242">
        <f t="shared" si="2"/>
        <v>99.0694466928403</v>
      </c>
      <c r="G128" s="887"/>
      <c r="H128" s="888"/>
      <c r="I128" s="492"/>
      <c r="J128" s="492"/>
      <c r="K128" s="492"/>
    </row>
    <row r="129" spans="1:11" s="51" customFormat="1" ht="18.75" customHeight="1">
      <c r="A129" s="889"/>
      <c r="B129" s="890"/>
      <c r="C129" s="815" t="s">
        <v>227</v>
      </c>
      <c r="D129" s="765">
        <f>250000+1000000+100000+148126+540128+14823+49593</f>
        <v>2102670</v>
      </c>
      <c r="E129" s="765">
        <f>512949+1589721</f>
        <v>2102670</v>
      </c>
      <c r="F129" s="134">
        <f t="shared" si="2"/>
        <v>100</v>
      </c>
      <c r="G129" s="492"/>
      <c r="H129" s="492"/>
      <c r="I129" s="492"/>
      <c r="J129" s="492"/>
      <c r="K129" s="492"/>
    </row>
    <row r="130" spans="1:11" s="51" customFormat="1" ht="27" customHeight="1">
      <c r="A130" s="891"/>
      <c r="B130" s="107"/>
      <c r="C130" s="2" t="s">
        <v>228</v>
      </c>
      <c r="D130" s="765">
        <f>460000+900000-527439-265654-25776</f>
        <v>541131</v>
      </c>
      <c r="E130" s="765">
        <f>194346+346785</f>
        <v>541131</v>
      </c>
      <c r="F130" s="134">
        <f t="shared" si="2"/>
        <v>100</v>
      </c>
      <c r="G130" s="492"/>
      <c r="H130" s="492"/>
      <c r="I130" s="492"/>
      <c r="J130" s="492"/>
      <c r="K130" s="492"/>
    </row>
    <row r="131" spans="1:11" s="51" customFormat="1" ht="19.5" customHeight="1">
      <c r="A131" s="891"/>
      <c r="B131" s="107"/>
      <c r="C131" s="815" t="s">
        <v>229</v>
      </c>
      <c r="D131" s="765">
        <v>250000</v>
      </c>
      <c r="E131" s="765">
        <v>177186</v>
      </c>
      <c r="F131" s="134">
        <f t="shared" si="2"/>
        <v>70.8744</v>
      </c>
      <c r="G131" s="492"/>
      <c r="H131" s="492"/>
      <c r="I131" s="492"/>
      <c r="J131" s="492"/>
      <c r="K131" s="492"/>
    </row>
    <row r="132" spans="1:11" s="51" customFormat="1" ht="26.25" customHeight="1">
      <c r="A132" s="891"/>
      <c r="B132" s="107"/>
      <c r="C132" s="892" t="s">
        <v>230</v>
      </c>
      <c r="D132" s="765">
        <f>530000+52672-26718</f>
        <v>555954</v>
      </c>
      <c r="E132" s="765">
        <v>555405</v>
      </c>
      <c r="F132" s="134">
        <f t="shared" si="2"/>
        <v>99.90125082290982</v>
      </c>
      <c r="G132" s="492"/>
      <c r="H132" s="492"/>
      <c r="I132" s="492"/>
      <c r="J132" s="492"/>
      <c r="K132" s="492"/>
    </row>
    <row r="133" spans="1:11" s="51" customFormat="1" ht="18" customHeight="1">
      <c r="A133" s="891"/>
      <c r="B133" s="107"/>
      <c r="C133" s="892" t="s">
        <v>140</v>
      </c>
      <c r="D133" s="765">
        <f>150000+500000+250000-153500+14883-1098-43575+3272</f>
        <v>719982</v>
      </c>
      <c r="E133" s="765">
        <f>163785+302925+253272</f>
        <v>719982</v>
      </c>
      <c r="F133" s="134">
        <f t="shared" si="2"/>
        <v>100</v>
      </c>
      <c r="G133" s="492"/>
      <c r="H133" s="492"/>
      <c r="I133" s="492"/>
      <c r="J133" s="492"/>
      <c r="K133" s="492"/>
    </row>
    <row r="134" spans="1:11" s="51" customFormat="1" ht="30.75" customHeight="1">
      <c r="A134" s="891"/>
      <c r="B134" s="107"/>
      <c r="C134" s="892" t="s">
        <v>231</v>
      </c>
      <c r="D134" s="765">
        <f>270000+250000+180000-117218+174519-5235-4316</f>
        <v>747750</v>
      </c>
      <c r="E134" s="765">
        <f>619284+128466</f>
        <v>747750</v>
      </c>
      <c r="F134" s="134">
        <f t="shared" si="2"/>
        <v>100</v>
      </c>
      <c r="G134" s="492"/>
      <c r="H134" s="492"/>
      <c r="I134" s="492"/>
      <c r="J134" s="492"/>
      <c r="K134" s="492"/>
    </row>
    <row r="135" spans="1:11" s="51" customFormat="1" ht="18" customHeight="1">
      <c r="A135" s="891"/>
      <c r="B135" s="107"/>
      <c r="C135" s="893" t="s">
        <v>232</v>
      </c>
      <c r="D135" s="765">
        <f>500000+800000+68454+183000+10724+20938</f>
        <v>1583116</v>
      </c>
      <c r="E135" s="765">
        <f>579178+1003938</f>
        <v>1583116</v>
      </c>
      <c r="F135" s="134">
        <f t="shared" si="2"/>
        <v>100</v>
      </c>
      <c r="G135" s="492"/>
      <c r="H135" s="492"/>
      <c r="I135" s="492"/>
      <c r="J135" s="492"/>
      <c r="K135" s="492"/>
    </row>
    <row r="136" spans="1:11" s="51" customFormat="1" ht="30.75" customHeight="1">
      <c r="A136" s="891"/>
      <c r="B136" s="107"/>
      <c r="C136" s="892" t="s">
        <v>233</v>
      </c>
      <c r="D136" s="765">
        <f>300000-180000-46617-12261</f>
        <v>61122</v>
      </c>
      <c r="E136" s="765">
        <v>60939</v>
      </c>
      <c r="F136" s="134">
        <f t="shared" si="2"/>
        <v>99.7005988023952</v>
      </c>
      <c r="G136" s="492"/>
      <c r="H136" s="492"/>
      <c r="I136" s="492"/>
      <c r="J136" s="492"/>
      <c r="K136" s="492"/>
    </row>
    <row r="137" spans="1:11" s="51" customFormat="1" ht="18" customHeight="1">
      <c r="A137" s="891"/>
      <c r="B137" s="107"/>
      <c r="C137" s="893" t="s">
        <v>234</v>
      </c>
      <c r="D137" s="765">
        <f>270000+270000+87069-29172-13212</f>
        <v>584685</v>
      </c>
      <c r="E137" s="765">
        <f>240828+343857</f>
        <v>584685</v>
      </c>
      <c r="F137" s="134">
        <f t="shared" si="2"/>
        <v>100</v>
      </c>
      <c r="G137" s="492"/>
      <c r="H137" s="492"/>
      <c r="I137" s="492"/>
      <c r="J137" s="492"/>
      <c r="K137" s="492"/>
    </row>
    <row r="138" spans="1:11" s="51" customFormat="1" ht="22.5" customHeight="1">
      <c r="A138" s="891"/>
      <c r="B138" s="107"/>
      <c r="C138" s="892" t="s">
        <v>235</v>
      </c>
      <c r="D138" s="765">
        <f>120000-33258-1098</f>
        <v>85644</v>
      </c>
      <c r="E138" s="765">
        <v>85644</v>
      </c>
      <c r="F138" s="134">
        <f t="shared" si="2"/>
        <v>100</v>
      </c>
      <c r="G138" s="492"/>
      <c r="H138" s="492"/>
      <c r="I138" s="492"/>
      <c r="J138" s="492"/>
      <c r="K138" s="492"/>
    </row>
    <row r="139" spans="1:11" s="51" customFormat="1" ht="27" customHeight="1">
      <c r="A139" s="891"/>
      <c r="B139" s="107"/>
      <c r="C139" s="894" t="s">
        <v>236</v>
      </c>
      <c r="D139" s="765">
        <f>950000-321826+1772</f>
        <v>629946</v>
      </c>
      <c r="E139" s="765">
        <v>629946</v>
      </c>
      <c r="F139" s="134">
        <f t="shared" si="2"/>
        <v>100</v>
      </c>
      <c r="G139" s="895"/>
      <c r="H139" s="492"/>
      <c r="I139" s="492"/>
      <c r="J139" s="492"/>
      <c r="K139" s="492"/>
    </row>
    <row r="140" spans="1:11" s="51" customFormat="1" ht="30.75" customHeight="1">
      <c r="A140" s="896"/>
      <c r="B140" s="897"/>
      <c r="C140" s="892" t="s">
        <v>237</v>
      </c>
      <c r="D140" s="765">
        <f>250000-100000-44226-5307</f>
        <v>100467</v>
      </c>
      <c r="E140" s="765">
        <f>99918</f>
        <v>99918</v>
      </c>
      <c r="F140" s="134">
        <f t="shared" si="2"/>
        <v>99.4535519125683</v>
      </c>
      <c r="G140" s="492"/>
      <c r="H140" s="492"/>
      <c r="I140" s="492"/>
      <c r="J140" s="492"/>
      <c r="K140" s="492"/>
    </row>
    <row r="141" spans="1:11" s="51" customFormat="1" ht="44.25" customHeight="1">
      <c r="A141" s="78">
        <v>853</v>
      </c>
      <c r="B141" s="886" t="s">
        <v>523</v>
      </c>
      <c r="C141" s="861"/>
      <c r="D141" s="819">
        <f>SUM(D142:D142)</f>
        <v>308105</v>
      </c>
      <c r="E141" s="819">
        <f>SUM(E142:E142)</f>
        <v>305495.56</v>
      </c>
      <c r="F141" s="234">
        <f t="shared" si="2"/>
        <v>99.15306794761526</v>
      </c>
      <c r="G141" s="492"/>
      <c r="H141" s="492"/>
      <c r="I141" s="492"/>
      <c r="J141" s="492"/>
      <c r="K141" s="492"/>
    </row>
    <row r="142" spans="1:11" s="51" customFormat="1" ht="36.75" customHeight="1">
      <c r="A142" s="838"/>
      <c r="B142" s="886"/>
      <c r="C142" s="898" t="s">
        <v>238</v>
      </c>
      <c r="D142" s="823">
        <v>308105</v>
      </c>
      <c r="E142" s="820">
        <f>SUM(E144:E147)</f>
        <v>305495.56</v>
      </c>
      <c r="F142" s="122">
        <f t="shared" si="2"/>
        <v>99.15306794761526</v>
      </c>
      <c r="G142" s="895"/>
      <c r="H142" s="492"/>
      <c r="I142" s="492"/>
      <c r="J142" s="492"/>
      <c r="K142" s="492"/>
    </row>
    <row r="143" spans="1:11" s="51" customFormat="1" ht="19.5" customHeight="1">
      <c r="A143" s="90"/>
      <c r="B143" s="852"/>
      <c r="C143" s="899" t="s">
        <v>150</v>
      </c>
      <c r="D143" s="829"/>
      <c r="E143" s="762"/>
      <c r="F143" s="179"/>
      <c r="G143" s="895"/>
      <c r="H143" s="492"/>
      <c r="I143" s="492"/>
      <c r="J143" s="492"/>
      <c r="K143" s="492"/>
    </row>
    <row r="144" spans="1:11" s="51" customFormat="1" ht="36.75" customHeight="1">
      <c r="A144" s="90"/>
      <c r="B144" s="852"/>
      <c r="C144" s="900" t="s">
        <v>239</v>
      </c>
      <c r="D144" s="820"/>
      <c r="E144" s="901">
        <v>41777.56</v>
      </c>
      <c r="F144" s="130"/>
      <c r="G144" s="895"/>
      <c r="H144" s="492"/>
      <c r="I144" s="492"/>
      <c r="J144" s="492"/>
      <c r="K144" s="492"/>
    </row>
    <row r="145" spans="1:11" s="51" customFormat="1" ht="36.75" customHeight="1">
      <c r="A145" s="90"/>
      <c r="B145" s="852"/>
      <c r="C145" s="318" t="s">
        <v>240</v>
      </c>
      <c r="D145" s="827"/>
      <c r="E145" s="901">
        <v>62666</v>
      </c>
      <c r="F145" s="112"/>
      <c r="G145" s="895"/>
      <c r="H145" s="492"/>
      <c r="I145" s="492"/>
      <c r="J145" s="492"/>
      <c r="K145" s="492"/>
    </row>
    <row r="146" spans="1:11" s="51" customFormat="1" ht="36.75" customHeight="1">
      <c r="A146" s="90"/>
      <c r="B146" s="852"/>
      <c r="C146" s="902" t="s">
        <v>241</v>
      </c>
      <c r="D146" s="827"/>
      <c r="E146" s="829">
        <v>70499</v>
      </c>
      <c r="F146" s="112"/>
      <c r="G146" s="895"/>
      <c r="H146" s="492"/>
      <c r="I146" s="492"/>
      <c r="J146" s="492"/>
      <c r="K146" s="492"/>
    </row>
    <row r="147" spans="1:11" s="51" customFormat="1" ht="36.75" customHeight="1">
      <c r="A147" s="903"/>
      <c r="B147" s="904"/>
      <c r="C147" s="900" t="s">
        <v>242</v>
      </c>
      <c r="D147" s="762"/>
      <c r="E147" s="901">
        <v>130553</v>
      </c>
      <c r="F147" s="115"/>
      <c r="G147" s="895"/>
      <c r="H147" s="492"/>
      <c r="I147" s="492"/>
      <c r="J147" s="492"/>
      <c r="K147" s="492"/>
    </row>
    <row r="148" spans="1:11" s="51" customFormat="1" ht="33.75" customHeight="1">
      <c r="A148" s="717">
        <v>854</v>
      </c>
      <c r="B148" s="904" t="s">
        <v>309</v>
      </c>
      <c r="C148" s="2"/>
      <c r="D148" s="837">
        <f>D149</f>
        <v>1328920</v>
      </c>
      <c r="E148" s="807">
        <f>E149</f>
        <v>1328920</v>
      </c>
      <c r="F148" s="921">
        <f aca="true" t="shared" si="3" ref="F148:F171">E148*100/D148</f>
        <v>100</v>
      </c>
      <c r="G148" s="492"/>
      <c r="H148" s="492"/>
      <c r="I148" s="492"/>
      <c r="J148" s="492"/>
      <c r="K148" s="492"/>
    </row>
    <row r="149" spans="1:11" s="51" customFormat="1" ht="32.25" customHeight="1">
      <c r="A149" s="905"/>
      <c r="B149" s="906"/>
      <c r="C149" s="2" t="s">
        <v>240</v>
      </c>
      <c r="D149" s="759">
        <f>1300000+5233+23687</f>
        <v>1328920</v>
      </c>
      <c r="E149" s="759">
        <v>1328920</v>
      </c>
      <c r="F149" s="134">
        <f t="shared" si="3"/>
        <v>100</v>
      </c>
      <c r="G149" s="895"/>
      <c r="H149" s="492"/>
      <c r="I149" s="492"/>
      <c r="J149" s="492"/>
      <c r="K149" s="492"/>
    </row>
    <row r="150" spans="1:11" s="493" customFormat="1" ht="23.25" customHeight="1">
      <c r="A150" s="7" t="s">
        <v>117</v>
      </c>
      <c r="B150" s="907"/>
      <c r="C150" s="163"/>
      <c r="D150" s="754">
        <f>D151+D161</f>
        <v>430000</v>
      </c>
      <c r="E150" s="754">
        <f>E151+E161</f>
        <v>430000</v>
      </c>
      <c r="F150" s="242">
        <f t="shared" si="3"/>
        <v>100</v>
      </c>
      <c r="G150" s="908"/>
      <c r="H150" s="908"/>
      <c r="I150" s="908"/>
      <c r="J150" s="908"/>
      <c r="K150" s="908"/>
    </row>
    <row r="151" spans="1:11" s="51" customFormat="1" ht="25.5" customHeight="1">
      <c r="A151" s="87">
        <v>630</v>
      </c>
      <c r="B151" s="909" t="s">
        <v>791</v>
      </c>
      <c r="C151" s="910" t="s">
        <v>83</v>
      </c>
      <c r="D151" s="819">
        <f>SUM(D152:D158)</f>
        <v>70000</v>
      </c>
      <c r="E151" s="819">
        <f>SUM(E152:E158)</f>
        <v>70000</v>
      </c>
      <c r="F151" s="234">
        <f t="shared" si="3"/>
        <v>100</v>
      </c>
      <c r="G151" s="888"/>
      <c r="H151" s="492"/>
      <c r="I151" s="492"/>
      <c r="J151" s="492"/>
      <c r="K151" s="492"/>
    </row>
    <row r="152" spans="1:11" s="51" customFormat="1" ht="37.5" customHeight="1">
      <c r="A152" s="838"/>
      <c r="B152" s="911"/>
      <c r="C152" s="872" t="s">
        <v>243</v>
      </c>
      <c r="D152" s="823">
        <v>40000</v>
      </c>
      <c r="E152" s="823">
        <v>40000</v>
      </c>
      <c r="F152" s="130">
        <f t="shared" si="3"/>
        <v>100</v>
      </c>
      <c r="G152" s="895"/>
      <c r="H152" s="492"/>
      <c r="I152" s="492"/>
      <c r="J152" s="492"/>
      <c r="K152" s="492"/>
    </row>
    <row r="153" spans="1:11" s="51" customFormat="1" ht="19.5" customHeight="1">
      <c r="A153" s="90"/>
      <c r="B153" s="912"/>
      <c r="C153" s="825" t="s">
        <v>150</v>
      </c>
      <c r="D153" s="832"/>
      <c r="E153" s="832"/>
      <c r="F153" s="112"/>
      <c r="G153" s="895"/>
      <c r="H153" s="492"/>
      <c r="I153" s="492"/>
      <c r="J153" s="492"/>
      <c r="K153" s="492"/>
    </row>
    <row r="154" spans="1:11" s="51" customFormat="1" ht="24" customHeight="1">
      <c r="A154" s="90"/>
      <c r="B154" s="913"/>
      <c r="C154" s="875" t="s">
        <v>244</v>
      </c>
      <c r="D154" s="832"/>
      <c r="E154" s="832"/>
      <c r="F154" s="112"/>
      <c r="G154" s="895"/>
      <c r="H154" s="492"/>
      <c r="I154" s="492"/>
      <c r="J154" s="492"/>
      <c r="K154" s="492"/>
    </row>
    <row r="155" spans="1:11" s="51" customFormat="1" ht="57" customHeight="1">
      <c r="A155" s="91"/>
      <c r="B155" s="59"/>
      <c r="C155" s="872" t="s">
        <v>245</v>
      </c>
      <c r="D155" s="823">
        <v>26000</v>
      </c>
      <c r="E155" s="823">
        <v>26000</v>
      </c>
      <c r="F155" s="130">
        <f t="shared" si="3"/>
        <v>100</v>
      </c>
      <c r="G155" s="895"/>
      <c r="H155" s="492"/>
      <c r="I155" s="492"/>
      <c r="J155" s="492"/>
      <c r="K155" s="492"/>
    </row>
    <row r="156" spans="1:11" s="51" customFormat="1" ht="19.5" customHeight="1">
      <c r="A156" s="90"/>
      <c r="B156" s="912"/>
      <c r="C156" s="825" t="s">
        <v>150</v>
      </c>
      <c r="D156" s="832"/>
      <c r="E156" s="832"/>
      <c r="F156" s="112"/>
      <c r="G156" s="895"/>
      <c r="H156" s="492"/>
      <c r="I156" s="492"/>
      <c r="J156" s="492"/>
      <c r="K156" s="492"/>
    </row>
    <row r="157" spans="1:11" s="51" customFormat="1" ht="24" customHeight="1">
      <c r="A157" s="90"/>
      <c r="B157" s="913"/>
      <c r="C157" s="875" t="s">
        <v>246</v>
      </c>
      <c r="D157" s="832"/>
      <c r="E157" s="832"/>
      <c r="F157" s="112"/>
      <c r="G157" s="895"/>
      <c r="H157" s="492"/>
      <c r="I157" s="492"/>
      <c r="J157" s="492"/>
      <c r="K157" s="492"/>
    </row>
    <row r="158" spans="1:11" s="51" customFormat="1" ht="34.5" customHeight="1">
      <c r="A158" s="91"/>
      <c r="B158" s="59"/>
      <c r="C158" s="872" t="s">
        <v>247</v>
      </c>
      <c r="D158" s="823">
        <v>4000</v>
      </c>
      <c r="E158" s="823">
        <v>4000</v>
      </c>
      <c r="F158" s="130">
        <f t="shared" si="3"/>
        <v>100</v>
      </c>
      <c r="G158" s="895"/>
      <c r="H158" s="492"/>
      <c r="I158" s="492"/>
      <c r="J158" s="492"/>
      <c r="K158" s="492"/>
    </row>
    <row r="159" spans="1:11" s="51" customFormat="1" ht="19.5" customHeight="1">
      <c r="A159" s="90"/>
      <c r="B159" s="912"/>
      <c r="C159" s="825" t="s">
        <v>150</v>
      </c>
      <c r="D159" s="832"/>
      <c r="E159" s="832"/>
      <c r="F159" s="112"/>
      <c r="G159" s="895"/>
      <c r="H159" s="492"/>
      <c r="I159" s="492"/>
      <c r="J159" s="492"/>
      <c r="K159" s="492"/>
    </row>
    <row r="160" spans="1:11" s="51" customFormat="1" ht="24" customHeight="1">
      <c r="A160" s="90"/>
      <c r="B160" s="913"/>
      <c r="C160" s="914" t="s">
        <v>248</v>
      </c>
      <c r="D160" s="829"/>
      <c r="E160" s="829"/>
      <c r="F160" s="115"/>
      <c r="G160" s="895"/>
      <c r="H160" s="492"/>
      <c r="I160" s="492"/>
      <c r="J160" s="492"/>
      <c r="K160" s="492"/>
    </row>
    <row r="161" spans="1:11" s="51" customFormat="1" ht="22.5" customHeight="1">
      <c r="A161" s="78">
        <v>852</v>
      </c>
      <c r="B161" s="794" t="s">
        <v>279</v>
      </c>
      <c r="C161" s="618"/>
      <c r="D161" s="836">
        <f>SUM(D162:D168)</f>
        <v>360000</v>
      </c>
      <c r="E161" s="836">
        <f>SUM(E162:E168)</f>
        <v>360000</v>
      </c>
      <c r="F161" s="181">
        <f t="shared" si="3"/>
        <v>100</v>
      </c>
      <c r="G161" s="887"/>
      <c r="H161" s="492"/>
      <c r="I161" s="492"/>
      <c r="J161" s="492"/>
      <c r="K161" s="492"/>
    </row>
    <row r="162" spans="1:11" s="51" customFormat="1" ht="27.75" customHeight="1">
      <c r="A162" s="838"/>
      <c r="B162" s="911"/>
      <c r="C162" s="756" t="s">
        <v>249</v>
      </c>
      <c r="D162" s="831">
        <v>95000</v>
      </c>
      <c r="E162" s="823">
        <v>95000</v>
      </c>
      <c r="F162" s="130">
        <f t="shared" si="3"/>
        <v>100</v>
      </c>
      <c r="G162" s="492"/>
      <c r="H162" s="492"/>
      <c r="I162" s="492"/>
      <c r="J162" s="492"/>
      <c r="K162" s="492"/>
    </row>
    <row r="163" spans="1:11" s="51" customFormat="1" ht="19.5" customHeight="1">
      <c r="A163" s="90"/>
      <c r="B163" s="912"/>
      <c r="C163" s="775" t="s">
        <v>150</v>
      </c>
      <c r="D163" s="844"/>
      <c r="E163" s="832"/>
      <c r="F163" s="112"/>
      <c r="G163" s="895"/>
      <c r="H163" s="492"/>
      <c r="I163" s="492"/>
      <c r="J163" s="492"/>
      <c r="K163" s="492"/>
    </row>
    <row r="164" spans="1:11" s="51" customFormat="1" ht="27.75" customHeight="1">
      <c r="A164" s="90"/>
      <c r="B164" s="913"/>
      <c r="C164" s="915" t="s">
        <v>239</v>
      </c>
      <c r="D164" s="844"/>
      <c r="E164" s="832"/>
      <c r="F164" s="112"/>
      <c r="G164" s="492"/>
      <c r="H164" s="492"/>
      <c r="I164" s="492"/>
      <c r="J164" s="492"/>
      <c r="K164" s="492"/>
    </row>
    <row r="165" spans="1:11" s="51" customFormat="1" ht="38.25" customHeight="1">
      <c r="A165" s="90"/>
      <c r="B165" s="913"/>
      <c r="C165" s="825" t="s">
        <v>250</v>
      </c>
      <c r="D165" s="823">
        <v>70000</v>
      </c>
      <c r="E165" s="823">
        <v>70000</v>
      </c>
      <c r="F165" s="130">
        <f t="shared" si="3"/>
        <v>100</v>
      </c>
      <c r="G165" s="492"/>
      <c r="H165" s="492"/>
      <c r="I165" s="492"/>
      <c r="J165" s="492"/>
      <c r="K165" s="492"/>
    </row>
    <row r="166" spans="1:11" s="51" customFormat="1" ht="19.5" customHeight="1">
      <c r="A166" s="90"/>
      <c r="B166" s="912"/>
      <c r="C166" s="825" t="s">
        <v>150</v>
      </c>
      <c r="D166" s="832"/>
      <c r="E166" s="832"/>
      <c r="F166" s="112"/>
      <c r="G166" s="895"/>
      <c r="H166" s="492"/>
      <c r="I166" s="492"/>
      <c r="J166" s="492"/>
      <c r="K166" s="492"/>
    </row>
    <row r="167" spans="1:11" s="51" customFormat="1" ht="25.5" customHeight="1">
      <c r="A167" s="90"/>
      <c r="B167" s="913"/>
      <c r="C167" s="916" t="s">
        <v>155</v>
      </c>
      <c r="D167" s="829"/>
      <c r="E167" s="829"/>
      <c r="F167" s="115"/>
      <c r="G167" s="492"/>
      <c r="H167" s="492"/>
      <c r="I167" s="492"/>
      <c r="J167" s="492"/>
      <c r="K167" s="492"/>
    </row>
    <row r="168" spans="1:11" s="51" customFormat="1" ht="45" customHeight="1">
      <c r="A168" s="364"/>
      <c r="B168" s="364"/>
      <c r="C168" s="775" t="s">
        <v>251</v>
      </c>
      <c r="D168" s="844">
        <v>195000</v>
      </c>
      <c r="E168" s="832">
        <v>195000</v>
      </c>
      <c r="F168" s="112">
        <f t="shared" si="3"/>
        <v>100</v>
      </c>
      <c r="G168" s="917"/>
      <c r="H168" s="492"/>
      <c r="I168" s="492"/>
      <c r="J168" s="492"/>
      <c r="K168" s="492"/>
    </row>
    <row r="169" spans="1:11" s="51" customFormat="1" ht="19.5" customHeight="1">
      <c r="A169" s="90"/>
      <c r="B169" s="912"/>
      <c r="C169" s="775" t="s">
        <v>150</v>
      </c>
      <c r="D169" s="844"/>
      <c r="E169" s="832"/>
      <c r="F169" s="112"/>
      <c r="G169" s="895"/>
      <c r="H169" s="492"/>
      <c r="I169" s="492"/>
      <c r="J169" s="492"/>
      <c r="K169" s="492"/>
    </row>
    <row r="170" spans="1:11" s="51" customFormat="1" ht="22.5" customHeight="1">
      <c r="A170" s="918"/>
      <c r="B170" s="918"/>
      <c r="C170" s="915" t="s">
        <v>252</v>
      </c>
      <c r="D170" s="919"/>
      <c r="E170" s="829"/>
      <c r="F170" s="115"/>
      <c r="G170" s="492"/>
      <c r="H170" s="492"/>
      <c r="I170" s="492"/>
      <c r="J170" s="492"/>
      <c r="K170" s="492"/>
    </row>
    <row r="171" spans="1:6" s="51" customFormat="1" ht="25.5" customHeight="1">
      <c r="A171" s="1244" t="s">
        <v>787</v>
      </c>
      <c r="B171" s="1245"/>
      <c r="C171" s="1246"/>
      <c r="D171" s="920">
        <f>D11+D126</f>
        <v>18970718.560000002</v>
      </c>
      <c r="E171" s="920">
        <f>E11+E126</f>
        <v>18481221.479999997</v>
      </c>
      <c r="F171" s="921">
        <f t="shared" si="3"/>
        <v>97.41972304079133</v>
      </c>
    </row>
    <row r="172" spans="3:6" s="51" customFormat="1" ht="15.75">
      <c r="C172" s="109"/>
      <c r="D172" s="741"/>
      <c r="E172" s="741"/>
      <c r="F172" s="922"/>
    </row>
    <row r="173" spans="1:6" s="51" customFormat="1" ht="15.75">
      <c r="A173" s="882"/>
      <c r="C173" s="109"/>
      <c r="D173" s="839"/>
      <c r="E173" s="839"/>
      <c r="F173" s="922"/>
    </row>
    <row r="174" spans="1:6" s="51" customFormat="1" ht="15.75">
      <c r="A174" s="882"/>
      <c r="C174" s="109"/>
      <c r="D174" s="741"/>
      <c r="E174" s="741"/>
      <c r="F174" s="922"/>
    </row>
    <row r="175" spans="3:6" s="51" customFormat="1" ht="12.75">
      <c r="C175" s="109"/>
      <c r="F175" s="922"/>
    </row>
    <row r="176" spans="3:6" s="51" customFormat="1" ht="12.75">
      <c r="C176" s="109"/>
      <c r="F176" s="126"/>
    </row>
    <row r="177" spans="3:6" s="51" customFormat="1" ht="12.75">
      <c r="C177" s="109"/>
      <c r="F177" s="126"/>
    </row>
    <row r="178" spans="3:6" s="51" customFormat="1" ht="12.75">
      <c r="C178" s="109"/>
      <c r="F178" s="126"/>
    </row>
    <row r="179" spans="3:6" s="51" customFormat="1" ht="12.75">
      <c r="C179" s="109"/>
      <c r="F179" s="126"/>
    </row>
    <row r="180" spans="3:6" s="51" customFormat="1" ht="12.75">
      <c r="C180" s="109"/>
      <c r="F180" s="126"/>
    </row>
    <row r="181" spans="3:6" s="51" customFormat="1" ht="12.75">
      <c r="C181" s="109"/>
      <c r="F181" s="126"/>
    </row>
    <row r="182" spans="3:6" s="51" customFormat="1" ht="12.75">
      <c r="C182" s="109"/>
      <c r="F182" s="126"/>
    </row>
    <row r="183" spans="3:6" s="51" customFormat="1" ht="12.75">
      <c r="C183" s="109"/>
      <c r="F183" s="126"/>
    </row>
    <row r="184" spans="3:6" s="51" customFormat="1" ht="12.75">
      <c r="C184" s="109"/>
      <c r="F184" s="126"/>
    </row>
    <row r="185" spans="3:6" s="51" customFormat="1" ht="12.75">
      <c r="C185" s="109"/>
      <c r="F185" s="126"/>
    </row>
    <row r="186" spans="3:6" s="51" customFormat="1" ht="12.75">
      <c r="C186" s="109"/>
      <c r="F186" s="126"/>
    </row>
    <row r="187" spans="3:6" s="51" customFormat="1" ht="12.75">
      <c r="C187" s="109"/>
      <c r="F187" s="126"/>
    </row>
    <row r="188" spans="3:6" s="51" customFormat="1" ht="12.75">
      <c r="C188" s="109"/>
      <c r="F188" s="126"/>
    </row>
    <row r="189" spans="3:6" s="51" customFormat="1" ht="12.75">
      <c r="C189" s="109"/>
      <c r="F189" s="126"/>
    </row>
    <row r="190" spans="3:6" s="51" customFormat="1" ht="12.75">
      <c r="C190" s="109"/>
      <c r="F190" s="126"/>
    </row>
    <row r="191" spans="3:6" s="51" customFormat="1" ht="12.75">
      <c r="C191" s="109"/>
      <c r="F191" s="65"/>
    </row>
    <row r="192" spans="3:6" s="51" customFormat="1" ht="12.75">
      <c r="C192" s="109"/>
      <c r="F192" s="65"/>
    </row>
  </sheetData>
  <mergeCells count="1">
    <mergeCell ref="A171:C171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IKawalkiewicz</cp:lastModifiedBy>
  <cp:lastPrinted>2013-03-27T13:45:59Z</cp:lastPrinted>
  <dcterms:created xsi:type="dcterms:W3CDTF">2007-04-04T08:35:31Z</dcterms:created>
  <dcterms:modified xsi:type="dcterms:W3CDTF">2013-03-29T09:29:29Z</dcterms:modified>
  <cp:category/>
  <cp:version/>
  <cp:contentType/>
  <cp:contentStatus/>
</cp:coreProperties>
</file>