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Proj. Uch. RM nr z 29.05.2013." sheetId="1" r:id="rId1"/>
    <sheet name="zał. nr 1" sheetId="2" r:id="rId2"/>
    <sheet name="Zał. nr 2" sheetId="3" r:id="rId3"/>
    <sheet name="Zał. nr 3" sheetId="4" r:id="rId4"/>
    <sheet name="Zał. nr 4" sheetId="5" r:id="rId5"/>
    <sheet name="zał. nr 5" sheetId="6" r:id="rId6"/>
    <sheet name="Zał nr 6" sheetId="7" r:id="rId7"/>
    <sheet name="wolny 1" sheetId="8" r:id="rId8"/>
    <sheet name="Wolny" sheetId="9" r:id="rId9"/>
  </sheets>
  <definedNames>
    <definedName name="_xlnm.Print_Titles" localSheetId="1">'zał. nr 1'!$10:$12</definedName>
    <definedName name="_xlnm.Print_Titles" localSheetId="2">'Zał. nr 2'!$12:$13</definedName>
    <definedName name="_xlnm.Print_Titles" localSheetId="3">'Zał. nr 3'!$12:$13</definedName>
    <definedName name="_xlnm.Print_Titles" localSheetId="4">'Zał. nr 4'!$12:$12</definedName>
    <definedName name="_xlnm.Print_Titles" localSheetId="5">'zał. nr 5'!$13:$13</definedName>
  </definedNames>
  <calcPr fullCalcOnLoad="1"/>
</workbook>
</file>

<file path=xl/sharedStrings.xml><?xml version="1.0" encoding="utf-8"?>
<sst xmlns="http://schemas.openxmlformats.org/spreadsheetml/2006/main" count="1169" uniqueCount="711">
  <si>
    <t>Kultura i ochrona dziedzictwa narodowego</t>
  </si>
  <si>
    <t>organizacja imprez kulturalnych dla mieszkańców m. Konina</t>
  </si>
  <si>
    <t xml:space="preserve">Kultura fizyczna  </t>
  </si>
  <si>
    <t>szkolenie uzdolnionych sportowo w: szermierce, kolarstwie, piłce nożnej kobiet, piłce nożnej mężczyzn, koszykówce, pięściarstwie, tenisie stołowym, szachach, tenisie ziemnym, piłce ręcznej, piłce siatkowej, judo, sportach szybowcowych i samolotowych i innych</t>
  </si>
  <si>
    <t>organizacja imprez sportowo-rekreacyjnych dla mieszkańców Konina</t>
  </si>
  <si>
    <t>organizacja imprez sportowo-rekreacyjnych dla osób niepełnosprawnych</t>
  </si>
  <si>
    <t xml:space="preserve">Razem zadania powiatu </t>
  </si>
  <si>
    <t>Centrum Nauki i Biznesu „Żak</t>
  </si>
  <si>
    <t>Europejskie Centrum Kształcenia "PASCAL"</t>
  </si>
  <si>
    <t xml:space="preserve">Zespół Edukacji „WIEDZA”    </t>
  </si>
  <si>
    <t xml:space="preserve">Technikum Uzupełniające Michał Lewandowski  </t>
  </si>
  <si>
    <t>Zakład Doskonalenia Zawodowego Centrum Kształcenia</t>
  </si>
  <si>
    <t xml:space="preserve">COSINUS     </t>
  </si>
  <si>
    <t>4480</t>
  </si>
  <si>
    <t>80120</t>
  </si>
  <si>
    <t>4370</t>
  </si>
  <si>
    <t>4430</t>
  </si>
  <si>
    <t>80123</t>
  </si>
  <si>
    <t>854</t>
  </si>
  <si>
    <t>85401</t>
  </si>
  <si>
    <t>852</t>
  </si>
  <si>
    <t>85202</t>
  </si>
  <si>
    <t>4330</t>
  </si>
  <si>
    <t>Niepubliczne Policealne Studium Zawodowe Michał Lewandowski</t>
  </si>
  <si>
    <t xml:space="preserve">AP EDUKACJA            </t>
  </si>
  <si>
    <t>PLUS EDUKACJA</t>
  </si>
  <si>
    <t>Stowarzyszenie Edukacja na Odległość</t>
  </si>
  <si>
    <t>Cech Rzemiosł Róznych</t>
  </si>
  <si>
    <t>Centrum Szkoleniowe NET - Alicja Woźniak</t>
  </si>
  <si>
    <t>Instytut Postępowania Twórczego</t>
  </si>
  <si>
    <t xml:space="preserve">Elitarne Studium Służb Ochrony „DELTA”  </t>
  </si>
  <si>
    <t xml:space="preserve">  Liceum Ogólnokształcące w Konińskim Centrum Edukacyjnym</t>
  </si>
  <si>
    <t>Liceum Ogólnokształcące dla Dorosłych Michał Lewandowski</t>
  </si>
  <si>
    <t>prowadzenie warsztatów terapii zajęciowej, rehabilitacja zawodowa i społeczna</t>
  </si>
  <si>
    <t>Edukacyjna opieka wychowawcza</t>
  </si>
  <si>
    <t xml:space="preserve">Polskiego Stowarzyszenia na Rzecz Osób z Upośledzeniem Umysłowym </t>
  </si>
  <si>
    <t>Turystyka</t>
  </si>
  <si>
    <t>promocja turystyczna miasta Konina oraz udzielanie o nim informacji turystycznej</t>
  </si>
  <si>
    <t>organizacja imprez turystycznych dla mieszkańców Konina</t>
  </si>
  <si>
    <t>prowadzenie placówki opiekuńczo - wychowawczej typu rodzinnego -  Rodzinny Dom Dziecka</t>
  </si>
  <si>
    <t>działalność na rzecz rozwoju gospodarczego wspierająca lokalny rynek pracy</t>
  </si>
  <si>
    <t>OGÓŁEM</t>
  </si>
  <si>
    <t xml:space="preserve"> Limit wydatków bieżących na  programy  finansowane z udziałem środków  </t>
  </si>
  <si>
    <t xml:space="preserve"> o których mowa w art. 5 ust. 1 pkt 2 i 3 ustawy o finansach publicznych</t>
  </si>
  <si>
    <t xml:space="preserve"> na 2013 rok</t>
  </si>
  <si>
    <t xml:space="preserve">                  2013 rok</t>
  </si>
  <si>
    <t>Lp.</t>
  </si>
  <si>
    <t>Nazwa programu, cel i zadanie</t>
  </si>
  <si>
    <t>Jednostka organizacyjna</t>
  </si>
  <si>
    <t>Okres realizacji</t>
  </si>
  <si>
    <t>Środki budżetu państwa; środki własne gminy</t>
  </si>
  <si>
    <t>Środki z EFS ; WRPO, inne</t>
  </si>
  <si>
    <t>Zadania gminy</t>
  </si>
  <si>
    <t>Europejski Fundusz Społeczny - Program  Operacyjny Kapitał Ludzki</t>
  </si>
  <si>
    <t xml:space="preserve">Przedszkole nr 25 "Bajka" w Koninie </t>
  </si>
  <si>
    <r>
      <t xml:space="preserve">Cel: </t>
    </r>
    <r>
      <rPr>
        <sz val="9"/>
        <rFont val="Times New Roman"/>
        <family val="1"/>
      </rPr>
      <t>upowszechnianie edukacji przedszkolnej nastawionej na działalność ekologiczną i prozdrowotną</t>
    </r>
  </si>
  <si>
    <t>Wyrównywanie szans edukacyjnych i zapewnienie wysokiej jakości usług edukacyjnych świadczonych w systemie oświaty, zmniejszenie nierówności w stopniu upowszechniania edukacji przedszkolnej poprzez realizację Projektu pt.: "W  Bajkowym Ogrodzie"</t>
  </si>
  <si>
    <t xml:space="preserve">Miasto Konin - Urząd Miejski w Koninie </t>
  </si>
  <si>
    <t>cel: Rozwój wykształcenia i kompetencji w regionach</t>
  </si>
  <si>
    <t>Wyrównywanie szans edukacyjnych uczniów z grup o utrudnionym dostępie do edukacji oraz zmniejszenie różnic w jakości usług edukacyjnych poprzez realizację projektu Pt. "Edukacja wczesnoszkolna na dobry początek"</t>
  </si>
  <si>
    <t xml:space="preserve">Urząd Miejski w Koninie,  Niepubliczne Przedszkole "Bajkowa Kraina"   w Koninie                       </t>
  </si>
  <si>
    <t>Zmniejszenie nierówności w stopniu upowszechniania edukacji przedszkolnej poprzez realizację projektu pt. "Bajkowa kraina bez barier"</t>
  </si>
  <si>
    <t>2012-2013</t>
  </si>
  <si>
    <t>Urząd Miejski w Koninie</t>
  </si>
  <si>
    <t xml:space="preserve">Budowa ulic na osiedlu Przydziałki - etap II </t>
  </si>
  <si>
    <t>Opracowanie dokumentacji projektowo - kosztorysowej na budowę parkingu  przy ulicy Powstańców Styczniowych 1 -3 -5</t>
  </si>
  <si>
    <t>Opracowanie dokumentacji  projektowo - kosztorysowej na budowę parkingu oraz drogi dojazdowej przy cmentarzu na ulicy Kolskiej</t>
  </si>
  <si>
    <t>wykonanie projektu, wykonanie prac, wymiana rejestratora, zakup kamer i urządzeń</t>
  </si>
  <si>
    <t>ZOUM</t>
  </si>
  <si>
    <t>Różne rozliczenia</t>
  </si>
  <si>
    <t>Rezerwy ogólne i celowe</t>
  </si>
  <si>
    <t>Zakup busa do przewozu dzieci niepełnosprawnych w Szkole Podstawowej Oddziałami Integracyjnymi Nr 9</t>
  </si>
  <si>
    <t>SP nr 9/WO</t>
  </si>
  <si>
    <t>Wykonanie ścianki boulderowej  dla Gimnazjum nr 3 w Koninie</t>
  </si>
  <si>
    <t>Szpitale ogólne</t>
  </si>
  <si>
    <t>WS</t>
  </si>
  <si>
    <t>Budowa chodnika ze schodami przy ul. Paderewskiego w Koninie(za przystankiem nr 336-02)</t>
  </si>
  <si>
    <t>Domy i ośrodki kultury, świetlice i kluby</t>
  </si>
  <si>
    <t>CKU/WO</t>
  </si>
  <si>
    <t>IILO.WO</t>
  </si>
  <si>
    <t>Licea ogólnokształcące</t>
  </si>
  <si>
    <t>Centra kształcenia ustawicznego i praktycznego oraz ośrodki doksztalcania zawodowego</t>
  </si>
  <si>
    <t>cel: Rozwój przedsiębiorczości w Mieście Koninie oraz poprawa sytuacji na rynku pracy poprzez wsparcie 70 osób zamierzających rozpocząć działalność gospodarczą w terminie od 2.01.2012 r. do 30.09.2013 r.</t>
  </si>
  <si>
    <t>Projekt pt. "Dobry pomysł na firmę - wspomagamy przedsiębiorczość w Koninie"</t>
  </si>
  <si>
    <t>cel. Poprawa warunków prawnych i administracyjnych do prowadzenia efektywnej polityki rozwoju gospodarczego przez Miasto Konin</t>
  </si>
  <si>
    <t xml:space="preserve">Projekt pt. „PI  Wsparcie rozwoju narzędzi związanych z kontraktowaniem usług społecznych w Koninie”  </t>
  </si>
  <si>
    <t>Przedszkole nr 2 w Koninie "Kraina Wesołej Zabawy"</t>
  </si>
  <si>
    <t>Podniesienie i uzupełnienie kwalifikacji kadry pedagogicznej i administracyjnej poprzez realizacje projektu Pt. "Dokształcanie to Twoja szansa"</t>
  </si>
  <si>
    <t>wkład własny niepieniężny</t>
  </si>
  <si>
    <t xml:space="preserve">Przedszkole nr 32 w Koninie </t>
  </si>
  <si>
    <t>cel: Podniesienie jakości  edukacji</t>
  </si>
  <si>
    <t>Doskonalenie i dokształcanie kadry pedagogicznej i administracyjnej poprzez realizację projektu Pt. "W drodze do wiedzy"</t>
  </si>
  <si>
    <t>Wyrównywanie szans edukacyjnych uczniów z grup o utrudnionym dostępie do edukacji oraz zmniejszenie różnic w jakości usług edukacyjnych  poprzez realizację projektu Pt. "Pierwsze kroki w edukacji"</t>
  </si>
  <si>
    <t>cel: Podniesienie poziomu aktywności zawodowej osób niepełnosprawnych pozostających bez zatrudnienia</t>
  </si>
  <si>
    <t>Projekt pt. "Nowe możliwości zawodowe - Twoja szansa na konińskim rynku pracy"</t>
  </si>
  <si>
    <t>cel: Poprawa sytuacji na konińskim rynku pracy bezrobotnych mieszkańców miasta Konina zamierzających rozpocząć działalność gospodarczą poprzez wsparcie postaw służących rozwojowi przedsiębiorczości i samozatrudnienie</t>
  </si>
  <si>
    <t>Projekt pt. "Jesteś przedsiębiorczy! Zacznij działać już dziś w Koninie"</t>
  </si>
  <si>
    <t>cel: Poprawa sutuacji niepełnosprawnych osób bezrobotnych na rynku pracy oraz rozwój przedsiębiorczości w Koninie</t>
  </si>
  <si>
    <t xml:space="preserve">Projekt pt. "Twoja firma - wspomagamy przedsiębiorczych w Koninie" </t>
  </si>
  <si>
    <t>2013-2014</t>
  </si>
  <si>
    <t>cel: Wspomaganie osób bezrobotnych w przekwalifikowaniu i znalezieniu zatrudnienia</t>
  </si>
  <si>
    <t xml:space="preserve">        PLAN DOTACJI DLA PODMIOTÓW ZALICZANYCH DO SEKTORA FINANSÓW </t>
  </si>
  <si>
    <t xml:space="preserve">PUBLICZNYCH NA CELE PUBLICZNE ZWIĄZANE Z REALIZACJĄ ZADAŃ MIASTA  </t>
  </si>
  <si>
    <t xml:space="preserve">                                                             NA 2013 ROK</t>
  </si>
  <si>
    <t>Dotacje podmiotowe</t>
  </si>
  <si>
    <t>Koniński Dom Kultury</t>
  </si>
  <si>
    <t>Młodzieżowy Dom Kultury</t>
  </si>
  <si>
    <t>Dotacje przedmiotowe</t>
  </si>
  <si>
    <t>do kosztów utrzymania zbiorowej komunikacji miejskiej</t>
  </si>
  <si>
    <t>Gospodarka komunalna  i ochrona środowiska</t>
  </si>
  <si>
    <t>Miejska Biblioteka Publiczna</t>
  </si>
  <si>
    <t>koszty utrzymania dzieci  z miasta Konina umieszczonych w placówkach opiekuńczych na terenie kraju</t>
  </si>
  <si>
    <t>koszty utrzymania dzieci  z miasta Konina umieszczonych w rodzinach zastępczych na terenie kraju</t>
  </si>
  <si>
    <t>90015</t>
  </si>
  <si>
    <t>60004</t>
  </si>
  <si>
    <t>60016</t>
  </si>
  <si>
    <t>60095</t>
  </si>
  <si>
    <t>0690</t>
  </si>
  <si>
    <t>71035</t>
  </si>
  <si>
    <t>80110</t>
  </si>
  <si>
    <t>921</t>
  </si>
  <si>
    <t>92116</t>
  </si>
  <si>
    <t>2480</t>
  </si>
  <si>
    <t>2650</t>
  </si>
  <si>
    <t>2310</t>
  </si>
  <si>
    <t>dz.700 rozdz.70005  § 6050   zwiększa się o kwotę</t>
  </si>
  <si>
    <t>Budowa ogrodzenia zespołu garaży przy ulicy Gajowej w Koninie</t>
  </si>
  <si>
    <t>Zmniejsza się plan wydatków o kwotę</t>
  </si>
  <si>
    <t>dz. 801 rozdz.80110 § 6050   zmniejsza się o kwotę</t>
  </si>
  <si>
    <t>Zakup i montaż wiat przystankowych</t>
  </si>
  <si>
    <t>Lokalny transport zbiorowy</t>
  </si>
  <si>
    <t>wiaty przystankowe</t>
  </si>
  <si>
    <t xml:space="preserve">          rozdz.60004 § 6050   zwiększa się o kwotę</t>
  </si>
  <si>
    <t>dz. 600 rozdz.60015 § 6050   zmniejsza się o kwotę</t>
  </si>
  <si>
    <t>GN</t>
  </si>
  <si>
    <t>budowa ogrodzenia</t>
  </si>
  <si>
    <t xml:space="preserve">Aktualizacja dokumentacji projektowej na II etap nowego przebiegu </t>
  </si>
  <si>
    <t xml:space="preserve"> drogi krajowej Nr 25</t>
  </si>
  <si>
    <t>dz. 600  zwiększa się o kwotę</t>
  </si>
  <si>
    <t xml:space="preserve">           rozdz.60016 § 6050   zwiększa się o kwotę</t>
  </si>
  <si>
    <t>90013</t>
  </si>
  <si>
    <t xml:space="preserve">WI </t>
  </si>
  <si>
    <r>
      <t xml:space="preserve">Nr  54/2013 Prezydenta Miasta Konina z dnia 16 maja 2013 r.;  </t>
    </r>
    <r>
      <rPr>
        <b/>
        <i/>
        <sz val="11"/>
        <rFont val="Times New Roman"/>
        <family val="1"/>
      </rPr>
      <t>- wprowadza się następujące zmiany:</t>
    </r>
  </si>
  <si>
    <t>12. W § 5</t>
  </si>
  <si>
    <r>
      <t xml:space="preserve">Załącznik nr 13 do uchwały budżetowej obejmujący  </t>
    </r>
    <r>
      <rPr>
        <i/>
        <sz val="13"/>
        <rFont val="Times New Roman"/>
        <family val="1"/>
      </rPr>
      <t xml:space="preserve">"Plan przychodów i wydatków </t>
    </r>
  </si>
  <si>
    <r>
      <t xml:space="preserve"> w treści   </t>
    </r>
    <r>
      <rPr>
        <b/>
        <sz val="13"/>
        <rFont val="Times New Roman"/>
        <family val="1"/>
      </rPr>
      <t xml:space="preserve">Załącznika nr 6 </t>
    </r>
    <r>
      <rPr>
        <sz val="13"/>
        <rFont val="Times New Roman"/>
        <family val="1"/>
      </rPr>
      <t>do niniejszej uchwały</t>
    </r>
  </si>
  <si>
    <t>samorządowego zakładu budżetowego na 2013 rok"  otrzymuje brzmienie</t>
  </si>
  <si>
    <t>Wspieranie realizacji zadań organizacji pozarządowych</t>
  </si>
  <si>
    <t xml:space="preserve">z dnia  29 maja 2013 roku     </t>
  </si>
  <si>
    <t>realizowanych na podstawie porozumień między jednostkami samorządu terytorialnego</t>
  </si>
  <si>
    <r>
      <t xml:space="preserve">4. W Załączniku nr 6 do uchwały budżetowej obejmującym </t>
    </r>
    <r>
      <rPr>
        <i/>
        <sz val="12"/>
        <rFont val="Times New Roman"/>
        <family val="1"/>
      </rPr>
      <t xml:space="preserve">"Plan dotacji i wydatków zadań </t>
    </r>
  </si>
  <si>
    <r>
      <t xml:space="preserve">na 2013 rok  - zadania własne" </t>
    </r>
    <r>
      <rPr>
        <sz val="12"/>
        <rFont val="Times New Roman"/>
        <family val="1"/>
      </rPr>
      <t>dokonuje się następujących zmian:</t>
    </r>
  </si>
  <si>
    <t>Zmniejsza się plan dotacji celowej o kwotę</t>
  </si>
  <si>
    <t>dz.600 rozdz.60004 § 2650 zmniejsza się o kwotę</t>
  </si>
  <si>
    <t>dz.600 rozdz.60004 § 2310 zmniejsza się o kwotę</t>
  </si>
  <si>
    <t>5. W § 1 ust. 3</t>
  </si>
  <si>
    <t>7. W Załączniku Nr 2 do uchwały budżetowej dokonuje się następujących zmian:</t>
  </si>
  <si>
    <t xml:space="preserve">9. W § 1  do uchwały budżetowej </t>
  </si>
  <si>
    <t xml:space="preserve">10.  W § 3    do uchwały budżetowej </t>
  </si>
  <si>
    <t>11. W § 4 do uchwały budżetowej dokonuje się następujących zmian:</t>
  </si>
  <si>
    <t>Załącznik nr 6</t>
  </si>
  <si>
    <t>stan środków obrotowych</t>
  </si>
  <si>
    <t>na początek okresu</t>
  </si>
  <si>
    <t>na koniec okresu</t>
  </si>
  <si>
    <t>sprawozdawczego</t>
  </si>
  <si>
    <t xml:space="preserve">         Plan wydatków na 2013 rok</t>
  </si>
  <si>
    <t>Opracowanie dokumentacji projektowo-kosztorysowej na budowę łącznika</t>
  </si>
  <si>
    <t xml:space="preserve"> od ul. Przemysłowej do ul. Kleczewskiej</t>
  </si>
  <si>
    <t>Opracowanie dokumentacji projektowo-kosztorysowej na budowę łącznika od ul. Przemysłowej do ul. Kleczewskiej</t>
  </si>
  <si>
    <t>Druk nr  633</t>
  </si>
  <si>
    <r>
      <t xml:space="preserve">brzmienie w treści </t>
    </r>
    <r>
      <rPr>
        <b/>
        <sz val="13"/>
        <rFont val="Times New Roman"/>
        <family val="1"/>
      </rPr>
      <t xml:space="preserve">Załącznika nr 2 </t>
    </r>
    <r>
      <rPr>
        <sz val="13"/>
        <rFont val="Times New Roman"/>
        <family val="1"/>
      </rPr>
      <t xml:space="preserve">  do niniejszej uchwały</t>
    </r>
  </si>
  <si>
    <t>prowadzenie działalności Powiatowego Urzędu Pracy</t>
  </si>
  <si>
    <t>Załącznik nr 5</t>
  </si>
  <si>
    <t>Dotacja celowa na dofinansowanie zakupu oprogramowania wraz z licencją w ramach informatyzacji Wojewódzkiego Szpitala Zespolonego w Koninie</t>
  </si>
  <si>
    <t>Budowa ulic: Jesionowej, Modrzewiowej, Lipowej, Klonowej i Cisowej  w Koninie</t>
  </si>
  <si>
    <t xml:space="preserve">do Uchwały nr  </t>
  </si>
  <si>
    <t>2360</t>
  </si>
  <si>
    <t>Budowa - przedłużenie ulicy Solnej - odcinek od ul. Kaliskiej do ul. Świętojańskiej</t>
  </si>
  <si>
    <t>Budowa chodnika na ul. Działkowej w Koninie</t>
  </si>
  <si>
    <t>Budowa ulicy Leopolda Staffa w Koninie</t>
  </si>
  <si>
    <t>Rozbudowa monitoringu miejskiego</t>
  </si>
  <si>
    <t>Rozbudowa miejskiej sieci szerokopasmowej KoMAN</t>
  </si>
  <si>
    <t>Budowa windy schodowej dla osób niepełnosprawnych w Przedszkolu nr 32</t>
  </si>
  <si>
    <t>Budowa podjazdu dla osób niepełnosprawnych przy Przedszkolu nr 32</t>
  </si>
  <si>
    <t>Budowa placów zabaw w mieście Koninie</t>
  </si>
  <si>
    <t>dz. 600 rozdz.60015 § 6050   zwiększa się o kwotę</t>
  </si>
  <si>
    <t>Przebudowa chodnika przy ulicy Staromorzysławskiej w Koninie</t>
  </si>
  <si>
    <t>Termomodernizacja budynku II Liceum w Koninie</t>
  </si>
  <si>
    <t>Budowa hangaru przy Zespole Szkól Centrum Kształcenia Ustawicznego w Koninie</t>
  </si>
  <si>
    <t>Projekt pt. "Twój zawód, Twoja praca - poprawa dostępu do zatrudnienia na konińskim rynku pracy"</t>
  </si>
  <si>
    <t xml:space="preserve">Przedszkole nr 4 w Koninie </t>
  </si>
  <si>
    <t>cel:  Upowszechnianie edukacji przedszkolnej na terenie miasta Konina i powiatu konińskiego</t>
  </si>
  <si>
    <t>Upowszechnianie edukacji przedszkolnej na terenie miasta Konina i powiatu konińskiego poprzez wydłużenie czasu pracy przedszkola i dokonanie dodatkowego naboru w ramach  realizacji Projektu pt. "Dobre przedszkole na dobry start"</t>
  </si>
  <si>
    <t>„Uczenie się przez całe życie” Comenius współfinansowany z Polskiej Narodowej Agencji</t>
  </si>
  <si>
    <t>cel:  Wzmacnianie europejskiego wymiaru edukacji poprzez promowanie współpracy międzynarodowej</t>
  </si>
  <si>
    <t>Wymiana doświadczenia i uczenie się od siebie nawzajem w dziedzinie ekologii  poprzez realizację  Projektu pt. "The Earth  cannot be recycled! Eco kids - Eco parents" (Eko dzieci  - eko rodzice)</t>
  </si>
  <si>
    <t>cel: Zwiększenie rozwiązań służących godzeniu życia zawodowego i rodzinnego dla rodziców dzieci w wieku 1-3 lat z terenu m. Konina oraz powiatu konińskiego wracających po przerwie związanej z urodzeniem i wychowaniem dzieci</t>
  </si>
  <si>
    <t xml:space="preserve"> projekt Pt. "Klub dziecięcy - mama wraca do pracy"</t>
  </si>
  <si>
    <t xml:space="preserve">Przedszkole nr 10 z oddziałami integracyjnymi "Leszczynowa Górka" </t>
  </si>
  <si>
    <t>cel: Upowszechnianie edukacji przedszkolnej wśród 35 dzieci w wieku 3 - 5 lat z terenu m. Konina, powiatu konińskiego, tureckiego, kolskiego i słupeckiego</t>
  </si>
  <si>
    <t xml:space="preserve"> projekt Pt. "Słoneczny Świat Przedszkolaka""</t>
  </si>
  <si>
    <t>2013-2015</t>
  </si>
  <si>
    <t>Zadania powiatu</t>
  </si>
  <si>
    <t>Europejski Fundusz Społeczny - Program  Operacyjny  Kapitał Ludzki</t>
  </si>
  <si>
    <t xml:space="preserve"> Miejski Ośrodek Doskonalenia Nauczycieli  w Koninie </t>
  </si>
  <si>
    <t>Wyrównywanie szans edukacyjnych uczniów z grup o utrudnionym dostępie do edukacji oraz zmniejszenie różnic w jakości usług edukacyjnych projekt pn. "Startuj z nami w przyszłość"</t>
  </si>
  <si>
    <t>ZS im. Kopernika w  Koninie</t>
  </si>
  <si>
    <t>"Wykwalifikowana Kadra w Koperniku"</t>
  </si>
  <si>
    <t xml:space="preserve"> I LO                          </t>
  </si>
  <si>
    <t>cel: Poznawanie krajów partnerskich, doskonalenie umiejętności językowych i promowanie regionu</t>
  </si>
  <si>
    <t xml:space="preserve">Projekt pt. "Towards a European Rememberance" (W poszukiwani europejskiej pamięci) </t>
  </si>
  <si>
    <t>cel: podniesienie atrakcyjności  i jakości szkolnictwa zawodowego</t>
  </si>
  <si>
    <t>"Zawodowcy z  Kopernika"</t>
  </si>
  <si>
    <t xml:space="preserve">Wielkopolski Regionalny Program Operacyjny na lata 2007 - 2013 </t>
  </si>
  <si>
    <t>cel: Profesjonalna, kompleksowa kampania promocyjna markowego produktu o nazwie Wielka Pętla Wielkopolski łączącego 690 km dróg wodnych w wodny szlak turystyczny</t>
  </si>
  <si>
    <t>cel: Kompleksowa  promocja markowego produktu turystyki wodnej  Wielka Pętla Wielkopolski l</t>
  </si>
  <si>
    <t>Wysoko wykwalifikowane kadry systemu oświaty w ramach  projektu pt. "Podniesienie kwalifikacji dla kadry pedagogicznej szkół subregionu konińskiego"</t>
  </si>
  <si>
    <t>ZAŁĄCZNIK nr 3</t>
  </si>
  <si>
    <t>Przedszkole nr 14</t>
  </si>
  <si>
    <t xml:space="preserve"> projekt Pt. "Wszystko zaczyna się od przedszkola"</t>
  </si>
  <si>
    <t>Miasto Konin - Miejski Ośrodek Pomocy Rodzinie w Koninie</t>
  </si>
  <si>
    <t>cel - Rozwój i upowszechnianie aktywnej integracji społecznej</t>
  </si>
  <si>
    <t>Rozwój i upowszechnianie aktywnej integracji przez MOPR w Projekcie systemowym "Wykorzystaj swoją szansę!" w ramach Programu Operacyjnego Kapitał Ludzki</t>
  </si>
  <si>
    <t>cel: upowszechniania edukacji przedszkolnej na terenie miasta Konina i gminy Ślesin i Kramsk poprzez utworzenie nowego oddziału przedszkolnego dla dzieci z miasta Konina i gmin: Ślesin i Kramsk oraz  włączenie ich rodziców w proces edikacji w okresie od 01.01.2013r. do 30.06.2015r.</t>
  </si>
  <si>
    <t>Budowa placu zabaw w ramach programu rządowego "Radosna Szkoła" przy Szkole Podstawowej Nr 3</t>
  </si>
  <si>
    <t>SPnr 3/WO (realizacja pod warunkiem otrzymania środków z budżetu państwa)</t>
  </si>
  <si>
    <t>Budowa placu zabaw w ramach programu rządowego "Radosna Szkoła" przy Szkole Podstawowej Nr 9</t>
  </si>
  <si>
    <t>Budowa placu zabaw w ramach programu rządowego "Radosna Szkoła" przy Szkole Podstawowej Nr 12</t>
  </si>
  <si>
    <t>SPnr 12/WO (realizacja pod warunkiem otrzymania środków z budżetu państwa)</t>
  </si>
  <si>
    <t>Zakup tablicy interaktywnej dla Przedszkola nr 14</t>
  </si>
  <si>
    <t>Zakup zestawu komputerowego dla Przedszkola nr 14</t>
  </si>
  <si>
    <t>zestaw komputerowy</t>
  </si>
  <si>
    <t>tablica ineteraktywna</t>
  </si>
  <si>
    <t>P nr 14/WO</t>
  </si>
  <si>
    <r>
      <t>­</t>
    </r>
    <r>
      <rPr>
        <i/>
        <sz val="11"/>
        <rFont val="Times New Roman"/>
        <family val="1"/>
      </rPr>
      <t xml:space="preserve"> kwotę wydatków na programy finansowane z udziałem środków</t>
    </r>
  </si>
  <si>
    <t>60015</t>
  </si>
  <si>
    <t>80104</t>
  </si>
  <si>
    <t>80195</t>
  </si>
  <si>
    <t>4010</t>
  </si>
  <si>
    <t>90095</t>
  </si>
  <si>
    <t>4110</t>
  </si>
  <si>
    <t>75818</t>
  </si>
  <si>
    <t>4810</t>
  </si>
  <si>
    <t>o których mowa w art. 5 ust. 1 pkt 2 i 3 ufp w części związanej</t>
  </si>
  <si>
    <t>z realizacją zadań jst</t>
  </si>
  <si>
    <t>w tym;</t>
  </si>
  <si>
    <t>kwotę środków i dotacji na realizację zadań w ramach</t>
  </si>
  <si>
    <t>programów i projektów funduszy strukturalnych</t>
  </si>
  <si>
    <t xml:space="preserve">        b) dochody majątkowe w wysokości                                        </t>
  </si>
  <si>
    <t>ZAŁĄCZNIK nr 4</t>
  </si>
  <si>
    <t xml:space="preserve">                                     UCHWAŁA  NR   </t>
  </si>
  <si>
    <t>758</t>
  </si>
  <si>
    <t>4300</t>
  </si>
  <si>
    <t>700</t>
  </si>
  <si>
    <t>70005</t>
  </si>
  <si>
    <t>900</t>
  </si>
  <si>
    <t>6050</t>
  </si>
  <si>
    <t>Przebudowa - likwidacja kolizji sieci elektroenergetycznej obręb Maliniec</t>
  </si>
  <si>
    <t>0970</t>
  </si>
  <si>
    <t>75814</t>
  </si>
  <si>
    <t>6680</t>
  </si>
  <si>
    <t>600</t>
  </si>
  <si>
    <t>Budżet</t>
  </si>
  <si>
    <t>FOŚ</t>
  </si>
  <si>
    <t>Zwiększenie z niewygasów</t>
  </si>
  <si>
    <t>Po zmianach</t>
  </si>
  <si>
    <t>zamiana środków  FOŚ na budżetowe</t>
  </si>
  <si>
    <t>Po zmianach (niewygasy)</t>
  </si>
  <si>
    <t xml:space="preserve">pkt 2)  kwotę rezerwy celowej oświatowej </t>
  </si>
  <si>
    <t>w ust. 6</t>
  </si>
  <si>
    <t>w ust. 7</t>
  </si>
  <si>
    <t>Załącznik nr 4 do uchwały budżetowej obejmujący:</t>
  </si>
  <si>
    <t>" Limit wydatków majątkowych na programy finansowane z udziałem środków, o których</t>
  </si>
  <si>
    <t xml:space="preserve">                    Zmniejsza się</t>
  </si>
  <si>
    <t xml:space="preserve">                       Zwiększa się</t>
  </si>
  <si>
    <t>w tym:</t>
  </si>
  <si>
    <t xml:space="preserve"> </t>
  </si>
  <si>
    <t>§ 1</t>
  </si>
  <si>
    <t>Dz.</t>
  </si>
  <si>
    <t>§</t>
  </si>
  <si>
    <t>Ogółem</t>
  </si>
  <si>
    <t>zadania z zakresu administracji rządowej</t>
  </si>
  <si>
    <t>Razem</t>
  </si>
  <si>
    <t>W części dotyczącej wydatków  powiatu</t>
  </si>
  <si>
    <t>Rozdz.</t>
  </si>
  <si>
    <t>RAZEM</t>
  </si>
  <si>
    <t>Zwiększa się plan wydatków o kwotę</t>
  </si>
  <si>
    <t>W części dotyczącej wydatków  gminy</t>
  </si>
  <si>
    <t xml:space="preserve">                                     RADY  MIASTA  KONINA</t>
  </si>
  <si>
    <t xml:space="preserve">          Na podstawie art. 18 ust. 2 pkt 4 ustawy z dnia 8 marca 1990 r. o samorządzie gminnym</t>
  </si>
  <si>
    <t>(Dz. U. z 2001r. Nr  142 poz. 1591 ze zm.), art. 211 ustawy z dnia 27 sierpnia 2009 r.</t>
  </si>
  <si>
    <t xml:space="preserve">o finansach  publicznych (Dz. U.   Nr  157 poz. 1240 ze zm.)   R a d a    M i a s t a   K o n i n a  </t>
  </si>
  <si>
    <t xml:space="preserve"> u c h w a l a,  co następuje :</t>
  </si>
  <si>
    <t>1. W § 1 ust. 1</t>
  </si>
  <si>
    <t xml:space="preserve">         Kwotę dochodów ogółem      </t>
  </si>
  <si>
    <t xml:space="preserve">         zastępuje się kwotą</t>
  </si>
  <si>
    <t xml:space="preserve">           z tego:</t>
  </si>
  <si>
    <t>z tego:</t>
  </si>
  <si>
    <t xml:space="preserve">        a) dochody bieżące w wysokości                                        </t>
  </si>
  <si>
    <t>zastępuje się kwotą</t>
  </si>
  <si>
    <t xml:space="preserve">             Zmniejsza się</t>
  </si>
  <si>
    <t xml:space="preserve">          Zwiększa się</t>
  </si>
  <si>
    <t>Kwotę wydatków ogółem</t>
  </si>
  <si>
    <t xml:space="preserve">           1) kwotę  wydatków  gminy  ogółem                      </t>
  </si>
  <si>
    <t>z tego;</t>
  </si>
  <si>
    <t xml:space="preserve">          a) kwotę wydatków bieżących ogółem                      </t>
  </si>
  <si>
    <t xml:space="preserve">          b) kwotę wydatków majątkowych ogółem                      </t>
  </si>
  <si>
    <t xml:space="preserve">           2) kwotę  wydatków  powiatu ogółem                      </t>
  </si>
  <si>
    <t xml:space="preserve">                  Zwiększa się</t>
  </si>
  <si>
    <r>
      <t xml:space="preserve"> W Załączniku  nr 3 do uchwały budżetowej obejmującym   </t>
    </r>
    <r>
      <rPr>
        <i/>
        <sz val="12"/>
        <rFont val="Times New Roman"/>
        <family val="1"/>
      </rPr>
      <t xml:space="preserve">"Plan wydatków majątkowych realizowanych </t>
    </r>
  </si>
  <si>
    <t>W części dotyczącej zadań  gminy</t>
  </si>
  <si>
    <r>
      <t xml:space="preserve">Załącznik nr  3 do uchwały budżetowej otrzymuje brzmienie  w treści   </t>
    </r>
    <r>
      <rPr>
        <b/>
        <sz val="13"/>
        <rFont val="Times New Roman"/>
        <family val="1"/>
      </rPr>
      <t>Załącznika nr  1</t>
    </r>
  </si>
  <si>
    <t>do niniejszej uchwały.</t>
  </si>
  <si>
    <t xml:space="preserve">          zastępuje się kwotą</t>
  </si>
  <si>
    <t xml:space="preserve">         w tym:</t>
  </si>
  <si>
    <t>a) kwotę części gminnej</t>
  </si>
  <si>
    <t xml:space="preserve">    zastępuje się kwotą</t>
  </si>
  <si>
    <t xml:space="preserve">                                                                               § 2</t>
  </si>
  <si>
    <t>Wykonanie uchwały powierza się Prezydentowi Miasta Konina.</t>
  </si>
  <si>
    <t xml:space="preserve">                                                                               § 3</t>
  </si>
  <si>
    <t>Uchwała wchodzi w życie z dniem podjęcia.</t>
  </si>
  <si>
    <t xml:space="preserve">     Przewodniczący </t>
  </si>
  <si>
    <t>Rady Miasta Konina</t>
  </si>
  <si>
    <t>2. W Załączniku Nr 1 do uchwały budżetowej dokonuje się następujących zmian:</t>
  </si>
  <si>
    <r>
      <t xml:space="preserve">w sprawie </t>
    </r>
    <r>
      <rPr>
        <b/>
        <i/>
        <sz val="14"/>
        <rFont val="Times New Roman"/>
        <family val="1"/>
      </rPr>
      <t>zmian w budżecie miasta Konina na 2013 rok</t>
    </r>
  </si>
  <si>
    <t>W części dotyczącej dochodów  gminy</t>
  </si>
  <si>
    <t xml:space="preserve">         1) dochody gminy ogółem                                                                                  </t>
  </si>
  <si>
    <t xml:space="preserve">         W uchwale Nr 506 Rady Miasta Konina z dnia 19 grudnia 2012 r. w sprawie uchwalenia budżetu</t>
  </si>
  <si>
    <t>Projekt</t>
  </si>
  <si>
    <t>SL</t>
  </si>
  <si>
    <t>ZAŁĄCZNIK nr 1</t>
  </si>
  <si>
    <t>Plan wydatków majątkowych realizowanych ze środków budżetowych miasta Konina na 2013 rok</t>
  </si>
  <si>
    <t>w złotych</t>
  </si>
  <si>
    <t xml:space="preserve">           Plan na 2013 rok</t>
  </si>
  <si>
    <t>Lp</t>
  </si>
  <si>
    <t>Dział</t>
  </si>
  <si>
    <t>Nazwa  zadania</t>
  </si>
  <si>
    <t>Ogólny koszt zadania</t>
  </si>
  <si>
    <t>Poniesione nakłady i przewidywane do końca 2012 roku</t>
  </si>
  <si>
    <t>Zakres rzeczowy zadania</t>
  </si>
  <si>
    <t>Odpow. za realizację           i uwagi</t>
  </si>
  <si>
    <t>Termin rozpocz. i zakoń. inwestycji</t>
  </si>
  <si>
    <t>ogółem</t>
  </si>
  <si>
    <t>środki  w ramach ustawy Prawo ochrony środowiska</t>
  </si>
  <si>
    <t>RAZEM GMINA</t>
  </si>
  <si>
    <t>Transport i łączność</t>
  </si>
  <si>
    <t>Drogi publiczne gminne</t>
  </si>
  <si>
    <t>Budowa ulic na osiedlu Wilków (Leszczynowa, Borowa)</t>
  </si>
  <si>
    <t>zakup busa</t>
  </si>
  <si>
    <t>budowa windy schodowej</t>
  </si>
  <si>
    <t>budowa podjazdu</t>
  </si>
  <si>
    <t xml:space="preserve"> ścianka boulderowa</t>
  </si>
  <si>
    <t xml:space="preserve">zakupu oprogramowania wraz z licencją </t>
  </si>
  <si>
    <t>budowa chodnika ze schodami</t>
  </si>
  <si>
    <t xml:space="preserve">ikwidacja kolizji sieci elektroenergetycznej </t>
  </si>
  <si>
    <t>place zabaw</t>
  </si>
  <si>
    <t>docieplenie ściań zwenętrznych i dachu</t>
  </si>
  <si>
    <t>hangar plus wyposażenie</t>
  </si>
  <si>
    <t>1. Budowa przyłącza dla MBP na ul. Dworcowej i dla Konińskiego Domu Kultury.
2. Budowa przyłącza dla I Liceum Ogólnokształcącego.
3. Wypełnienie światłowodem rurociągu na trasie od ul. Powstańców Wielkopolskich do ul. Kleczewskiej.</t>
  </si>
  <si>
    <t>80148</t>
  </si>
  <si>
    <t>0830</t>
  </si>
  <si>
    <t>80101</t>
  </si>
  <si>
    <t>3020</t>
  </si>
  <si>
    <t>4170</t>
  </si>
  <si>
    <t>4240</t>
  </si>
  <si>
    <t>4270</t>
  </si>
  <si>
    <t>4700</t>
  </si>
  <si>
    <t>80146</t>
  </si>
  <si>
    <t>4210</t>
  </si>
  <si>
    <t>4220</t>
  </si>
  <si>
    <t>4260</t>
  </si>
  <si>
    <t>dz.801 rozdz.80104  § 6050   zwiększa się o kwotę</t>
  </si>
  <si>
    <t>80130</t>
  </si>
  <si>
    <t>dz.853 rozdz.85395 § 6067   zwiększa się o kwotę</t>
  </si>
  <si>
    <t>Zakup laptopa dla Przedszkola nr 10</t>
  </si>
  <si>
    <t>Zakup wyposażenia placu zabaw dla Przedszkola nr 10</t>
  </si>
  <si>
    <t>z dnia 29 maja 2013 roku</t>
  </si>
  <si>
    <t xml:space="preserve">do Uchwały nr </t>
  </si>
  <si>
    <t>ZAŁĄCZNIK nr  2</t>
  </si>
  <si>
    <t>Limit  wydatków majątkowych   na  programy finansowane  z udziałem</t>
  </si>
  <si>
    <t>środków o których mowa w art. 5 ust. 1 pkt 2 i 3  ustawy</t>
  </si>
  <si>
    <t>o finansach publicznych na 2013 rok</t>
  </si>
  <si>
    <t xml:space="preserve">                     2013 rok</t>
  </si>
  <si>
    <t>Środki z EFRR i EFS</t>
  </si>
  <si>
    <t>Europejski Fundusz Rozwoju Regionalnego - Program Operacyjny Innowacyjna Gospodarka</t>
  </si>
  <si>
    <t>Miasto Konin -Urząd Miejski w Koninie</t>
  </si>
  <si>
    <t>cel - Rozwój polskiej gospodarki w oparciu o innowacyjne przedsiębiorstwa</t>
  </si>
  <si>
    <t xml:space="preserve">Zwiększenie atrakcyjności Konina i subregionu konińskiego w ramach projektu pt.: "Przygotowanie terenów inwestycyjnych w obrębie Konin-Międzylesie (działania studyjno-koncepcyjne)" </t>
  </si>
  <si>
    <t>2011-2013</t>
  </si>
  <si>
    <t>cel: Poprawa sytuacji na konińskim rynku pracy bezrobotnych mieszkańców miasta Konina zamierzajacych rozpocząć działalność gospodarczą poprzez wsparcie postaw służacych rozwojowi przedasiębiorczości i samozatrudnienie</t>
  </si>
  <si>
    <t>Projekt Pt.  "Dobry pomysł na firmę - wspomagamy przedsiębiorczość w Koninie"</t>
  </si>
  <si>
    <t xml:space="preserve">do Uchwały nr      </t>
  </si>
  <si>
    <t xml:space="preserve">z dnia  29 maja 2013 roku       </t>
  </si>
  <si>
    <t xml:space="preserve">do Uchwały nr   </t>
  </si>
  <si>
    <t>853</t>
  </si>
  <si>
    <t>85395</t>
  </si>
  <si>
    <t>2007</t>
  </si>
  <si>
    <t>6207</t>
  </si>
  <si>
    <t>4217</t>
  </si>
  <si>
    <t>6067</t>
  </si>
  <si>
    <t>zakup laptopa</t>
  </si>
  <si>
    <t xml:space="preserve">zakup wyposażenia placu zabaw </t>
  </si>
  <si>
    <t>Założenie systemu sygnalizacji włamania w Przedszkolu nr 25 BAJKA</t>
  </si>
  <si>
    <t>założenie systemu sygnalizacji włamania</t>
  </si>
  <si>
    <t>przebudowa ulic wraz z oświetleniem i odwodnieniem</t>
  </si>
  <si>
    <t>WI</t>
  </si>
  <si>
    <t>2012/2013</t>
  </si>
  <si>
    <t>Budowa ulic na osiedlu Chorzeń (Tulipanowa i Krokusowa)</t>
  </si>
  <si>
    <t>budowa ulic wraz z oświetleniem i odwodnieniem</t>
  </si>
  <si>
    <t>Przebudowa ulicy Jana Matejki w Koninie</t>
  </si>
  <si>
    <t>przebudowa ulicy wraz z oświetleniem i odwodnieniem</t>
  </si>
  <si>
    <t>Przebudowa ulicy Stodolnianej w Koninie</t>
  </si>
  <si>
    <t>2012/2014</t>
  </si>
  <si>
    <t>Budowa chodnika przy ul. Nowiny w kierunku cmentarza parafialnego</t>
  </si>
  <si>
    <t>budowa chodnika wraz z odwodnieniem i oświetleniem</t>
  </si>
  <si>
    <t xml:space="preserve">Budowa przedłużenia ul. Makowej od Al. Astrów do torów kolejowych   </t>
  </si>
  <si>
    <t>wykonanie dokumentacji projektowej wraz z etapem przygotowania do realizacji</t>
  </si>
  <si>
    <t>Opracowanie dokumentacji projektowo-kosztorysowej na budowę ulicy Wierzbowej (od ul. Europejskiej w kierunku wschodnim)</t>
  </si>
  <si>
    <t>wykonanie dokumentacji projektowo-kosztorysowej</t>
  </si>
  <si>
    <t>Budowa i przebudowa ulicy Kapitańskiej w Koninie</t>
  </si>
  <si>
    <t>budowa i przebudowa ulicy wraz z oświetleniem i odwodnieniem</t>
  </si>
  <si>
    <t>Rozbudowa skrzyżowania ulic Stanisława Staszica, Romana Dmowskiego i Tadeusza Kościuszki na skrzyżowanie typu "rondo" w Koninie</t>
  </si>
  <si>
    <t>budowa ronda na skrzyżowaniu ulic, oświetlenie ronda, kanalizacja deszczowa</t>
  </si>
  <si>
    <t>Budowa parkingu przy ul. Sadowej 9</t>
  </si>
  <si>
    <t>opracowanie dokumentacji projektowo-kosztorysowej, realizacja zadania</t>
  </si>
  <si>
    <t>DR</t>
  </si>
  <si>
    <t>Budowa ulicy Drewnowskiego i ulicy Godlewskiego</t>
  </si>
  <si>
    <t>budowa ulicy wraz z odwodnieniem i oświetleniem</t>
  </si>
  <si>
    <t>Opracowanie dokumentacji projektowo- kosztorysowej  kładki nad Kanałem Ulgi</t>
  </si>
  <si>
    <t xml:space="preserve">opracowanie dokumentacji projektowo-kosztorysowej, </t>
  </si>
  <si>
    <t>Opracowanie dokumentacji  projektowo –  kosztorysowej na budowę ulicy Brunatnej w Koninie - etap I</t>
  </si>
  <si>
    <t>Dostawa i montaż parkomatów na terenie miasta Konina</t>
  </si>
  <si>
    <t>dostawa i montaż 7 szt. parkomatów</t>
  </si>
  <si>
    <t>Gospodarka mieszkaniowa</t>
  </si>
  <si>
    <t>Gospodarka gruntami i nieruchomościami</t>
  </si>
  <si>
    <t>Nabycie nieruchomości gruntowych</t>
  </si>
  <si>
    <t>GN/GM</t>
  </si>
  <si>
    <t>2012-2016</t>
  </si>
  <si>
    <t>Pozostała działalność</t>
  </si>
  <si>
    <t>Modernizacja wewnętrznej instalacji elektrycznej w budynkach przy ul. Kanałowej 6, 7, 11</t>
  </si>
  <si>
    <t>opracowanie dokumentacji i realizacja</t>
  </si>
  <si>
    <t>Administracja publiczna</t>
  </si>
  <si>
    <t>Urzędy gmin (miast i miast na prawach powiatu)</t>
  </si>
  <si>
    <t>Doposażenie techniczne Urzędu</t>
  </si>
  <si>
    <t xml:space="preserve">zakup drukarek, komputerów, MS Office MOLP, zakup rzutnika i laptopa </t>
  </si>
  <si>
    <t>IN</t>
  </si>
  <si>
    <t>Adaptacja budynku przy ul. Benesza 1 w Koninie  na cele administracyjne</t>
  </si>
  <si>
    <t xml:space="preserve">adaptacja istniejącego budynku na cele administracji  </t>
  </si>
  <si>
    <t>2012-2014</t>
  </si>
  <si>
    <t>Adaptacja budynku przy ul. 3 Maja 1 i 3 na Centrum Organizacji Pozarządowych</t>
  </si>
  <si>
    <t>adaptacja istniejącego budynku na potrzeby COP</t>
  </si>
  <si>
    <t>Bezpieczeństwo publiczne i ochrona przeciwpożarowa</t>
  </si>
  <si>
    <t>Ochotnicze Straże Pożarne</t>
  </si>
  <si>
    <t xml:space="preserve">Zakupy inwestycyjne </t>
  </si>
  <si>
    <t>zakup motopompy Niagara  dla OSP Cukrownia</t>
  </si>
  <si>
    <t>WZ</t>
  </si>
  <si>
    <t>Obrona cywilna</t>
  </si>
  <si>
    <t>zakup i montaż 1 elektronicznej syreny alarmowej tubowej wraz z osprzętem (montaż 1 punktu alarmowego)</t>
  </si>
  <si>
    <t>Rezerwa celowa na inwestycje i zakupy inwestycyjne</t>
  </si>
  <si>
    <t>Oświata i wychowanie</t>
  </si>
  <si>
    <t>Szkoły podstawowe</t>
  </si>
  <si>
    <t>Budowa placu zabaw w ramach programu rządowego "Radosna Szkoła" przy Szkole Podstawowej Nr 1</t>
  </si>
  <si>
    <t>budowa dużego placu zabaw</t>
  </si>
  <si>
    <t>SPnr 1/WO (realizacja pod warunkiem otrzymania środków z budżetu państwa)</t>
  </si>
  <si>
    <t xml:space="preserve">Opracowanie koncepcji i studium wykonalności na budowę sali gimnastycznej przy SP nr 1
</t>
  </si>
  <si>
    <t xml:space="preserve">koncepcja i studium wykonalności </t>
  </si>
  <si>
    <t>Zakup kserokopiarki dla Szkoły Podstawowej Nr 1</t>
  </si>
  <si>
    <t xml:space="preserve">zakup kserokopiarki </t>
  </si>
  <si>
    <t>SP nr 11/WO</t>
  </si>
  <si>
    <t>Przedszkola</t>
  </si>
  <si>
    <t>Modernizacja i rozbudowa budynku przy ul. Kamiennej 28 w Koninie</t>
  </si>
  <si>
    <t>adaptacja budynku na potrzeby punktu przedszkolnego i świetlicy</t>
  </si>
  <si>
    <t>Modernizacja placu zabaw Przedszkola nr 31</t>
  </si>
  <si>
    <t>modernizacja placu zabaw</t>
  </si>
  <si>
    <t>P nr 31/WO</t>
  </si>
  <si>
    <t xml:space="preserve">założenie monitoringu wizyjnego </t>
  </si>
  <si>
    <t>P nr 25/WO</t>
  </si>
  <si>
    <t>Założenie monitoringu wizyjnego przy Przedszkolu Nr 31</t>
  </si>
  <si>
    <t>Termomodernizacja budynku Przedszkola nr 10</t>
  </si>
  <si>
    <t>docieplenie ścian</t>
  </si>
  <si>
    <t>P nr 10/WO</t>
  </si>
  <si>
    <t>Budowa parkingu przy Przedszkolu nr 7 w Koninie</t>
  </si>
  <si>
    <t>budowa parkingu</t>
  </si>
  <si>
    <t>Zakup obieraczki do ziemniaków dla Przedszkola Nr 4</t>
  </si>
  <si>
    <t xml:space="preserve">zakup obieraczki do ziemniaków </t>
  </si>
  <si>
    <t>P nr 4/WO</t>
  </si>
  <si>
    <t>Gimnazja</t>
  </si>
  <si>
    <t>Zakup kserokopiarki dla Gimnazjum Nr 2</t>
  </si>
  <si>
    <t>G nr 2/WO</t>
  </si>
  <si>
    <t>Stołówki szkolne i przedszkolne</t>
  </si>
  <si>
    <t>Zakup kotła warzelnego dla SP-15</t>
  </si>
  <si>
    <t xml:space="preserve">zakup kotła warzelnego </t>
  </si>
  <si>
    <t>SP nr 15/WO</t>
  </si>
  <si>
    <t>Zarządzanie energią w budynkach użyteczności publicznej w Koninie</t>
  </si>
  <si>
    <t xml:space="preserve">wymiana oświetlenia na energooszczędne </t>
  </si>
  <si>
    <t>Ochrona zdrowia</t>
  </si>
  <si>
    <t>Izby wytrzeźwień</t>
  </si>
  <si>
    <t>Zakup sprzętu medycznego</t>
  </si>
  <si>
    <t>zakup sprzętu medycznego</t>
  </si>
  <si>
    <t>ODPOzPAiP</t>
  </si>
  <si>
    <t>Pozostałe zadania w zakresie polityki społecznej</t>
  </si>
  <si>
    <t xml:space="preserve">Pozostała działalność </t>
  </si>
  <si>
    <t>Zakup sprzętu do zabaw ruchowych na plac zabaw dla Przedszkola nr 32</t>
  </si>
  <si>
    <t>sprzęt do zabaw ruchowych</t>
  </si>
  <si>
    <t>P nr 32/WO</t>
  </si>
  <si>
    <t>Zakup sprzętu do Sali Doświadczania Świata dla Przedszkola nr 32</t>
  </si>
  <si>
    <t xml:space="preserve"> sprzęt do Sali Doświadczania Świata</t>
  </si>
  <si>
    <t>Zakup sprzętu rehabilitacyjnego dla Przedszkola nr 32</t>
  </si>
  <si>
    <t xml:space="preserve">sprzęt rehabilitacyjny </t>
  </si>
  <si>
    <t>Jesteś przedsiębiorczy! Zacznij działać już dziś w  Koninie - w ramach programu POKL (dotacja celowa)</t>
  </si>
  <si>
    <t>przekazanie dotacji inwestycyjnej na założenie działalności gospodarczej zgodnie z biznesplanem m.in. na zakup sprzętu komputerowego i oprogramowania, maszyn i urządzeń lub remont pomieszczeń</t>
  </si>
  <si>
    <t>DG</t>
  </si>
  <si>
    <t>Jesteś przedsiębiorczy! Zacznij działać już dziś w  Koninie  - w ramach programu POKL (dotacja celowa)</t>
  </si>
  <si>
    <t>Dobry pomysł na firmę - wspomagamy przedsiębiorczość w Koninie - w ramach programu POKL (dotacja celowa)</t>
  </si>
  <si>
    <t>rozwój przedsiębiorczości w mieście Koninie oraz poprawa sytuacji na rynku pracy -wsparcie 47 os. które rozpoczęły działalność gospodarczą</t>
  </si>
  <si>
    <t>Gospodarka komunalna i ochrona środowiska</t>
  </si>
  <si>
    <t>Gospodarka odpadami</t>
  </si>
  <si>
    <t xml:space="preserve">Usuwanie wyrobów zawierających azbest z nieruchomości położonych na terenie miasta Konina </t>
  </si>
  <si>
    <t xml:space="preserve">usuwanie wyrobów zawierających azbest </t>
  </si>
  <si>
    <t>OŚ</t>
  </si>
  <si>
    <t>Oświetlenie ulic, placów i dróg</t>
  </si>
  <si>
    <t xml:space="preserve">Zakup i montaż ulicznych lamp solarnych </t>
  </si>
  <si>
    <t xml:space="preserve">Budowa sygnalizacji świetlnej na skrzyżowaniu ul. Przemysłowej i ul. Gosławickiej  wraz z doświetleniem przejść dla pieszych
</t>
  </si>
  <si>
    <t xml:space="preserve">sygnalizacja świetlna oraz doświetlenie 3 przejść dla pieszych  – rejon ul. Gosławickiej,  ul. Jędrzejewskiego, przy wjeździe do ZE PAK
</t>
  </si>
  <si>
    <t xml:space="preserve">Budowa  sygnalizacji świetlnej na skrzyżowaniu ulic Zagórowska - Pułaskiego  - Marii  Dąbrowskiej
</t>
  </si>
  <si>
    <t>sygnalizacja świetlna</t>
  </si>
  <si>
    <t>Doświetlenie przejść dla pieszych w Koninie</t>
  </si>
  <si>
    <t xml:space="preserve"> z dnia 30 stycznia 2013 r. Nr 13/2013 Prezydenta Miasta Konina z dnia 7 lutego 2013 r.; Nr 14/2013 Prezydenta</t>
  </si>
  <si>
    <t>Miasta Konina z dnia  15 lutego 2013 r.; Nr 522 Rady Miasta Konina z dnia 27 lutego 2013 r.; Nr 22/2013</t>
  </si>
  <si>
    <t>Prezydenta Miasta Konina z dnia 7 marca 2013 r; Nr 25/2013 Prezydenta Miasta Konina z dnia 14 marca 2013 r.;</t>
  </si>
  <si>
    <t>Nr 540 Rady Miasta Konina z dnia 27 marca 2013 r.;  Nr 40/2013 Prezydenta Miasta Konina z dnia</t>
  </si>
  <si>
    <t>Załącznik nr 5 do uchwały budżetowej obejmujący:</t>
  </si>
  <si>
    <t>" Limit wydatków bieżących na programy finansowane z udziałem środków, o których</t>
  </si>
  <si>
    <r>
      <t xml:space="preserve">mowa w art. 5 ust. 1 pkt 2 i 3 ustawy o finansach publicznych na 2013 rok" </t>
    </r>
    <r>
      <rPr>
        <sz val="13"/>
        <rFont val="Times New Roman"/>
        <family val="1"/>
      </rPr>
      <t xml:space="preserve">otrzymuje </t>
    </r>
  </si>
  <si>
    <r>
      <t xml:space="preserve">Załącznik nr 11 do uchwały budżetowej obejmujący  </t>
    </r>
    <r>
      <rPr>
        <i/>
        <sz val="13"/>
        <rFont val="Times New Roman"/>
        <family val="1"/>
      </rPr>
      <t>"Plan dotacji dla podmiotów nie zaliczanych</t>
    </r>
  </si>
  <si>
    <t>do sektora finansów publicznych na cele publiczne związane z realizacją zadań miasta na 2013 rok"</t>
  </si>
  <si>
    <t>ust. 1</t>
  </si>
  <si>
    <r>
      <t xml:space="preserve">brzmienie w treści </t>
    </r>
    <r>
      <rPr>
        <b/>
        <sz val="13"/>
        <rFont val="Times New Roman"/>
        <family val="1"/>
      </rPr>
      <t>Załącznika nr 3</t>
    </r>
    <r>
      <rPr>
        <sz val="13"/>
        <rFont val="Times New Roman"/>
        <family val="1"/>
      </rPr>
      <t xml:space="preserve">  do niniejszej uchwały</t>
    </r>
  </si>
  <si>
    <r>
      <t xml:space="preserve">otrzymuje brzmienie w treści   </t>
    </r>
    <r>
      <rPr>
        <b/>
        <sz val="13"/>
        <rFont val="Times New Roman"/>
        <family val="1"/>
      </rPr>
      <t xml:space="preserve">Załącznika nr 4 </t>
    </r>
    <r>
      <rPr>
        <sz val="13"/>
        <rFont val="Times New Roman"/>
        <family val="1"/>
      </rPr>
      <t>do niniejszej uchwały</t>
    </r>
  </si>
  <si>
    <r>
      <t xml:space="preserve">Załącznik nr 12 do uchwały budżetowej obejmujący  </t>
    </r>
    <r>
      <rPr>
        <i/>
        <sz val="13"/>
        <rFont val="Times New Roman"/>
        <family val="1"/>
      </rPr>
      <t>"Plan dotacji dla podmiotów  zaliczanych</t>
    </r>
  </si>
  <si>
    <r>
      <t xml:space="preserve">otrzymuje brzmienie w treści   </t>
    </r>
    <r>
      <rPr>
        <b/>
        <sz val="13"/>
        <rFont val="Times New Roman"/>
        <family val="1"/>
      </rPr>
      <t xml:space="preserve">Załącznika nr 5 </t>
    </r>
    <r>
      <rPr>
        <sz val="13"/>
        <rFont val="Times New Roman"/>
        <family val="1"/>
      </rPr>
      <t>do niniejszej uchwały</t>
    </r>
  </si>
  <si>
    <t xml:space="preserve">11 kwietnia 2013 r.; Nr 559  Rady Miasta Konina z dnia 24 kwietnia 2013 r.Nr 46/2013 Prezydenta Miasta Konina </t>
  </si>
  <si>
    <t xml:space="preserve">z dnia  25 kwietnia 2013 r.;  Nr 49/2013 Prezydenta Miasta Konina z dnia 29 kwietnia 2013 r.;  </t>
  </si>
  <si>
    <t>Opracowanie dokumentacji projektowo-kosztorysowej ścieżki rowerowej wokół Wyspy Pociejewo</t>
  </si>
  <si>
    <t>a/ nabycie działek gruntu obrębach: Pawłówek, Przydziałki, Grójec, Łężyn, Nowy Dwór ;  b/ nabycie gruntów w związku z przebudową ulic: Europejskiej, Kolskiej, Warszawskiej                                                          c/ wykupy gruntów pod budowę przyszłych dróg na terenie całego miasta</t>
  </si>
  <si>
    <t>Zakup i zamontowanie windy dla uczniów niepełnosprawnych w  SP nr 15 w Koninie</t>
  </si>
  <si>
    <t>zakup i zamontowanie windy</t>
  </si>
  <si>
    <t>Utrzymanie zieleni w miastach i gminach</t>
  </si>
  <si>
    <t>Modernizacja oświetlenia ulicznego miasta  Konina na energooszczędne</t>
  </si>
  <si>
    <t>2013/2015</t>
  </si>
  <si>
    <t>Adaptacja pomieszczeń budynku Klubu Energetyk na potrzeby Młodzieżowego Domu Kultury w Koninie</t>
  </si>
  <si>
    <t xml:space="preserve">adaptacja pomieszczeń budynku </t>
  </si>
  <si>
    <t>przebudowa chodnika</t>
  </si>
  <si>
    <t>remont kościoła ,  konserwacja ołtarzy bocznych  pw. św. Bartłomieja w Koninie</t>
  </si>
  <si>
    <t>renowacja  i koserwacja  ołtarza barokowego w kościele pw. św. Marii Magdaleny w Klasztorze oo Franciszkanów w Koninie</t>
  </si>
  <si>
    <t>4040</t>
  </si>
  <si>
    <t>4410</t>
  </si>
  <si>
    <t>4440</t>
  </si>
  <si>
    <t>4120</t>
  </si>
  <si>
    <t>Wniesienie wkładu pieniężnego na opracowanie dokumentacji projektowej na budowę kanalizacji sanitarnej os. Wilków V etap (ul. Topolowa, Jarzębinowa)</t>
  </si>
  <si>
    <t>dz. 900 rozdz.90095 § 6010   zwiększa się o kwotę</t>
  </si>
  <si>
    <t xml:space="preserve">Wniesienie wkładu pieniężnego na opracowanie dokumentacji projektowej na </t>
  </si>
  <si>
    <t xml:space="preserve"> budowę kanalizacji sanitarnej os. Wilków V etap (ul. Topolowa, Jarzębinowa)</t>
  </si>
  <si>
    <t>ulic Kleczewska-Fryderyka Chopina</t>
  </si>
  <si>
    <t xml:space="preserve">Przebudowa Wiaduktu Briańskiego wraz ze skrzyżowaniem  </t>
  </si>
  <si>
    <t>6010</t>
  </si>
  <si>
    <t>710</t>
  </si>
  <si>
    <t>71014</t>
  </si>
  <si>
    <t>ust. 2</t>
  </si>
  <si>
    <t xml:space="preserve">ul. Przemysłowa (dawny 
Konwart); ul.Przemysłowa  - ul. Jeziorna; ul. Przemysłowa – Maliniec  (2 przejścia – rejon ul. Zapłocie i  ul. Malinieckiej); 
ul. Przemysłowa – Gaj; ul. Ślesińska - Cukrownia
</t>
  </si>
  <si>
    <t xml:space="preserve">Budowa oświetlenia ulicznego Al.. Cukrownicza, ul. Pałacowa, ul. 150-lecia, ul. Kortowa
</t>
  </si>
  <si>
    <t>oświetlenie uliczne</t>
  </si>
  <si>
    <t>Budowa kanalizacji deszczowej na terenie osiedla Pątnów  w Koninie</t>
  </si>
  <si>
    <t>dokumentacja projektowo-kosztorysowa</t>
  </si>
  <si>
    <t>Przygotowanie terenów inwestycyjnych w obrębie Konin - Międzylesie</t>
  </si>
  <si>
    <t>opracowanie studyjno-koncepcyjne, opracowanie dokumentacji projektowej</t>
  </si>
  <si>
    <t>2011/2013</t>
  </si>
  <si>
    <t>Budowa przyłączy kanalizacyjnych i przyłączenie nieruchomości do miejskiej sieci kanalizacyjnej</t>
  </si>
  <si>
    <t>przyłącza kanalizacyjne</t>
  </si>
  <si>
    <t>GK</t>
  </si>
  <si>
    <t xml:space="preserve">Kultura fizyczna </t>
  </si>
  <si>
    <t>Obiekty sportowe</t>
  </si>
  <si>
    <t>Wykonanie piłkochwytów przy boisku ORLIK 2012 przy Gimnazjum nr 3 na os. Chorzeń</t>
  </si>
  <si>
    <t>podwyższenie istniejących piłkochwytów</t>
  </si>
  <si>
    <t>Dokumentacja przyszłościowa na budowę boiska przy Gimnazjum                      nr 7 ul. Kard.Wyszyńskiego</t>
  </si>
  <si>
    <t>opracowanie dokumentacji projektowej</t>
  </si>
  <si>
    <t xml:space="preserve">Instytucje kultury fizycznej </t>
  </si>
  <si>
    <t>Wykonanie siłowni terenowej na osiedlu Zatorze</t>
  </si>
  <si>
    <t>siłownia terenowa</t>
  </si>
  <si>
    <t>MOSiR</t>
  </si>
  <si>
    <t>RAZEM POWIAT</t>
  </si>
  <si>
    <t>Drogi publiczne w miastach na prawach powiatu</t>
  </si>
  <si>
    <t>Przebudowa Wiaduktu Briańskiego wraz ze skrzyżowaniem ulic Kleczewska-Fryderyka Chopina</t>
  </si>
  <si>
    <t>przebudowa wiaduktu wraz ze skrzyżowaniem ulic oraz odwodnieniem i oświetleniem</t>
  </si>
  <si>
    <t>WI/GN</t>
  </si>
  <si>
    <t>Przebudowa ul. Żwirki i Wigury wraz z kanalizacją deszczową</t>
  </si>
  <si>
    <t>przebudowa ulicy wraz z kanalizacją deszczową</t>
  </si>
  <si>
    <t xml:space="preserve">Opracowanie dokumentacji projektowo-kosztorysowej na połączenie ul. I. Paderewskiego z ul. Kard. S. Wyszyńskiego
</t>
  </si>
  <si>
    <t xml:space="preserve">Opracowanie dokumentacji projektowej na przebudowę parkingu przy ul.Kard. S. Wyszyńskiego
</t>
  </si>
  <si>
    <t>Aktualizacja dokumentacji projektowej na II etap nowego przebiegu drogi krajowej Nr 25</t>
  </si>
  <si>
    <t xml:space="preserve">aktualizacja dokumentacji projektowej </t>
  </si>
  <si>
    <t>Działalność usługowa</t>
  </si>
  <si>
    <t>Ośrodki dokumentacji geodezyjnej i kartograficznej</t>
  </si>
  <si>
    <t>Zakup sprzętu komputerowego i kserograficznego do obsługi państwowego zasobu geodezyjnego i kartograficznego</t>
  </si>
  <si>
    <t>zakup sprzętu komputerowego i kserograficznego</t>
  </si>
  <si>
    <t>GM</t>
  </si>
  <si>
    <t>Nadzór budowlany</t>
  </si>
  <si>
    <t>Zakup urządzenia biurowego wielofunkcyjnego dla PINB dla miasta Konina</t>
  </si>
  <si>
    <t>zakup urządzenia wielofunkcyjnego (drukarka, fax., skan, kserokopiarka)</t>
  </si>
  <si>
    <t>PINB</t>
  </si>
  <si>
    <t>Zakup zestawu komputerowego wraz z oprogramowaniem dla PINB dla miasta Konina</t>
  </si>
  <si>
    <t>zakup komputera stacjonarnego (komputer, monitor, mysz, klawiatura, oprogramowanie)</t>
  </si>
  <si>
    <t>Komendy powiatowe Państwowej Straży Pożarnej</t>
  </si>
  <si>
    <t>Przebudowa pomieszczeń garażowych budynku strażnicy wraz z modernizacją kanalizacji deszczowej oraz wymianą nawierzchni placu manewrowego JRG Nr 1 i Komendy Miejskiej Państwowej Straży Pożarnej w Koninie</t>
  </si>
  <si>
    <t xml:space="preserve">       PLAN  PRZYCHODÓW  I  WYDATKÓW SAMORZĄDOWEGO ZAKŁADU BUDŻETOWEGO </t>
  </si>
  <si>
    <t xml:space="preserve">                                                                            NA 2013 ROK</t>
  </si>
  <si>
    <t>Plan przychodów na 2013 rok</t>
  </si>
  <si>
    <t xml:space="preserve">w tym: </t>
  </si>
  <si>
    <t>TREŚĆ</t>
  </si>
  <si>
    <t>PRZYCHODY</t>
  </si>
  <si>
    <t>kwota dotacji z budżetu miasta</t>
  </si>
  <si>
    <t>zakres dotacji</t>
  </si>
  <si>
    <t>WYDATKI</t>
  </si>
  <si>
    <t>wpłata do budżetu</t>
  </si>
  <si>
    <t>rozdział</t>
  </si>
  <si>
    <t xml:space="preserve">  w tym:</t>
  </si>
  <si>
    <t>1.</t>
  </si>
  <si>
    <t>Miejski Zakład Komunikacji</t>
  </si>
  <si>
    <t>a) dotacja przedmiotowa</t>
  </si>
  <si>
    <t>dotacja przedmiotowa do kosztów utrzymania zbiorowej komunikacji miejskiej</t>
  </si>
  <si>
    <t xml:space="preserve">       w tym:</t>
  </si>
  <si>
    <t xml:space="preserve">       porozumienia międzygminne</t>
  </si>
  <si>
    <t xml:space="preserve">z dnia  29 maja 2013 roku      </t>
  </si>
  <si>
    <t>a/ kompleksowa modernizacja garaży,                                          b/ kompleksowa modernizacja łazienki w JRG Nr 1,                                                                   c/ modernizacja kanalizacji sanitarnej i deszczowej w garażach i placach manewrowych,                                                    d/ modernizacja nawierzchni placów manewrowych</t>
  </si>
  <si>
    <t>KMPSP</t>
  </si>
  <si>
    <t>Dokształcanie i doskonalenie nauczycieli</t>
  </si>
  <si>
    <t>Wymiana stolarki drzwiowej w głównym wejściu do Miejskiego Ośrodka Doskonalenia Nauczycieli w Koninie</t>
  </si>
  <si>
    <t xml:space="preserve">wymiana stolarki drzwiowej </t>
  </si>
  <si>
    <t>MODN/WO</t>
  </si>
  <si>
    <t>Pomoc społeczna</t>
  </si>
  <si>
    <t>Domy Pomocy Społecznej</t>
  </si>
  <si>
    <t>Zakup samochodu do przewozu osób niepełnosprawnych dla DPS w Koninie</t>
  </si>
  <si>
    <t xml:space="preserve">samochód do przewozu osób niepełnosprawnych </t>
  </si>
  <si>
    <t>DPS</t>
  </si>
  <si>
    <t>Rozbudowa boisk przy ZSGE                   ul. Kard. Wyszyńskiego 3  w Koninie</t>
  </si>
  <si>
    <t>opracowanie dokumentacji projektowej i wykonawstwo</t>
  </si>
  <si>
    <t>2013/2014</t>
  </si>
  <si>
    <t>Budowa instalacji wewnętrznych ciepłej wody i centralnego ogrzewania z węzłem cieplnym w budynku przy ul. Zofii Urbanowskiej 4</t>
  </si>
  <si>
    <t xml:space="preserve">Rewitalizacja Starówki - budowa budynków mieszkalnych wielorodzinnych pomiędzy ulicą  Wodną  i Grunwaldzką w Koninie </t>
  </si>
  <si>
    <t xml:space="preserve">budowa instalacji wewnętrznych ciepłej wody i centralnego ogrzewania z węzłem cieplnym </t>
  </si>
  <si>
    <t>W części dotyczącej zadań  powiatu</t>
  </si>
  <si>
    <t xml:space="preserve"> Wiesław  Steinke</t>
  </si>
  <si>
    <t xml:space="preserve">na 2013 rok:  Nr  4/2013 Prezydenta Miasta Konina z dnia 23 stycznia 2013 r.; Nr 513 Rady Miasta Konina </t>
  </si>
  <si>
    <t xml:space="preserve">miasta Konina na 2013 rok zmienionej zarządzeniami  i uchwałami w sprawie zmian w budżecie miasta Konina </t>
  </si>
  <si>
    <t>Budowa oświetlenia ul. Żwirki i Wigury w Koninie</t>
  </si>
  <si>
    <t>Przebudowa ulicy Romana Dmowskiego w Koninie</t>
  </si>
  <si>
    <t>b) kwotę części powiatowej</t>
  </si>
  <si>
    <t>przebudowa ulicy</t>
  </si>
  <si>
    <t>wymiana lamp</t>
  </si>
  <si>
    <t>801</t>
  </si>
  <si>
    <t>Budowa 4 domków mieszkalnych (8 mieszkań socjalnych) przy ul. Marii Dąbrowskiej w Koninie</t>
  </si>
  <si>
    <t>zakup i montaż lamp solarnych ul. Beznazwy, Jeziorko os.Zatorze i ul. Spacerowa</t>
  </si>
  <si>
    <t>0750</t>
  </si>
  <si>
    <t>W części dotyczącej dochodów  powiatu</t>
  </si>
  <si>
    <t xml:space="preserve">         2) dochody powiatu ogółem                                                                                  </t>
  </si>
  <si>
    <t>3. W Załączniku Nr 1 do uchwały budżetowej dokonuje się następujących zmian:</t>
  </si>
  <si>
    <t>6. W Załączniku Nr 2 do uchwały budżetowej dokonuje się następujących zmian:</t>
  </si>
  <si>
    <t>8. W § 1  w ust. 5</t>
  </si>
  <si>
    <r>
      <t xml:space="preserve">ze środków budżetowych miasta Konina na 2013 rok " </t>
    </r>
    <r>
      <rPr>
        <sz val="12"/>
        <rFont val="Times New Roman"/>
        <family val="1"/>
      </rPr>
      <t xml:space="preserve"> dokonuje się następujących zmian"</t>
    </r>
  </si>
  <si>
    <t xml:space="preserve">      PLAN DOTACJI DLA PODMIOTÓW NIE ZALICZANYCH DO SEKTORA FINANSÓW </t>
  </si>
  <si>
    <t>PUBLICZNYCH NA CELE PUBLICZNE ZWIĄZANE Z REALIZACJĄ ZADAŃ MIASTA  NA 2013 ROK</t>
  </si>
  <si>
    <t>Wyszczególnienie</t>
  </si>
  <si>
    <t xml:space="preserve">Określenie zadań </t>
  </si>
  <si>
    <t>Plan na 2013 rok</t>
  </si>
  <si>
    <t>Razem zadania gminy</t>
  </si>
  <si>
    <t xml:space="preserve">Dotacje podmiotowe </t>
  </si>
  <si>
    <t>Prywatna Szkoła Podstawowa Zespół Edukacji Wiedza</t>
  </si>
  <si>
    <t xml:space="preserve">Centrum Szkoleniowe „WIEDZA” </t>
  </si>
  <si>
    <t xml:space="preserve">Gimnazjum Towarzystwa Salezjańskiego </t>
  </si>
  <si>
    <t>Gimnazjum Edukacji Innowacyjnej</t>
  </si>
  <si>
    <t>AP Edukacja Gimnazjum dla Dorosłych</t>
  </si>
  <si>
    <t>KIN Zdzisław Gimnazjum dla Dorosłych</t>
  </si>
  <si>
    <t xml:space="preserve">Przedszkole niepubliczne„Bajkolandia”  </t>
  </si>
  <si>
    <t>Przedszkole niepubliczne "Chatka -Puchatka"</t>
  </si>
  <si>
    <t xml:space="preserve">Punkt przedszkolny „Bajkowa Kraina”  </t>
  </si>
  <si>
    <t xml:space="preserve">Punkt przedszkolny „Misiowa Kraina”  </t>
  </si>
  <si>
    <t>Punkt przedszkolny "Mały Artysta"</t>
  </si>
  <si>
    <t>Punkt przedszkolny "Akademia Smyka"</t>
  </si>
  <si>
    <t>Dotacje celowe</t>
  </si>
  <si>
    <t>prowadzenie Punktu Konsultacyjnego dla osób i rodzin dotkniętych problemem narkotykowym</t>
  </si>
  <si>
    <t>prowadzenie świetlic środowiskowych z dożywianiem</t>
  </si>
  <si>
    <t>realizacja programu zapobiegania i przeciwdziałania przemocy w rodzinie "Bezpieczeństwo w rodzinie" i "Dzieciństwo bez przemocy" w ramach Niebieskich Kart</t>
  </si>
  <si>
    <t>realizacja programu "Szkolna Interwencja Profilaktyczna"</t>
  </si>
  <si>
    <t>organizacja półkolonii letnich i zimowych z programem profilaktycznym, z dożywianiem i zajęciami sportowymi dla dzieci z rodzin dysfunkcyjnych</t>
  </si>
  <si>
    <t>organizacja kolonii socjoterapeutycznych dla dzieci i młodzieży z rodzin dysfunkcyjnych</t>
  </si>
  <si>
    <t>prowadzenie środowiskowych ognisk wychowawczych</t>
  </si>
  <si>
    <t>prowadzenie świetlic socjoterapeutycznych</t>
  </si>
  <si>
    <t>pomoc żywnościowa dla rodzin dysfunkcyjnych</t>
  </si>
  <si>
    <t>olimpiada wiedzy nt. uzależnień</t>
  </si>
  <si>
    <t>świadczenie usług opiekuńczych w domu podopiecznego na terenie miasta Konina</t>
  </si>
  <si>
    <t>prowadzenie noclegowni i schroniska dla bezdomnych</t>
  </si>
  <si>
    <t>prowadzenie Ośrodka Rehabilitacyjno-Edukacyjno-Wychowawczego i Punktu Rehabilitacyjnego w Koninie</t>
  </si>
  <si>
    <t>dotacja celowa dla prywatnych żłobków</t>
  </si>
  <si>
    <t>"Jesteś przedsiębiorczy! Zacznij działać już dziś w Koninie "  w ramach programu POKL (dotacja celowa)</t>
  </si>
  <si>
    <t>"Dobry pomysł na firmę" wspomagamy przedsiębiorczość w Koninie - w ramach programu POKL (dotacja celowa)</t>
  </si>
  <si>
    <t xml:space="preserve">„PI  Wsparcie rozwoju narzędzi związanych z kontraktowaniem usług społecznych w Koninie” w ramach programu POKL (dotacja celowa)  </t>
  </si>
  <si>
    <t>Gospodarka komunalna                         i ochrona środowiska</t>
  </si>
  <si>
    <t>organizacja ochrony przed bezdomnymi zwierzętami art. 3 ust. 2 pkt 5 ustawy z dnia 13 września 1996 r. o utrzymaniu czystości i porządku w gminach oraz art. 11 a ustawy o ochronie zwierząt z dnia 16 września 2011 r.</t>
  </si>
  <si>
    <t xml:space="preserve">usuwanie wyrobów zawierających azbest z nieruchomości położonych na terenie miasta Konina </t>
  </si>
  <si>
    <t>budowa przyłączy kanalizacyjnych i przyłączenie nieruchomości do miejskiej sieci kanalizacyjnej</t>
  </si>
  <si>
    <t xml:space="preserve">                                     z dnia                2013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</si>
</sst>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131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sz val="10"/>
      <color indexed="48"/>
      <name val="Times New Roman"/>
      <family val="1"/>
    </font>
    <font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b/>
      <sz val="11"/>
      <color indexed="48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b/>
      <sz val="14"/>
      <color indexed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i/>
      <sz val="13"/>
      <name val="Times New Roman"/>
      <family val="1"/>
    </font>
    <font>
      <b/>
      <sz val="14"/>
      <color indexed="12"/>
      <name val="Times New Roman"/>
      <family val="1"/>
    </font>
    <font>
      <b/>
      <i/>
      <sz val="11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57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48"/>
      <name val="Times New Roman"/>
      <family val="1"/>
    </font>
    <font>
      <sz val="11"/>
      <color indexed="12"/>
      <name val="Times New Roman"/>
      <family val="1"/>
    </font>
    <font>
      <b/>
      <sz val="11"/>
      <color indexed="17"/>
      <name val="Times New Roman"/>
      <family val="1"/>
    </font>
    <font>
      <b/>
      <sz val="14"/>
      <color indexed="48"/>
      <name val="Times New Roman"/>
      <family val="1"/>
    </font>
    <font>
      <b/>
      <sz val="14"/>
      <color indexed="57"/>
      <name val="Times New Roman"/>
      <family val="1"/>
    </font>
    <font>
      <b/>
      <sz val="12"/>
      <color indexed="57"/>
      <name val="Times New Roman"/>
      <family val="1"/>
    </font>
    <font>
      <sz val="9"/>
      <name val="Arial"/>
      <family val="0"/>
    </font>
    <font>
      <sz val="14"/>
      <name val="Arial"/>
      <family val="0"/>
    </font>
    <font>
      <sz val="8"/>
      <name val="Times New Roman"/>
      <family val="1"/>
    </font>
    <font>
      <i/>
      <sz val="16"/>
      <name val="Times New Roman"/>
      <family val="1"/>
    </font>
    <font>
      <i/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0"/>
    </font>
    <font>
      <i/>
      <sz val="9"/>
      <name val="Times New Roman"/>
      <family val="1"/>
    </font>
    <font>
      <sz val="9"/>
      <name val="Arial CE"/>
      <family val="0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6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sz val="10"/>
      <name val="Arial"/>
      <family val="0"/>
    </font>
    <font>
      <sz val="16"/>
      <name val="Times New Roman"/>
      <family val="1"/>
    </font>
    <font>
      <i/>
      <sz val="10"/>
      <name val="Arial"/>
      <family val="0"/>
    </font>
    <font>
      <b/>
      <sz val="16"/>
      <name val="Times New Roman"/>
      <family val="1"/>
    </font>
    <font>
      <b/>
      <sz val="9"/>
      <name val="Arial CE"/>
      <family val="0"/>
    </font>
    <font>
      <sz val="11"/>
      <name val="Times New Roman CE"/>
      <family val="1"/>
    </font>
    <font>
      <sz val="11"/>
      <name val="Arial"/>
      <family val="0"/>
    </font>
    <font>
      <sz val="9"/>
      <color indexed="10"/>
      <name val="Times New Roman"/>
      <family val="1"/>
    </font>
    <font>
      <sz val="12"/>
      <name val="Arial"/>
      <family val="2"/>
    </font>
    <font>
      <b/>
      <sz val="10"/>
      <color indexed="10"/>
      <name val="Arial"/>
      <family val="2"/>
    </font>
    <font>
      <b/>
      <i/>
      <sz val="16"/>
      <name val="Times New Roman"/>
      <family val="1"/>
    </font>
    <font>
      <sz val="16"/>
      <color indexed="12"/>
      <name val="Times New Roman"/>
      <family val="1"/>
    </font>
    <font>
      <b/>
      <sz val="9"/>
      <color indexed="10"/>
      <name val="Times New Roman"/>
      <family val="1"/>
    </font>
    <font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i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3"/>
      <name val="Times New Roman"/>
      <family val="1"/>
    </font>
    <font>
      <sz val="12"/>
      <color indexed="12"/>
      <name val="Times New Roman"/>
      <family val="1"/>
    </font>
    <font>
      <b/>
      <i/>
      <sz val="11"/>
      <color indexed="12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48"/>
      <name val="Times New Roman"/>
      <family val="1"/>
    </font>
    <font>
      <b/>
      <sz val="9"/>
      <name val="Arial"/>
      <family val="0"/>
    </font>
    <font>
      <i/>
      <sz val="9"/>
      <name val="Arial"/>
      <family val="0"/>
    </font>
    <font>
      <b/>
      <sz val="10"/>
      <color indexed="12"/>
      <name val="Arial"/>
      <family val="2"/>
    </font>
    <font>
      <sz val="14"/>
      <name val="Arial CE"/>
      <family val="2"/>
    </font>
    <font>
      <i/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6"/>
      <name val="Arial"/>
      <family val="0"/>
    </font>
    <font>
      <sz val="16"/>
      <color indexed="10"/>
      <name val="Arial"/>
      <family val="0"/>
    </font>
    <font>
      <b/>
      <sz val="10"/>
      <color indexed="10"/>
      <name val="Arial CE"/>
      <family val="0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color indexed="10"/>
      <name val="Arial"/>
      <family val="2"/>
    </font>
    <font>
      <b/>
      <i/>
      <sz val="12"/>
      <color indexed="4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4" fillId="2" borderId="0" applyNumberFormat="0" applyBorder="0" applyAlignment="0" applyProtection="0"/>
    <xf numFmtId="0" fontId="114" fillId="3" borderId="0" applyNumberFormat="0" applyBorder="0" applyAlignment="0" applyProtection="0"/>
    <xf numFmtId="0" fontId="114" fillId="4" borderId="0" applyNumberFormat="0" applyBorder="0" applyAlignment="0" applyProtection="0"/>
    <xf numFmtId="0" fontId="114" fillId="5" borderId="0" applyNumberFormat="0" applyBorder="0" applyAlignment="0" applyProtection="0"/>
    <xf numFmtId="0" fontId="114" fillId="6" borderId="0" applyNumberFormat="0" applyBorder="0" applyAlignment="0" applyProtection="0"/>
    <xf numFmtId="0" fontId="114" fillId="7" borderId="0" applyNumberFormat="0" applyBorder="0" applyAlignment="0" applyProtection="0"/>
    <xf numFmtId="0" fontId="114" fillId="8" borderId="0" applyNumberFormat="0" applyBorder="0" applyAlignment="0" applyProtection="0"/>
    <xf numFmtId="0" fontId="114" fillId="9" borderId="0" applyNumberFormat="0" applyBorder="0" applyAlignment="0" applyProtection="0"/>
    <xf numFmtId="0" fontId="114" fillId="10" borderId="0" applyNumberFormat="0" applyBorder="0" applyAlignment="0" applyProtection="0"/>
    <xf numFmtId="0" fontId="114" fillId="11" borderId="0" applyNumberFormat="0" applyBorder="0" applyAlignment="0" applyProtection="0"/>
    <xf numFmtId="0" fontId="114" fillId="12" borderId="0" applyNumberFormat="0" applyBorder="0" applyAlignment="0" applyProtection="0"/>
    <xf numFmtId="0" fontId="114" fillId="13" borderId="0" applyNumberFormat="0" applyBorder="0" applyAlignment="0" applyProtection="0"/>
    <xf numFmtId="0" fontId="115" fillId="14" borderId="0" applyNumberFormat="0" applyBorder="0" applyAlignment="0" applyProtection="0"/>
    <xf numFmtId="0" fontId="115" fillId="15" borderId="0" applyNumberFormat="0" applyBorder="0" applyAlignment="0" applyProtection="0"/>
    <xf numFmtId="0" fontId="115" fillId="16" borderId="0" applyNumberFormat="0" applyBorder="0" applyAlignment="0" applyProtection="0"/>
    <xf numFmtId="0" fontId="115" fillId="17" borderId="0" applyNumberFormat="0" applyBorder="0" applyAlignment="0" applyProtection="0"/>
    <xf numFmtId="0" fontId="115" fillId="18" borderId="0" applyNumberFormat="0" applyBorder="0" applyAlignment="0" applyProtection="0"/>
    <xf numFmtId="0" fontId="115" fillId="19" borderId="0" applyNumberFormat="0" applyBorder="0" applyAlignment="0" applyProtection="0"/>
    <xf numFmtId="0" fontId="115" fillId="20" borderId="0" applyNumberFormat="0" applyBorder="0" applyAlignment="0" applyProtection="0"/>
    <xf numFmtId="0" fontId="115" fillId="21" borderId="0" applyNumberFormat="0" applyBorder="0" applyAlignment="0" applyProtection="0"/>
    <xf numFmtId="0" fontId="115" fillId="22" borderId="0" applyNumberFormat="0" applyBorder="0" applyAlignment="0" applyProtection="0"/>
    <xf numFmtId="0" fontId="115" fillId="23" borderId="0" applyNumberFormat="0" applyBorder="0" applyAlignment="0" applyProtection="0"/>
    <xf numFmtId="0" fontId="115" fillId="24" borderId="0" applyNumberFormat="0" applyBorder="0" applyAlignment="0" applyProtection="0"/>
    <xf numFmtId="0" fontId="115" fillId="25" borderId="0" applyNumberFormat="0" applyBorder="0" applyAlignment="0" applyProtection="0"/>
    <xf numFmtId="0" fontId="116" fillId="26" borderId="1" applyNumberFormat="0" applyAlignment="0" applyProtection="0"/>
    <xf numFmtId="0" fontId="117" fillId="27" borderId="2" applyNumberFormat="0" applyAlignment="0" applyProtection="0"/>
    <xf numFmtId="0" fontId="11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9" fillId="0" borderId="3" applyNumberFormat="0" applyFill="0" applyAlignment="0" applyProtection="0"/>
    <xf numFmtId="0" fontId="120" fillId="29" borderId="4" applyNumberFormat="0" applyAlignment="0" applyProtection="0"/>
    <xf numFmtId="0" fontId="121" fillId="0" borderId="5" applyNumberFormat="0" applyFill="0" applyAlignment="0" applyProtection="0"/>
    <xf numFmtId="0" fontId="122" fillId="0" borderId="6" applyNumberFormat="0" applyFill="0" applyAlignment="0" applyProtection="0"/>
    <xf numFmtId="0" fontId="123" fillId="0" borderId="7" applyNumberFormat="0" applyFill="0" applyAlignment="0" applyProtection="0"/>
    <xf numFmtId="0" fontId="123" fillId="0" borderId="0" applyNumberFormat="0" applyFill="0" applyBorder="0" applyAlignment="0" applyProtection="0"/>
    <xf numFmtId="0" fontId="124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5" fillId="27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6" fillId="0" borderId="8" applyNumberFormat="0" applyFill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0" fillId="32" borderId="0" applyNumberFormat="0" applyBorder="0" applyAlignment="0" applyProtection="0"/>
  </cellStyleXfs>
  <cellXfs count="987">
    <xf numFmtId="0" fontId="0" fillId="0" borderId="0" xfId="0" applyAlignment="1">
      <alignment/>
    </xf>
    <xf numFmtId="4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 horizontal="center"/>
      <protection/>
    </xf>
    <xf numFmtId="4" fontId="2" fillId="0" borderId="0" xfId="53" applyNumberFormat="1" applyFont="1" applyFill="1">
      <alignment/>
      <protection/>
    </xf>
    <xf numFmtId="0" fontId="3" fillId="0" borderId="0" xfId="53" applyFont="1" applyFill="1">
      <alignment/>
      <protection/>
    </xf>
    <xf numFmtId="4" fontId="3" fillId="0" borderId="0" xfId="53" applyNumberFormat="1" applyFont="1" applyFill="1">
      <alignment/>
      <protection/>
    </xf>
    <xf numFmtId="0" fontId="9" fillId="0" borderId="10" xfId="52" applyFont="1" applyFill="1" applyBorder="1">
      <alignment/>
      <protection/>
    </xf>
    <xf numFmtId="0" fontId="9" fillId="0" borderId="11" xfId="52" applyFont="1" applyFill="1" applyBorder="1">
      <alignment/>
      <protection/>
    </xf>
    <xf numFmtId="0" fontId="9" fillId="0" borderId="0" xfId="52" applyFont="1" applyFill="1" applyBorder="1">
      <alignment/>
      <protection/>
    </xf>
    <xf numFmtId="0" fontId="9" fillId="0" borderId="12" xfId="52" applyFont="1" applyFill="1" applyBorder="1" applyAlignment="1">
      <alignment horizontal="center" vertical="top"/>
      <protection/>
    </xf>
    <xf numFmtId="0" fontId="10" fillId="0" borderId="13" xfId="52" applyFont="1" applyFill="1" applyBorder="1" applyAlignment="1">
      <alignment vertical="center" wrapText="1"/>
      <protection/>
    </xf>
    <xf numFmtId="0" fontId="3" fillId="0" borderId="0" xfId="52" applyFont="1" applyFill="1">
      <alignment/>
      <protection/>
    </xf>
    <xf numFmtId="0" fontId="9" fillId="0" borderId="0" xfId="52" applyFont="1" applyFill="1">
      <alignment/>
      <protection/>
    </xf>
    <xf numFmtId="4" fontId="2" fillId="0" borderId="0" xfId="52" applyNumberFormat="1" applyFont="1" applyFill="1">
      <alignment/>
      <protection/>
    </xf>
    <xf numFmtId="4" fontId="5" fillId="0" borderId="0" xfId="52" applyNumberFormat="1" applyFont="1" applyFill="1" applyBorder="1" applyAlignment="1">
      <alignment horizontal="right"/>
      <protection/>
    </xf>
    <xf numFmtId="0" fontId="15" fillId="0" borderId="0" xfId="52" applyFont="1" applyFill="1">
      <alignment/>
      <protection/>
    </xf>
    <xf numFmtId="4" fontId="11" fillId="0" borderId="0" xfId="52" applyNumberFormat="1" applyFont="1" applyFill="1" applyAlignment="1">
      <alignment vertical="center"/>
      <protection/>
    </xf>
    <xf numFmtId="4" fontId="11" fillId="0" borderId="0" xfId="52" applyNumberFormat="1" applyFont="1" applyFill="1">
      <alignment/>
      <protection/>
    </xf>
    <xf numFmtId="4" fontId="7" fillId="0" borderId="0" xfId="56" applyNumberFormat="1" applyFont="1" applyFill="1" applyAlignment="1">
      <alignment horizontal="right"/>
      <protection/>
    </xf>
    <xf numFmtId="0" fontId="2" fillId="0" borderId="0" xfId="53" applyFont="1" applyFill="1">
      <alignment/>
      <protection/>
    </xf>
    <xf numFmtId="0" fontId="2" fillId="0" borderId="0" xfId="0" applyFont="1" applyFill="1" applyAlignment="1">
      <alignment/>
    </xf>
    <xf numFmtId="4" fontId="5" fillId="0" borderId="0" xfId="52" applyNumberFormat="1" applyFont="1" applyFill="1" applyAlignment="1">
      <alignment vertical="center"/>
      <protection/>
    </xf>
    <xf numFmtId="0" fontId="7" fillId="0" borderId="0" xfId="0" applyFont="1" applyFill="1" applyAlignment="1">
      <alignment/>
    </xf>
    <xf numFmtId="4" fontId="5" fillId="0" borderId="0" xfId="52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53" applyFont="1" applyFill="1" applyAlignment="1">
      <alignment horizontal="center"/>
      <protection/>
    </xf>
    <xf numFmtId="4" fontId="21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4" fontId="21" fillId="0" borderId="0" xfId="53" applyNumberFormat="1" applyFont="1" applyFill="1">
      <alignment/>
      <protection/>
    </xf>
    <xf numFmtId="4" fontId="22" fillId="0" borderId="0" xfId="53" applyNumberFormat="1" applyFont="1" applyFill="1">
      <alignment/>
      <protection/>
    </xf>
    <xf numFmtId="4" fontId="23" fillId="0" borderId="0" xfId="53" applyNumberFormat="1" applyFont="1" applyFill="1">
      <alignment/>
      <protection/>
    </xf>
    <xf numFmtId="4" fontId="21" fillId="0" borderId="0" xfId="52" applyNumberFormat="1" applyFont="1" applyFill="1">
      <alignment/>
      <protection/>
    </xf>
    <xf numFmtId="4" fontId="22" fillId="0" borderId="0" xfId="52" applyNumberFormat="1" applyFont="1" applyFill="1">
      <alignment/>
      <protection/>
    </xf>
    <xf numFmtId="4" fontId="23" fillId="0" borderId="0" xfId="52" applyNumberFormat="1" applyFont="1" applyFill="1">
      <alignment/>
      <protection/>
    </xf>
    <xf numFmtId="4" fontId="24" fillId="0" borderId="0" xfId="52" applyNumberFormat="1" applyFont="1" applyFill="1">
      <alignment/>
      <protection/>
    </xf>
    <xf numFmtId="4" fontId="23" fillId="0" borderId="0" xfId="52" applyNumberFormat="1" applyFont="1" applyFill="1" applyAlignment="1">
      <alignment vertical="center"/>
      <protection/>
    </xf>
    <xf numFmtId="4" fontId="20" fillId="0" borderId="0" xfId="53" applyNumberFormat="1" applyFont="1" applyFill="1">
      <alignment/>
      <protection/>
    </xf>
    <xf numFmtId="4" fontId="9" fillId="0" borderId="0" xfId="53" applyNumberFormat="1" applyFont="1" applyFill="1">
      <alignment/>
      <protection/>
    </xf>
    <xf numFmtId="4" fontId="3" fillId="0" borderId="0" xfId="52" applyNumberFormat="1" applyFont="1" applyFill="1" applyAlignment="1">
      <alignment horizontal="center"/>
      <protection/>
    </xf>
    <xf numFmtId="4" fontId="25" fillId="0" borderId="0" xfId="52" applyNumberFormat="1" applyFont="1" applyFill="1" applyAlignment="1">
      <alignment vertical="center"/>
      <protection/>
    </xf>
    <xf numFmtId="4" fontId="5" fillId="0" borderId="11" xfId="52" applyNumberFormat="1" applyFont="1" applyFill="1" applyBorder="1" applyAlignment="1">
      <alignment horizontal="right" vertical="center"/>
      <protection/>
    </xf>
    <xf numFmtId="4" fontId="5" fillId="0" borderId="11" xfId="52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4" fontId="3" fillId="0" borderId="0" xfId="52" applyNumberFormat="1" applyFont="1" applyFill="1" applyBorder="1" applyAlignment="1">
      <alignment vertical="center"/>
      <protection/>
    </xf>
    <xf numFmtId="4" fontId="3" fillId="0" borderId="0" xfId="52" applyNumberFormat="1" applyFont="1" applyFill="1" applyAlignment="1">
      <alignment vertical="center"/>
      <protection/>
    </xf>
    <xf numFmtId="4" fontId="22" fillId="0" borderId="0" xfId="52" applyNumberFormat="1" applyFont="1" applyFill="1" applyAlignment="1">
      <alignment vertical="center"/>
      <protection/>
    </xf>
    <xf numFmtId="4" fontId="13" fillId="0" borderId="0" xfId="52" applyNumberFormat="1" applyFont="1" applyFill="1" applyAlignment="1">
      <alignment vertical="center"/>
      <protection/>
    </xf>
    <xf numFmtId="0" fontId="13" fillId="0" borderId="0" xfId="52" applyFont="1" applyFill="1">
      <alignment/>
      <protection/>
    </xf>
    <xf numFmtId="0" fontId="2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horizontal="center" vertical="center"/>
      <protection/>
    </xf>
    <xf numFmtId="4" fontId="9" fillId="0" borderId="0" xfId="53" applyNumberFormat="1" applyFont="1" applyFill="1" applyAlignment="1">
      <alignment vertical="center"/>
      <protection/>
    </xf>
    <xf numFmtId="4" fontId="3" fillId="0" borderId="0" xfId="53" applyNumberFormat="1" applyFont="1" applyFill="1" applyAlignment="1">
      <alignment vertical="center"/>
      <protection/>
    </xf>
    <xf numFmtId="4" fontId="14" fillId="0" borderId="0" xfId="53" applyNumberFormat="1" applyFont="1" applyFill="1" applyAlignment="1">
      <alignment horizontal="right" vertical="center"/>
      <protection/>
    </xf>
    <xf numFmtId="4" fontId="2" fillId="0" borderId="0" xfId="53" applyNumberFormat="1" applyFont="1" applyFill="1" applyAlignment="1">
      <alignment vertical="center"/>
      <protection/>
    </xf>
    <xf numFmtId="0" fontId="0" fillId="0" borderId="0" xfId="0" applyFill="1" applyAlignment="1">
      <alignment/>
    </xf>
    <xf numFmtId="49" fontId="2" fillId="0" borderId="0" xfId="53" applyNumberFormat="1" applyFont="1" applyFill="1">
      <alignment/>
      <protection/>
    </xf>
    <xf numFmtId="49" fontId="9" fillId="0" borderId="0" xfId="53" applyNumberFormat="1" applyFont="1" applyFill="1">
      <alignment/>
      <protection/>
    </xf>
    <xf numFmtId="49" fontId="9" fillId="0" borderId="0" xfId="53" applyNumberFormat="1" applyFont="1" applyFill="1" applyAlignment="1">
      <alignment horizontal="center"/>
      <protection/>
    </xf>
    <xf numFmtId="49" fontId="3" fillId="0" borderId="0" xfId="53" applyNumberFormat="1" applyFont="1" applyFill="1">
      <alignment/>
      <protection/>
    </xf>
    <xf numFmtId="49" fontId="9" fillId="0" borderId="0" xfId="0" applyNumberFormat="1" applyFont="1" applyFill="1" applyAlignment="1">
      <alignment/>
    </xf>
    <xf numFmtId="0" fontId="7" fillId="0" borderId="0" xfId="58" applyFont="1" applyFill="1" applyAlignment="1">
      <alignment horizontal="left"/>
      <protection/>
    </xf>
    <xf numFmtId="49" fontId="3" fillId="0" borderId="0" xfId="53" applyNumberFormat="1" applyFont="1" applyFill="1" applyAlignment="1">
      <alignment horizontal="center"/>
      <protection/>
    </xf>
    <xf numFmtId="49" fontId="3" fillId="0" borderId="0" xfId="52" applyNumberFormat="1" applyFont="1" applyFill="1">
      <alignment/>
      <protection/>
    </xf>
    <xf numFmtId="4" fontId="33" fillId="0" borderId="0" xfId="0" applyNumberFormat="1" applyFont="1" applyFill="1" applyAlignment="1">
      <alignment/>
    </xf>
    <xf numFmtId="4" fontId="20" fillId="0" borderId="0" xfId="0" applyNumberFormat="1" applyFont="1" applyFill="1" applyAlignment="1">
      <alignment/>
    </xf>
    <xf numFmtId="4" fontId="34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36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32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/>
    </xf>
    <xf numFmtId="4" fontId="3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9" fontId="4" fillId="0" borderId="0" xfId="55" applyNumberFormat="1" applyFont="1" applyFill="1">
      <alignment/>
      <protection/>
    </xf>
    <xf numFmtId="49" fontId="32" fillId="0" borderId="0" xfId="55" applyNumberFormat="1" applyFont="1" applyFill="1">
      <alignment/>
      <protection/>
    </xf>
    <xf numFmtId="49" fontId="32" fillId="0" borderId="0" xfId="55" applyNumberFormat="1" applyFont="1" applyFill="1" applyAlignment="1">
      <alignment horizontal="center"/>
      <protection/>
    </xf>
    <xf numFmtId="0" fontId="32" fillId="0" borderId="0" xfId="0" applyFont="1" applyFill="1" applyAlignment="1">
      <alignment horizontal="left"/>
    </xf>
    <xf numFmtId="0" fontId="32" fillId="0" borderId="0" xfId="53" applyFont="1" applyFill="1">
      <alignment/>
      <protection/>
    </xf>
    <xf numFmtId="4" fontId="2" fillId="0" borderId="0" xfId="0" applyNumberFormat="1" applyFont="1" applyFill="1" applyAlignment="1">
      <alignment/>
    </xf>
    <xf numFmtId="49" fontId="9" fillId="0" borderId="0" xfId="55" applyNumberFormat="1" applyFont="1" applyFill="1">
      <alignment/>
      <protection/>
    </xf>
    <xf numFmtId="49" fontId="9" fillId="0" borderId="0" xfId="55" applyNumberFormat="1" applyFont="1" applyFill="1" applyAlignment="1">
      <alignment horizontal="center"/>
      <protection/>
    </xf>
    <xf numFmtId="0" fontId="7" fillId="0" borderId="0" xfId="53" applyFont="1" applyFill="1">
      <alignment/>
      <protection/>
    </xf>
    <xf numFmtId="49" fontId="3" fillId="0" borderId="0" xfId="55" applyNumberFormat="1" applyFont="1" applyFill="1">
      <alignment/>
      <protection/>
    </xf>
    <xf numFmtId="49" fontId="7" fillId="0" borderId="0" xfId="55" applyNumberFormat="1" applyFont="1" applyFill="1">
      <alignment/>
      <protection/>
    </xf>
    <xf numFmtId="49" fontId="7" fillId="0" borderId="0" xfId="55" applyNumberFormat="1" applyFont="1" applyFill="1" applyAlignment="1">
      <alignment horizontal="center"/>
      <protection/>
    </xf>
    <xf numFmtId="49" fontId="9" fillId="0" borderId="14" xfId="52" applyNumberFormat="1" applyFont="1" applyFill="1" applyBorder="1">
      <alignment/>
      <protection/>
    </xf>
    <xf numFmtId="49" fontId="9" fillId="0" borderId="14" xfId="52" applyNumberFormat="1" applyFont="1" applyFill="1" applyBorder="1" applyAlignment="1">
      <alignment horizontal="center"/>
      <protection/>
    </xf>
    <xf numFmtId="49" fontId="9" fillId="0" borderId="15" xfId="52" applyNumberFormat="1" applyFont="1" applyFill="1" applyBorder="1">
      <alignment/>
      <protection/>
    </xf>
    <xf numFmtId="49" fontId="9" fillId="0" borderId="15" xfId="52" applyNumberFormat="1" applyFont="1" applyFill="1" applyBorder="1" applyAlignment="1">
      <alignment horizontal="center"/>
      <protection/>
    </xf>
    <xf numFmtId="49" fontId="9" fillId="0" borderId="12" xfId="52" applyNumberFormat="1" applyFont="1" applyFill="1" applyBorder="1" applyAlignment="1">
      <alignment horizontal="center" vertical="center"/>
      <protection/>
    </xf>
    <xf numFmtId="49" fontId="5" fillId="0" borderId="13" xfId="52" applyNumberFormat="1" applyFont="1" applyFill="1" applyBorder="1" applyAlignment="1">
      <alignment horizontal="center" vertical="center"/>
      <protection/>
    </xf>
    <xf numFmtId="4" fontId="5" fillId="0" borderId="12" xfId="52" applyNumberFormat="1" applyFont="1" applyFill="1" applyBorder="1" applyAlignment="1">
      <alignment horizontal="right" vertical="top"/>
      <protection/>
    </xf>
    <xf numFmtId="4" fontId="23" fillId="0" borderId="0" xfId="0" applyNumberFormat="1" applyFont="1" applyFill="1" applyAlignment="1">
      <alignment/>
    </xf>
    <xf numFmtId="49" fontId="5" fillId="0" borderId="14" xfId="52" applyNumberFormat="1" applyFont="1" applyFill="1" applyBorder="1" applyAlignment="1">
      <alignment horizontal="center" vertical="center"/>
      <protection/>
    </xf>
    <xf numFmtId="49" fontId="5" fillId="0" borderId="11" xfId="52" applyNumberFormat="1" applyFont="1" applyFill="1" applyBorder="1" applyAlignment="1">
      <alignment horizontal="center" vertical="center"/>
      <protection/>
    </xf>
    <xf numFmtId="49" fontId="3" fillId="0" borderId="11" xfId="52" applyNumberFormat="1" applyFont="1" applyFill="1" applyBorder="1" applyAlignment="1">
      <alignment horizontal="center" vertical="center"/>
      <protection/>
    </xf>
    <xf numFmtId="4" fontId="3" fillId="0" borderId="12" xfId="52" applyNumberFormat="1" applyFont="1" applyFill="1" applyBorder="1" applyAlignment="1">
      <alignment horizontal="right" vertical="top"/>
      <protection/>
    </xf>
    <xf numFmtId="49" fontId="3" fillId="0" borderId="16" xfId="52" applyNumberFormat="1" applyFont="1" applyFill="1" applyBorder="1" applyAlignment="1">
      <alignment horizontal="center" vertical="center"/>
      <protection/>
    </xf>
    <xf numFmtId="49" fontId="3" fillId="0" borderId="15" xfId="52" applyNumberFormat="1" applyFont="1" applyFill="1" applyBorder="1" applyAlignment="1">
      <alignment horizontal="center" vertical="center"/>
      <protection/>
    </xf>
    <xf numFmtId="49" fontId="3" fillId="0" borderId="17" xfId="52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4" fontId="33" fillId="0" borderId="0" xfId="0" applyNumberFormat="1" applyFont="1" applyFill="1" applyAlignment="1">
      <alignment vertical="center"/>
    </xf>
    <xf numFmtId="4" fontId="25" fillId="0" borderId="0" xfId="0" applyNumberFormat="1" applyFont="1" applyFill="1" applyAlignment="1">
      <alignment vertical="center"/>
    </xf>
    <xf numFmtId="49" fontId="5" fillId="0" borderId="0" xfId="52" applyNumberFormat="1" applyFont="1" applyFill="1" applyBorder="1" applyAlignment="1">
      <alignment horizontal="left" vertical="center"/>
      <protection/>
    </xf>
    <xf numFmtId="49" fontId="5" fillId="0" borderId="0" xfId="52" applyNumberFormat="1" applyFont="1" applyFill="1" applyBorder="1" applyAlignment="1">
      <alignment horizontal="center" vertical="center"/>
      <protection/>
    </xf>
    <xf numFmtId="4" fontId="5" fillId="0" borderId="0" xfId="52" applyNumberFormat="1" applyFont="1" applyFill="1" applyBorder="1" applyAlignment="1">
      <alignment horizontal="right" vertical="center"/>
      <protection/>
    </xf>
    <xf numFmtId="4" fontId="5" fillId="0" borderId="17" xfId="52" applyNumberFormat="1" applyFont="1" applyFill="1" applyBorder="1" applyAlignment="1">
      <alignment horizontal="right" vertical="top"/>
      <protection/>
    </xf>
    <xf numFmtId="0" fontId="11" fillId="0" borderId="0" xfId="0" applyFont="1" applyFill="1" applyAlignment="1">
      <alignment/>
    </xf>
    <xf numFmtId="4" fontId="38" fillId="0" borderId="0" xfId="0" applyNumberFormat="1" applyFont="1" applyFill="1" applyAlignment="1">
      <alignment/>
    </xf>
    <xf numFmtId="4" fontId="3" fillId="0" borderId="17" xfId="52" applyNumberFormat="1" applyFont="1" applyFill="1" applyBorder="1" applyAlignment="1">
      <alignment horizontal="right" vertical="top"/>
      <protection/>
    </xf>
    <xf numFmtId="4" fontId="39" fillId="0" borderId="0" xfId="0" applyNumberFormat="1" applyFont="1" applyFill="1" applyAlignment="1">
      <alignment/>
    </xf>
    <xf numFmtId="49" fontId="3" fillId="0" borderId="12" xfId="52" applyNumberFormat="1" applyFont="1" applyFill="1" applyBorder="1" applyAlignment="1">
      <alignment horizontal="center" vertical="center"/>
      <protection/>
    </xf>
    <xf numFmtId="4" fontId="5" fillId="0" borderId="17" xfId="52" applyNumberFormat="1" applyFont="1" applyFill="1" applyBorder="1" applyAlignment="1">
      <alignment horizontal="right" vertical="center"/>
      <protection/>
    </xf>
    <xf numFmtId="49" fontId="3" fillId="0" borderId="0" xfId="0" applyNumberFormat="1" applyFont="1" applyFill="1" applyAlignment="1">
      <alignment/>
    </xf>
    <xf numFmtId="49" fontId="9" fillId="0" borderId="0" xfId="52" applyNumberFormat="1" applyFont="1" applyFill="1">
      <alignment/>
      <protection/>
    </xf>
    <xf numFmtId="49" fontId="9" fillId="0" borderId="0" xfId="52" applyNumberFormat="1" applyFont="1" applyFill="1" applyAlignment="1">
      <alignment horizontal="center"/>
      <protection/>
    </xf>
    <xf numFmtId="4" fontId="35" fillId="0" borderId="0" xfId="52" applyNumberFormat="1" applyFont="1" applyFill="1">
      <alignment/>
      <protection/>
    </xf>
    <xf numFmtId="4" fontId="34" fillId="0" borderId="0" xfId="52" applyNumberFormat="1" applyFont="1" applyFill="1">
      <alignment/>
      <protection/>
    </xf>
    <xf numFmtId="164" fontId="9" fillId="0" borderId="0" xfId="52" applyNumberFormat="1" applyFont="1" applyFill="1">
      <alignment/>
      <protection/>
    </xf>
    <xf numFmtId="4" fontId="40" fillId="0" borderId="0" xfId="52" applyNumberFormat="1" applyFont="1" applyFill="1">
      <alignment/>
      <protection/>
    </xf>
    <xf numFmtId="4" fontId="25" fillId="0" borderId="0" xfId="52" applyNumberFormat="1" applyFont="1" applyFill="1">
      <alignment/>
      <protection/>
    </xf>
    <xf numFmtId="49" fontId="5" fillId="0" borderId="0" xfId="52" applyNumberFormat="1" applyFont="1" applyFill="1">
      <alignment/>
      <protection/>
    </xf>
    <xf numFmtId="49" fontId="12" fillId="0" borderId="0" xfId="52" applyNumberFormat="1" applyFont="1" applyFill="1" applyAlignment="1">
      <alignment horizontal="center"/>
      <protection/>
    </xf>
    <xf numFmtId="4" fontId="5" fillId="0" borderId="0" xfId="52" applyNumberFormat="1" applyFont="1" applyFill="1">
      <alignment/>
      <protection/>
    </xf>
    <xf numFmtId="4" fontId="33" fillId="0" borderId="0" xfId="52" applyNumberFormat="1" applyFont="1" applyFill="1">
      <alignment/>
      <protection/>
    </xf>
    <xf numFmtId="49" fontId="7" fillId="0" borderId="0" xfId="52" applyNumberFormat="1" applyFont="1" applyFill="1">
      <alignment/>
      <protection/>
    </xf>
    <xf numFmtId="4" fontId="3" fillId="0" borderId="0" xfId="52" applyNumberFormat="1" applyFont="1" applyFill="1">
      <alignment/>
      <protection/>
    </xf>
    <xf numFmtId="49" fontId="6" fillId="0" borderId="0" xfId="0" applyNumberFormat="1" applyFont="1" applyFill="1" applyAlignment="1">
      <alignment horizontal="left"/>
    </xf>
    <xf numFmtId="49" fontId="6" fillId="0" borderId="0" xfId="53" applyNumberFormat="1" applyFont="1" applyFill="1">
      <alignment/>
      <protection/>
    </xf>
    <xf numFmtId="4" fontId="27" fillId="0" borderId="0" xfId="52" applyNumberFormat="1" applyFont="1" applyFill="1">
      <alignment/>
      <protection/>
    </xf>
    <xf numFmtId="49" fontId="32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2" fillId="0" borderId="0" xfId="53" applyNumberFormat="1" applyFont="1" applyFill="1">
      <alignment/>
      <protection/>
    </xf>
    <xf numFmtId="4" fontId="20" fillId="0" borderId="0" xfId="52" applyNumberFormat="1" applyFont="1" applyFill="1">
      <alignment/>
      <protection/>
    </xf>
    <xf numFmtId="4" fontId="9" fillId="0" borderId="0" xfId="52" applyNumberFormat="1" applyFont="1" applyFill="1">
      <alignment/>
      <protection/>
    </xf>
    <xf numFmtId="4" fontId="37" fillId="0" borderId="0" xfId="52" applyNumberFormat="1" applyFont="1" applyFill="1">
      <alignment/>
      <protection/>
    </xf>
    <xf numFmtId="49" fontId="17" fillId="0" borderId="0" xfId="52" applyNumberFormat="1" applyFont="1" applyFill="1">
      <alignment/>
      <protection/>
    </xf>
    <xf numFmtId="49" fontId="5" fillId="0" borderId="0" xfId="52" applyNumberFormat="1" applyFont="1" applyFill="1" applyBorder="1">
      <alignment/>
      <protection/>
    </xf>
    <xf numFmtId="49" fontId="5" fillId="0" borderId="0" xfId="52" applyNumberFormat="1" applyFont="1" applyFill="1" applyBorder="1" applyAlignment="1">
      <alignment horizontal="center"/>
      <protection/>
    </xf>
    <xf numFmtId="4" fontId="36" fillId="0" borderId="0" xfId="52" applyNumberFormat="1" applyFont="1" applyFill="1">
      <alignment/>
      <protection/>
    </xf>
    <xf numFmtId="4" fontId="41" fillId="0" borderId="0" xfId="52" applyNumberFormat="1" applyFont="1" applyFill="1">
      <alignment/>
      <protection/>
    </xf>
    <xf numFmtId="49" fontId="15" fillId="0" borderId="0" xfId="52" applyNumberFormat="1" applyFont="1" applyFill="1">
      <alignment/>
      <protection/>
    </xf>
    <xf numFmtId="49" fontId="15" fillId="0" borderId="0" xfId="52" applyNumberFormat="1" applyFont="1" applyFill="1" applyAlignment="1">
      <alignment horizontal="center"/>
      <protection/>
    </xf>
    <xf numFmtId="4" fontId="42" fillId="0" borderId="0" xfId="52" applyNumberFormat="1" applyFont="1" applyFill="1">
      <alignment/>
      <protection/>
    </xf>
    <xf numFmtId="4" fontId="43" fillId="0" borderId="0" xfId="52" applyNumberFormat="1" applyFont="1" applyFill="1">
      <alignment/>
      <protection/>
    </xf>
    <xf numFmtId="49" fontId="5" fillId="0" borderId="18" xfId="52" applyNumberFormat="1" applyFont="1" applyFill="1" applyBorder="1" applyAlignment="1">
      <alignment horizontal="center" vertical="center"/>
      <protection/>
    </xf>
    <xf numFmtId="0" fontId="5" fillId="0" borderId="0" xfId="52" applyFont="1" applyFill="1">
      <alignment/>
      <protection/>
    </xf>
    <xf numFmtId="49" fontId="5" fillId="0" borderId="10" xfId="52" applyNumberFormat="1" applyFont="1" applyFill="1" applyBorder="1" applyAlignment="1">
      <alignment vertical="center"/>
      <protection/>
    </xf>
    <xf numFmtId="49" fontId="3" fillId="0" borderId="19" xfId="52" applyNumberFormat="1" applyFont="1" applyFill="1" applyBorder="1" applyAlignment="1">
      <alignment horizontal="center" vertical="center"/>
      <protection/>
    </xf>
    <xf numFmtId="49" fontId="20" fillId="0" borderId="11" xfId="52" applyNumberFormat="1" applyFont="1" applyFill="1" applyBorder="1" applyAlignment="1">
      <alignment horizontal="center" vertical="center"/>
      <protection/>
    </xf>
    <xf numFmtId="4" fontId="33" fillId="0" borderId="0" xfId="52" applyNumberFormat="1" applyFont="1" applyFill="1" applyAlignment="1">
      <alignment vertical="center"/>
      <protection/>
    </xf>
    <xf numFmtId="49" fontId="5" fillId="0" borderId="0" xfId="52" applyNumberFormat="1" applyFont="1" applyFill="1" applyBorder="1" applyAlignment="1">
      <alignment vertical="center"/>
      <protection/>
    </xf>
    <xf numFmtId="49" fontId="3" fillId="0" borderId="0" xfId="52" applyNumberFormat="1" applyFont="1" applyFill="1" applyBorder="1" applyAlignment="1">
      <alignment horizontal="center" vertical="center"/>
      <protection/>
    </xf>
    <xf numFmtId="49" fontId="20" fillId="0" borderId="0" xfId="52" applyNumberFormat="1" applyFont="1" applyFill="1" applyBorder="1" applyAlignment="1">
      <alignment horizontal="center" vertical="center"/>
      <protection/>
    </xf>
    <xf numFmtId="49" fontId="9" fillId="0" borderId="20" xfId="52" applyNumberFormat="1" applyFont="1" applyFill="1" applyBorder="1">
      <alignment/>
      <protection/>
    </xf>
    <xf numFmtId="49" fontId="9" fillId="0" borderId="18" xfId="52" applyNumberFormat="1" applyFont="1" applyFill="1" applyBorder="1" applyAlignment="1">
      <alignment horizontal="center"/>
      <protection/>
    </xf>
    <xf numFmtId="49" fontId="9" fillId="0" borderId="16" xfId="52" applyNumberFormat="1" applyFont="1" applyFill="1" applyBorder="1">
      <alignment/>
      <protection/>
    </xf>
    <xf numFmtId="49" fontId="9" fillId="0" borderId="21" xfId="52" applyNumberFormat="1" applyFont="1" applyFill="1" applyBorder="1" applyAlignment="1">
      <alignment horizontal="center"/>
      <protection/>
    </xf>
    <xf numFmtId="49" fontId="9" fillId="0" borderId="16" xfId="52" applyNumberFormat="1" applyFont="1" applyFill="1" applyBorder="1" applyAlignment="1">
      <alignment horizontal="center" vertical="center"/>
      <protection/>
    </xf>
    <xf numFmtId="49" fontId="9" fillId="0" borderId="15" xfId="52" applyNumberFormat="1" applyFont="1" applyFill="1" applyBorder="1" applyAlignment="1">
      <alignment horizontal="center" vertical="center"/>
      <protection/>
    </xf>
    <xf numFmtId="49" fontId="9" fillId="0" borderId="21" xfId="52" applyNumberFormat="1" applyFont="1" applyFill="1" applyBorder="1" applyAlignment="1">
      <alignment horizontal="center" vertical="center"/>
      <protection/>
    </xf>
    <xf numFmtId="0" fontId="9" fillId="0" borderId="15" xfId="52" applyFont="1" applyFill="1" applyBorder="1" applyAlignment="1">
      <alignment horizontal="center" vertical="top"/>
      <protection/>
    </xf>
    <xf numFmtId="0" fontId="10" fillId="0" borderId="14" xfId="52" applyFont="1" applyFill="1" applyBorder="1" applyAlignment="1">
      <alignment vertical="center" wrapText="1"/>
      <protection/>
    </xf>
    <xf numFmtId="49" fontId="3" fillId="0" borderId="0" xfId="52" applyNumberFormat="1" applyFont="1" applyFill="1" applyBorder="1" applyAlignment="1">
      <alignment horizontal="left" vertical="center"/>
      <protection/>
    </xf>
    <xf numFmtId="49" fontId="3" fillId="0" borderId="0" xfId="56" applyNumberFormat="1" applyFont="1" applyFill="1">
      <alignment/>
      <protection/>
    </xf>
    <xf numFmtId="49" fontId="28" fillId="0" borderId="0" xfId="56" applyNumberFormat="1" applyFont="1" applyFill="1">
      <alignment/>
      <protection/>
    </xf>
    <xf numFmtId="49" fontId="7" fillId="0" borderId="0" xfId="56" applyNumberFormat="1" applyFont="1" applyFill="1" applyAlignment="1">
      <alignment horizontal="center"/>
      <protection/>
    </xf>
    <xf numFmtId="49" fontId="30" fillId="0" borderId="0" xfId="52" applyNumberFormat="1" applyFont="1" applyFill="1">
      <alignment/>
      <protection/>
    </xf>
    <xf numFmtId="49" fontId="7" fillId="0" borderId="0" xfId="56" applyNumberFormat="1" applyFont="1" applyFill="1">
      <alignment/>
      <protection/>
    </xf>
    <xf numFmtId="49" fontId="4" fillId="0" borderId="0" xfId="52" applyNumberFormat="1" applyFont="1" applyFill="1">
      <alignment/>
      <protection/>
    </xf>
    <xf numFmtId="49" fontId="13" fillId="0" borderId="0" xfId="56" applyNumberFormat="1" applyFont="1" applyFill="1" applyAlignment="1">
      <alignment horizontal="center"/>
      <protection/>
    </xf>
    <xf numFmtId="49" fontId="3" fillId="0" borderId="0" xfId="0" applyNumberFormat="1" applyFont="1" applyFill="1" applyBorder="1" applyAlignment="1">
      <alignment vertical="center"/>
    </xf>
    <xf numFmtId="49" fontId="7" fillId="0" borderId="0" xfId="56" applyNumberFormat="1" applyFont="1" applyFill="1" applyBorder="1" applyAlignment="1">
      <alignment horizontal="center"/>
      <protection/>
    </xf>
    <xf numFmtId="49" fontId="15" fillId="0" borderId="0" xfId="56" applyNumberFormat="1" applyFont="1" applyFill="1">
      <alignment/>
      <protection/>
    </xf>
    <xf numFmtId="49" fontId="9" fillId="0" borderId="0" xfId="0" applyNumberFormat="1" applyFont="1" applyFill="1" applyAlignment="1">
      <alignment/>
    </xf>
    <xf numFmtId="49" fontId="6" fillId="0" borderId="0" xfId="52" applyNumberFormat="1" applyFont="1" applyFill="1" applyBorder="1" applyAlignment="1">
      <alignment horizontal="center"/>
      <protection/>
    </xf>
    <xf numFmtId="4" fontId="6" fillId="0" borderId="0" xfId="52" applyNumberFormat="1" applyFont="1" applyFill="1" applyBorder="1" applyAlignment="1">
      <alignment horizontal="right"/>
      <protection/>
    </xf>
    <xf numFmtId="49" fontId="3" fillId="0" borderId="0" xfId="55" applyNumberFormat="1" applyFont="1" applyFill="1" applyAlignment="1">
      <alignment horizontal="center"/>
      <protection/>
    </xf>
    <xf numFmtId="0" fontId="3" fillId="0" borderId="0" xfId="55" applyFont="1" applyFill="1">
      <alignment/>
      <protection/>
    </xf>
    <xf numFmtId="4" fontId="3" fillId="0" borderId="0" xfId="55" applyNumberFormat="1" applyFont="1" applyFill="1">
      <alignment/>
      <protection/>
    </xf>
    <xf numFmtId="0" fontId="34" fillId="0" borderId="0" xfId="0" applyFont="1" applyFill="1" applyAlignment="1">
      <alignment/>
    </xf>
    <xf numFmtId="49" fontId="15" fillId="0" borderId="0" xfId="55" applyNumberFormat="1" applyFont="1" applyFill="1">
      <alignment/>
      <protection/>
    </xf>
    <xf numFmtId="49" fontId="15" fillId="0" borderId="0" xfId="55" applyNumberFormat="1" applyFont="1" applyFill="1" applyAlignment="1">
      <alignment horizontal="center"/>
      <protection/>
    </xf>
    <xf numFmtId="0" fontId="15" fillId="0" borderId="0" xfId="55" applyFont="1" applyFill="1">
      <alignment/>
      <protection/>
    </xf>
    <xf numFmtId="4" fontId="15" fillId="0" borderId="0" xfId="55" applyNumberFormat="1" applyFont="1" applyFill="1">
      <alignment/>
      <protection/>
    </xf>
    <xf numFmtId="0" fontId="33" fillId="0" borderId="0" xfId="52" applyFont="1" applyFill="1">
      <alignment/>
      <protection/>
    </xf>
    <xf numFmtId="0" fontId="9" fillId="0" borderId="0" xfId="55" applyFont="1" applyFill="1">
      <alignment/>
      <protection/>
    </xf>
    <xf numFmtId="0" fontId="5" fillId="0" borderId="0" xfId="55" applyFont="1" applyFill="1">
      <alignment/>
      <protection/>
    </xf>
    <xf numFmtId="0" fontId="4" fillId="0" borderId="0" xfId="55" applyFont="1" applyFill="1">
      <alignment/>
      <protection/>
    </xf>
    <xf numFmtId="0" fontId="16" fillId="0" borderId="0" xfId="0" applyFont="1" applyFill="1" applyAlignment="1">
      <alignment/>
    </xf>
    <xf numFmtId="0" fontId="16" fillId="0" borderId="0" xfId="53" applyFont="1" applyFill="1">
      <alignment/>
      <protection/>
    </xf>
    <xf numFmtId="0" fontId="13" fillId="0" borderId="0" xfId="53" applyFont="1" applyFill="1" applyAlignment="1">
      <alignment vertical="center"/>
      <protection/>
    </xf>
    <xf numFmtId="49" fontId="5" fillId="0" borderId="10" xfId="52" applyNumberFormat="1" applyFont="1" applyFill="1" applyBorder="1" applyAlignment="1">
      <alignment horizontal="left" vertical="center"/>
      <protection/>
    </xf>
    <xf numFmtId="49" fontId="5" fillId="0" borderId="19" xfId="52" applyNumberFormat="1" applyFont="1" applyFill="1" applyBorder="1" applyAlignment="1">
      <alignment horizontal="center" vertical="center"/>
      <protection/>
    </xf>
    <xf numFmtId="49" fontId="5" fillId="0" borderId="10" xfId="52" applyNumberFormat="1" applyFont="1" applyFill="1" applyBorder="1" applyAlignment="1">
      <alignment horizontal="center" vertical="center"/>
      <protection/>
    </xf>
    <xf numFmtId="49" fontId="3" fillId="0" borderId="13" xfId="52" applyNumberFormat="1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29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7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4" fontId="10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wrapText="1"/>
    </xf>
    <xf numFmtId="0" fontId="14" fillId="0" borderId="0" xfId="0" applyFont="1" applyFill="1" applyAlignment="1">
      <alignment horizontal="left"/>
    </xf>
    <xf numFmtId="1" fontId="46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4" fontId="48" fillId="0" borderId="0" xfId="0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/>
    </xf>
    <xf numFmtId="4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4" fontId="46" fillId="0" borderId="15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vertical="center"/>
    </xf>
    <xf numFmtId="4" fontId="12" fillId="0" borderId="12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4" fontId="49" fillId="0" borderId="10" xfId="0" applyNumberFormat="1" applyFont="1" applyFill="1" applyBorder="1" applyAlignment="1">
      <alignment vertical="center"/>
    </xf>
    <xf numFmtId="4" fontId="50" fillId="0" borderId="0" xfId="0" applyNumberFormat="1" applyFont="1" applyFill="1" applyAlignment="1">
      <alignment/>
    </xf>
    <xf numFmtId="0" fontId="26" fillId="0" borderId="2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 wrapText="1"/>
    </xf>
    <xf numFmtId="4" fontId="51" fillId="0" borderId="10" xfId="0" applyNumberFormat="1" applyFont="1" applyFill="1" applyBorder="1" applyAlignment="1">
      <alignment vertical="center" wrapText="1"/>
    </xf>
    <xf numFmtId="0" fontId="48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vertical="center" wrapText="1"/>
    </xf>
    <xf numFmtId="4" fontId="29" fillId="0" borderId="13" xfId="0" applyNumberFormat="1" applyFont="1" applyFill="1" applyBorder="1" applyAlignment="1">
      <alignment vertical="center"/>
    </xf>
    <xf numFmtId="0" fontId="46" fillId="0" borderId="13" xfId="0" applyFont="1" applyFill="1" applyBorder="1" applyAlignment="1">
      <alignment vertical="center" wrapText="1"/>
    </xf>
    <xf numFmtId="4" fontId="52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0" fontId="29" fillId="0" borderId="14" xfId="0" applyFont="1" applyFill="1" applyBorder="1" applyAlignment="1">
      <alignment vertical="center" wrapText="1"/>
    </xf>
    <xf numFmtId="0" fontId="29" fillId="0" borderId="20" xfId="0" applyFont="1" applyFill="1" applyBorder="1" applyAlignment="1">
      <alignment vertical="center" wrapText="1"/>
    </xf>
    <xf numFmtId="4" fontId="29" fillId="0" borderId="10" xfId="0" applyNumberFormat="1" applyFont="1" applyFill="1" applyBorder="1" applyAlignment="1">
      <alignment vertical="center"/>
    </xf>
    <xf numFmtId="0" fontId="46" fillId="0" borderId="1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 wrapText="1"/>
    </xf>
    <xf numFmtId="4" fontId="29" fillId="0" borderId="10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 wrapText="1"/>
    </xf>
    <xf numFmtId="4" fontId="49" fillId="0" borderId="10" xfId="0" applyNumberFormat="1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vertical="top" wrapText="1"/>
    </xf>
    <xf numFmtId="0" fontId="49" fillId="0" borderId="23" xfId="0" applyFont="1" applyFill="1" applyBorder="1" applyAlignment="1">
      <alignment vertical="center" wrapText="1"/>
    </xf>
    <xf numFmtId="4" fontId="49" fillId="0" borderId="23" xfId="0" applyNumberFormat="1" applyFont="1" applyFill="1" applyBorder="1" applyAlignment="1">
      <alignment vertical="center" wrapText="1"/>
    </xf>
    <xf numFmtId="0" fontId="46" fillId="0" borderId="13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vertical="center" wrapText="1"/>
    </xf>
    <xf numFmtId="4" fontId="51" fillId="0" borderId="23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29" fillId="0" borderId="11" xfId="52" applyFont="1" applyFill="1" applyBorder="1" applyAlignment="1">
      <alignment vertical="center" wrapText="1"/>
      <protection/>
    </xf>
    <xf numFmtId="4" fontId="29" fillId="0" borderId="11" xfId="0" applyNumberFormat="1" applyFont="1" applyFill="1" applyBorder="1" applyAlignment="1">
      <alignment vertical="center" wrapText="1"/>
    </xf>
    <xf numFmtId="0" fontId="46" fillId="0" borderId="11" xfId="52" applyFont="1" applyFill="1" applyBorder="1" applyAlignment="1">
      <alignment vertical="center" wrapText="1"/>
      <protection/>
    </xf>
    <xf numFmtId="4" fontId="9" fillId="0" borderId="11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0" fontId="54" fillId="0" borderId="15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vertical="center" wrapText="1"/>
    </xf>
    <xf numFmtId="4" fontId="51" fillId="0" borderId="13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vertical="center"/>
    </xf>
    <xf numFmtId="0" fontId="54" fillId="0" borderId="14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vertical="center" wrapText="1"/>
    </xf>
    <xf numFmtId="4" fontId="29" fillId="0" borderId="23" xfId="0" applyNumberFormat="1" applyFont="1" applyFill="1" applyBorder="1" applyAlignment="1">
      <alignment vertical="center" wrapText="1"/>
    </xf>
    <xf numFmtId="0" fontId="46" fillId="0" borderId="1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vertical="center"/>
    </xf>
    <xf numFmtId="4" fontId="56" fillId="0" borderId="10" xfId="0" applyNumberFormat="1" applyFont="1" applyFill="1" applyBorder="1" applyAlignment="1">
      <alignment vertical="center" wrapText="1"/>
    </xf>
    <xf numFmtId="0" fontId="53" fillId="0" borderId="1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horizontal="center" vertical="center"/>
    </xf>
    <xf numFmtId="0" fontId="58" fillId="0" borderId="0" xfId="0" applyFont="1" applyFill="1" applyAlignment="1">
      <alignment/>
    </xf>
    <xf numFmtId="0" fontId="46" fillId="0" borderId="16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vertical="center" wrapText="1"/>
    </xf>
    <xf numFmtId="0" fontId="26" fillId="0" borderId="22" xfId="0" applyFont="1" applyFill="1" applyBorder="1" applyAlignment="1">
      <alignment horizontal="center" vertical="center"/>
    </xf>
    <xf numFmtId="0" fontId="29" fillId="0" borderId="10" xfId="52" applyFont="1" applyFill="1" applyBorder="1" applyAlignment="1">
      <alignment vertical="center" wrapText="1"/>
      <protection/>
    </xf>
    <xf numFmtId="0" fontId="46" fillId="0" borderId="10" xfId="52" applyFont="1" applyFill="1" applyBorder="1" applyAlignment="1">
      <alignment vertical="center" wrapText="1"/>
      <protection/>
    </xf>
    <xf numFmtId="4" fontId="29" fillId="0" borderId="10" xfId="52" applyNumberFormat="1" applyFont="1" applyFill="1" applyBorder="1" applyAlignment="1">
      <alignment vertical="center"/>
      <protection/>
    </xf>
    <xf numFmtId="0" fontId="12" fillId="0" borderId="1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/>
    </xf>
    <xf numFmtId="0" fontId="29" fillId="0" borderId="13" xfId="52" applyFont="1" applyFill="1" applyBorder="1" applyAlignment="1">
      <alignment vertical="center" wrapText="1"/>
      <protection/>
    </xf>
    <xf numFmtId="4" fontId="9" fillId="0" borderId="10" xfId="52" applyNumberFormat="1" applyFont="1" applyFill="1" applyBorder="1" applyAlignment="1">
      <alignment vertical="center"/>
      <protection/>
    </xf>
    <xf numFmtId="4" fontId="29" fillId="0" borderId="10" xfId="52" applyNumberFormat="1" applyFont="1" applyFill="1" applyBorder="1" applyAlignment="1">
      <alignment vertical="center" wrapText="1"/>
      <protection/>
    </xf>
    <xf numFmtId="0" fontId="46" fillId="0" borderId="10" xfId="52" applyFont="1" applyFill="1" applyBorder="1" applyAlignment="1">
      <alignment horizontal="left" vertical="center" wrapText="1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" fontId="29" fillId="0" borderId="13" xfId="52" applyNumberFormat="1" applyFont="1" applyFill="1" applyBorder="1" applyAlignment="1">
      <alignment vertical="center" wrapText="1"/>
      <protection/>
    </xf>
    <xf numFmtId="4" fontId="29" fillId="0" borderId="12" xfId="52" applyNumberFormat="1" applyFont="1" applyFill="1" applyBorder="1" applyAlignment="1">
      <alignment vertical="center" wrapText="1"/>
      <protection/>
    </xf>
    <xf numFmtId="0" fontId="46" fillId="0" borderId="13" xfId="56" applyFont="1" applyFill="1" applyBorder="1" applyAlignment="1">
      <alignment horizontal="left" vertical="center" wrapText="1"/>
      <protection/>
    </xf>
    <xf numFmtId="4" fontId="9" fillId="0" borderId="13" xfId="52" applyNumberFormat="1" applyFont="1" applyFill="1" applyBorder="1" applyAlignment="1">
      <alignment vertical="center"/>
      <protection/>
    </xf>
    <xf numFmtId="4" fontId="29" fillId="0" borderId="23" xfId="52" applyNumberFormat="1" applyFont="1" applyFill="1" applyBorder="1" applyAlignment="1">
      <alignment vertical="center" wrapText="1"/>
      <protection/>
    </xf>
    <xf numFmtId="0" fontId="46" fillId="0" borderId="10" xfId="56" applyFont="1" applyFill="1" applyBorder="1" applyAlignment="1">
      <alignment horizontal="left" vertical="center" wrapText="1"/>
      <protection/>
    </xf>
    <xf numFmtId="0" fontId="29" fillId="0" borderId="10" xfId="52" applyFont="1" applyFill="1" applyBorder="1" applyAlignment="1">
      <alignment wrapText="1"/>
      <protection/>
    </xf>
    <xf numFmtId="0" fontId="26" fillId="0" borderId="0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/>
    </xf>
    <xf numFmtId="0" fontId="46" fillId="0" borderId="14" xfId="52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vertical="center"/>
    </xf>
    <xf numFmtId="0" fontId="44" fillId="0" borderId="1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" fontId="12" fillId="0" borderId="13" xfId="0" applyNumberFormat="1" applyFont="1" applyFill="1" applyBorder="1" applyAlignment="1">
      <alignment vertical="center"/>
    </xf>
    <xf numFmtId="4" fontId="53" fillId="0" borderId="10" xfId="0" applyNumberFormat="1" applyFont="1" applyFill="1" applyBorder="1" applyAlignment="1">
      <alignment vertical="center" wrapText="1"/>
    </xf>
    <xf numFmtId="0" fontId="46" fillId="0" borderId="13" xfId="52" applyFont="1" applyFill="1" applyBorder="1" applyAlignment="1">
      <alignment vertical="center" wrapText="1"/>
      <protection/>
    </xf>
    <xf numFmtId="4" fontId="59" fillId="0" borderId="0" xfId="0" applyNumberFormat="1" applyFont="1" applyFill="1" applyAlignment="1">
      <alignment vertical="center"/>
    </xf>
    <xf numFmtId="0" fontId="48" fillId="0" borderId="13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vertical="center" wrapText="1"/>
    </xf>
    <xf numFmtId="4" fontId="9" fillId="0" borderId="23" xfId="0" applyNumberFormat="1" applyFont="1" applyFill="1" applyBorder="1" applyAlignment="1">
      <alignment vertical="center" wrapText="1"/>
    </xf>
    <xf numFmtId="4" fontId="12" fillId="0" borderId="13" xfId="0" applyNumberFormat="1" applyFont="1" applyFill="1" applyBorder="1" applyAlignment="1">
      <alignment vertical="center" wrapText="1"/>
    </xf>
    <xf numFmtId="0" fontId="26" fillId="0" borderId="23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vertical="center" wrapText="1"/>
    </xf>
    <xf numFmtId="0" fontId="29" fillId="0" borderId="22" xfId="0" applyFont="1" applyFill="1" applyBorder="1" applyAlignment="1">
      <alignment vertical="center" wrapText="1"/>
    </xf>
    <xf numFmtId="4" fontId="29" fillId="0" borderId="20" xfId="0" applyNumberFormat="1" applyFont="1" applyFill="1" applyBorder="1" applyAlignment="1">
      <alignment vertical="center" wrapText="1"/>
    </xf>
    <xf numFmtId="4" fontId="29" fillId="0" borderId="13" xfId="0" applyNumberFormat="1" applyFont="1" applyFill="1" applyBorder="1" applyAlignment="1">
      <alignment vertical="center" wrapText="1"/>
    </xf>
    <xf numFmtId="0" fontId="46" fillId="0" borderId="19" xfId="0" applyFont="1" applyFill="1" applyBorder="1" applyAlignment="1">
      <alignment vertical="center" wrapText="1"/>
    </xf>
    <xf numFmtId="0" fontId="26" fillId="0" borderId="24" xfId="0" applyFont="1" applyFill="1" applyBorder="1" applyAlignment="1">
      <alignment horizontal="center" vertical="center"/>
    </xf>
    <xf numFmtId="0" fontId="60" fillId="0" borderId="0" xfId="0" applyFont="1" applyFill="1" applyAlignment="1">
      <alignment/>
    </xf>
    <xf numFmtId="0" fontId="61" fillId="0" borderId="10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Alignment="1">
      <alignment vertical="center"/>
    </xf>
    <xf numFmtId="4" fontId="52" fillId="0" borderId="0" xfId="0" applyNumberFormat="1" applyFont="1" applyFill="1" applyAlignment="1">
      <alignment horizontal="right"/>
    </xf>
    <xf numFmtId="4" fontId="62" fillId="0" borderId="0" xfId="0" applyNumberFormat="1" applyFont="1" applyFill="1" applyAlignment="1">
      <alignment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3" fillId="0" borderId="21" xfId="52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45" fillId="0" borderId="0" xfId="0" applyNumberFormat="1" applyFont="1" applyAlignment="1">
      <alignment/>
    </xf>
    <xf numFmtId="0" fontId="63" fillId="0" borderId="0" xfId="52" applyFont="1" applyFill="1" applyAlignment="1">
      <alignment horizontal="left"/>
      <protection/>
    </xf>
    <xf numFmtId="0" fontId="63" fillId="0" borderId="0" xfId="58" applyFont="1" applyFill="1" applyAlignment="1">
      <alignment horizontal="left"/>
      <protection/>
    </xf>
    <xf numFmtId="0" fontId="64" fillId="0" borderId="0" xfId="0" applyFont="1" applyFill="1" applyAlignment="1">
      <alignment horizontal="left"/>
    </xf>
    <xf numFmtId="4" fontId="3" fillId="0" borderId="11" xfId="52" applyNumberFormat="1" applyFont="1" applyFill="1" applyBorder="1" applyAlignment="1">
      <alignment horizontal="right" vertical="center"/>
      <protection/>
    </xf>
    <xf numFmtId="4" fontId="22" fillId="0" borderId="0" xfId="0" applyNumberFormat="1" applyFont="1" applyFill="1" applyAlignment="1">
      <alignment vertical="center"/>
    </xf>
    <xf numFmtId="49" fontId="29" fillId="0" borderId="0" xfId="52" applyNumberFormat="1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center"/>
      <protection/>
    </xf>
    <xf numFmtId="49" fontId="28" fillId="0" borderId="0" xfId="53" applyNumberFormat="1" applyFont="1" applyFill="1">
      <alignment/>
      <protection/>
    </xf>
    <xf numFmtId="0" fontId="29" fillId="0" borderId="0" xfId="0" applyFont="1" applyFill="1" applyAlignment="1">
      <alignment/>
    </xf>
    <xf numFmtId="0" fontId="2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0" fontId="9" fillId="0" borderId="13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/>
    </xf>
    <xf numFmtId="0" fontId="11" fillId="0" borderId="16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vertical="center"/>
    </xf>
    <xf numFmtId="0" fontId="51" fillId="0" borderId="18" xfId="0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horizontal="right" vertical="center"/>
    </xf>
    <xf numFmtId="4" fontId="3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4" fontId="37" fillId="0" borderId="0" xfId="0" applyNumberFormat="1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 wrapText="1"/>
    </xf>
    <xf numFmtId="0" fontId="29" fillId="0" borderId="18" xfId="0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vertical="center"/>
    </xf>
    <xf numFmtId="4" fontId="12" fillId="0" borderId="0" xfId="0" applyNumberFormat="1" applyFont="1" applyFill="1" applyAlignment="1">
      <alignment vertical="center"/>
    </xf>
    <xf numFmtId="0" fontId="12" fillId="0" borderId="21" xfId="0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/>
    </xf>
    <xf numFmtId="4" fontId="5" fillId="0" borderId="18" xfId="0" applyNumberFormat="1" applyFont="1" applyFill="1" applyBorder="1" applyAlignment="1">
      <alignment horizontal="right" vertical="center"/>
    </xf>
    <xf numFmtId="0" fontId="49" fillId="0" borderId="12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/>
    </xf>
    <xf numFmtId="0" fontId="49" fillId="0" borderId="14" xfId="0" applyFont="1" applyFill="1" applyBorder="1" applyAlignment="1">
      <alignment horizontal="left" vertical="center"/>
    </xf>
    <xf numFmtId="4" fontId="5" fillId="0" borderId="12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horizontal="left" vertical="center"/>
    </xf>
    <xf numFmtId="0" fontId="29" fillId="0" borderId="18" xfId="54" applyFont="1" applyFill="1" applyBorder="1" applyAlignment="1">
      <alignment horizontal="left" vertical="center" wrapText="1"/>
      <protection/>
    </xf>
    <xf numFmtId="0" fontId="49" fillId="0" borderId="13" xfId="0" applyFont="1" applyFill="1" applyBorder="1" applyAlignment="1">
      <alignment horizontal="left" vertical="center" wrapText="1"/>
    </xf>
    <xf numFmtId="0" fontId="29" fillId="0" borderId="13" xfId="54" applyFont="1" applyFill="1" applyBorder="1" applyAlignment="1">
      <alignment horizontal="left" vertical="center" wrapText="1"/>
      <protection/>
    </xf>
    <xf numFmtId="0" fontId="49" fillId="0" borderId="14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/>
    </xf>
    <xf numFmtId="49" fontId="29" fillId="0" borderId="13" xfId="52" applyNumberFormat="1" applyFont="1" applyFill="1" applyBorder="1" applyAlignment="1">
      <alignment horizontal="left" vertical="center" wrapText="1"/>
      <protection/>
    </xf>
    <xf numFmtId="4" fontId="3" fillId="0" borderId="13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0" fontId="66" fillId="0" borderId="0" xfId="0" applyFont="1" applyFill="1" applyAlignment="1">
      <alignment vertical="center"/>
    </xf>
    <xf numFmtId="0" fontId="9" fillId="0" borderId="16" xfId="0" applyFont="1" applyFill="1" applyBorder="1" applyAlignment="1">
      <alignment vertical="center"/>
    </xf>
    <xf numFmtId="0" fontId="29" fillId="0" borderId="1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 vertical="center" wrapText="1"/>
    </xf>
    <xf numFmtId="4" fontId="67" fillId="0" borderId="0" xfId="0" applyNumberFormat="1" applyFont="1" applyFill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left" vertical="center" wrapText="1"/>
    </xf>
    <xf numFmtId="4" fontId="13" fillId="0" borderId="12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vertical="center" wrapText="1"/>
    </xf>
    <xf numFmtId="0" fontId="54" fillId="0" borderId="20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vertical="center"/>
    </xf>
    <xf numFmtId="0" fontId="54" fillId="0" borderId="16" xfId="0" applyFont="1" applyFill="1" applyBorder="1" applyAlignment="1">
      <alignment horizontal="left" vertical="center"/>
    </xf>
    <xf numFmtId="0" fontId="54" fillId="0" borderId="23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vertical="center"/>
    </xf>
    <xf numFmtId="0" fontId="29" fillId="0" borderId="18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vertical="center"/>
    </xf>
    <xf numFmtId="0" fontId="54" fillId="0" borderId="13" xfId="0" applyFont="1" applyFill="1" applyBorder="1" applyAlignment="1">
      <alignment horizontal="left" vertical="center"/>
    </xf>
    <xf numFmtId="0" fontId="5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4" fontId="13" fillId="0" borderId="13" xfId="0" applyNumberFormat="1" applyFont="1" applyFill="1" applyBorder="1" applyAlignment="1">
      <alignment horizontal="right" vertical="center"/>
    </xf>
    <xf numFmtId="0" fontId="49" fillId="0" borderId="15" xfId="0" applyFont="1" applyFill="1" applyBorder="1" applyAlignment="1">
      <alignment vertical="center"/>
    </xf>
    <xf numFmtId="0" fontId="49" fillId="0" borderId="14" xfId="0" applyFont="1" applyFill="1" applyBorder="1" applyAlignment="1">
      <alignment vertical="center"/>
    </xf>
    <xf numFmtId="0" fontId="29" fillId="0" borderId="17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vertical="center"/>
    </xf>
    <xf numFmtId="0" fontId="4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4" fontId="11" fillId="0" borderId="13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9" fillId="0" borderId="0" xfId="57" applyFont="1" applyFill="1">
      <alignment/>
      <protection/>
    </xf>
    <xf numFmtId="0" fontId="9" fillId="0" borderId="0" xfId="0" applyFont="1" applyFill="1" applyBorder="1" applyAlignment="1">
      <alignment/>
    </xf>
    <xf numFmtId="0" fontId="9" fillId="0" borderId="0" xfId="57" applyFont="1" applyFill="1" applyBorder="1">
      <alignment/>
      <protection/>
    </xf>
    <xf numFmtId="0" fontId="29" fillId="0" borderId="0" xfId="57" applyFont="1" applyFill="1">
      <alignment/>
      <protection/>
    </xf>
    <xf numFmtId="4" fontId="2" fillId="0" borderId="0" xfId="57" applyNumberFormat="1" applyFont="1" applyFill="1">
      <alignment/>
      <protection/>
    </xf>
    <xf numFmtId="0" fontId="59" fillId="0" borderId="0" xfId="53" applyFont="1" applyFill="1">
      <alignment/>
      <protection/>
    </xf>
    <xf numFmtId="0" fontId="9" fillId="0" borderId="0" xfId="57" applyFont="1" applyFill="1" applyAlignment="1">
      <alignment horizontal="center"/>
      <protection/>
    </xf>
    <xf numFmtId="0" fontId="9" fillId="0" borderId="0" xfId="53" applyFont="1" applyFill="1" applyBorder="1">
      <alignment/>
      <protection/>
    </xf>
    <xf numFmtId="0" fontId="29" fillId="0" borderId="0" xfId="53" applyFont="1" applyFill="1">
      <alignment/>
      <protection/>
    </xf>
    <xf numFmtId="0" fontId="2" fillId="0" borderId="0" xfId="53" applyFont="1" applyFill="1" applyAlignment="1">
      <alignment horizontal="center"/>
      <protection/>
    </xf>
    <xf numFmtId="0" fontId="26" fillId="0" borderId="0" xfId="53" applyFont="1" applyFill="1" applyAlignment="1">
      <alignment horizontal="center"/>
      <protection/>
    </xf>
    <xf numFmtId="0" fontId="9" fillId="0" borderId="14" xfId="57" applyFont="1" applyFill="1" applyBorder="1" applyAlignment="1">
      <alignment horizontal="center"/>
      <protection/>
    </xf>
    <xf numFmtId="0" fontId="9" fillId="0" borderId="14" xfId="53" applyFont="1" applyFill="1" applyBorder="1">
      <alignment/>
      <protection/>
    </xf>
    <xf numFmtId="0" fontId="9" fillId="0" borderId="14" xfId="53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vertical="center"/>
      <protection/>
    </xf>
    <xf numFmtId="0" fontId="3" fillId="0" borderId="11" xfId="53" applyFont="1" applyFill="1" applyBorder="1" applyAlignment="1">
      <alignment vertical="center"/>
      <protection/>
    </xf>
    <xf numFmtId="0" fontId="9" fillId="0" borderId="12" xfId="57" applyFont="1" applyFill="1" applyBorder="1" applyAlignment="1">
      <alignment horizontal="center" vertical="top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0" fontId="46" fillId="0" borderId="12" xfId="53" applyFont="1" applyFill="1" applyBorder="1" applyAlignment="1">
      <alignment horizontal="center" vertical="top" wrapText="1"/>
      <protection/>
    </xf>
    <xf numFmtId="0" fontId="46" fillId="0" borderId="13" xfId="53" applyFont="1" applyFill="1" applyBorder="1" applyAlignment="1">
      <alignment horizontal="center" vertical="top" wrapText="1"/>
      <protection/>
    </xf>
    <xf numFmtId="0" fontId="46" fillId="0" borderId="13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top" wrapText="1"/>
      <protection/>
    </xf>
    <xf numFmtId="4" fontId="25" fillId="0" borderId="0" xfId="53" applyNumberFormat="1" applyFont="1" applyFill="1" applyBorder="1" applyAlignment="1">
      <alignment horizontal="right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29" fillId="0" borderId="0" xfId="53" applyFont="1" applyFill="1" applyAlignment="1">
      <alignment horizontal="center" vertical="center" wrapText="1"/>
      <protection/>
    </xf>
    <xf numFmtId="4" fontId="2" fillId="0" borderId="0" xfId="57" applyNumberFormat="1" applyFont="1" applyFill="1" applyAlignment="1">
      <alignment vertical="top"/>
      <protection/>
    </xf>
    <xf numFmtId="4" fontId="2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68" fillId="0" borderId="10" xfId="57" applyFont="1" applyFill="1" applyBorder="1" applyAlignment="1">
      <alignment horizontal="left" vertical="top"/>
      <protection/>
    </xf>
    <xf numFmtId="0" fontId="9" fillId="0" borderId="19" xfId="53" applyFont="1" applyFill="1" applyBorder="1" applyAlignment="1">
      <alignment horizontal="center" vertical="top" wrapText="1"/>
      <protection/>
    </xf>
    <xf numFmtId="0" fontId="46" fillId="0" borderId="19" xfId="53" applyFont="1" applyFill="1" applyBorder="1" applyAlignment="1">
      <alignment horizontal="center" vertical="top" wrapText="1"/>
      <protection/>
    </xf>
    <xf numFmtId="4" fontId="5" fillId="0" borderId="13" xfId="53" applyNumberFormat="1" applyFont="1" applyFill="1" applyBorder="1" applyAlignment="1">
      <alignment horizontal="right" vertical="center" wrapText="1"/>
      <protection/>
    </xf>
    <xf numFmtId="0" fontId="12" fillId="0" borderId="15" xfId="57" applyFont="1" applyFill="1" applyBorder="1" applyAlignment="1">
      <alignment horizontal="center" vertical="center"/>
      <protection/>
    </xf>
    <xf numFmtId="0" fontId="12" fillId="0" borderId="11" xfId="53" applyFont="1" applyFill="1" applyBorder="1" applyAlignment="1">
      <alignment vertical="center" wrapText="1"/>
      <protection/>
    </xf>
    <xf numFmtId="0" fontId="9" fillId="0" borderId="10" xfId="53" applyFont="1" applyFill="1" applyBorder="1" applyAlignment="1">
      <alignment vertical="center" wrapText="1"/>
      <protection/>
    </xf>
    <xf numFmtId="0" fontId="46" fillId="0" borderId="14" xfId="0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2" fillId="0" borderId="0" xfId="0" applyNumberFormat="1" applyFont="1" applyFill="1" applyAlignment="1">
      <alignment vertical="center"/>
    </xf>
    <xf numFmtId="0" fontId="9" fillId="0" borderId="15" xfId="57" applyFont="1" applyFill="1" applyBorder="1" applyAlignment="1">
      <alignment horizontal="center" vertical="center"/>
      <protection/>
    </xf>
    <xf numFmtId="0" fontId="49" fillId="0" borderId="11" xfId="0" applyFont="1" applyFill="1" applyBorder="1" applyAlignment="1">
      <alignment vertical="center" wrapText="1"/>
    </xf>
    <xf numFmtId="4" fontId="9" fillId="0" borderId="20" xfId="57" applyNumberFormat="1" applyFont="1" applyFill="1" applyBorder="1" applyAlignment="1">
      <alignment vertical="center"/>
      <protection/>
    </xf>
    <xf numFmtId="0" fontId="46" fillId="0" borderId="15" xfId="0" applyFont="1" applyFill="1" applyBorder="1" applyAlignment="1">
      <alignment vertical="center"/>
    </xf>
    <xf numFmtId="4" fontId="3" fillId="0" borderId="21" xfId="0" applyNumberFormat="1" applyFont="1" applyFill="1" applyBorder="1" applyAlignment="1">
      <alignment vertical="center"/>
    </xf>
    <xf numFmtId="4" fontId="70" fillId="0" borderId="0" xfId="0" applyNumberFormat="1" applyFont="1" applyFill="1" applyBorder="1" applyAlignment="1">
      <alignment vertical="center"/>
    </xf>
    <xf numFmtId="4" fontId="9" fillId="0" borderId="16" xfId="57" applyNumberFormat="1" applyFont="1" applyFill="1" applyBorder="1" applyAlignment="1">
      <alignment vertical="center"/>
      <protection/>
    </xf>
    <xf numFmtId="0" fontId="46" fillId="0" borderId="12" xfId="0" applyFont="1" applyFill="1" applyBorder="1" applyAlignment="1">
      <alignment vertical="center"/>
    </xf>
    <xf numFmtId="0" fontId="12" fillId="0" borderId="14" xfId="57" applyFont="1" applyFill="1" applyBorder="1" applyAlignment="1">
      <alignment horizontal="center" vertical="center"/>
      <protection/>
    </xf>
    <xf numFmtId="0" fontId="9" fillId="0" borderId="20" xfId="0" applyFont="1" applyFill="1" applyBorder="1" applyAlignment="1">
      <alignment vertical="center" wrapText="1"/>
    </xf>
    <xf numFmtId="0" fontId="46" fillId="0" borderId="16" xfId="0" applyFont="1" applyFill="1" applyBorder="1" applyAlignment="1">
      <alignment vertical="center"/>
    </xf>
    <xf numFmtId="0" fontId="9" fillId="0" borderId="24" xfId="57" applyFont="1" applyFill="1" applyBorder="1" applyAlignment="1">
      <alignment vertical="center" wrapText="1"/>
      <protection/>
    </xf>
    <xf numFmtId="4" fontId="9" fillId="0" borderId="14" xfId="57" applyNumberFormat="1" applyFont="1" applyFill="1" applyBorder="1" applyAlignment="1">
      <alignment vertical="center"/>
      <protection/>
    </xf>
    <xf numFmtId="0" fontId="9" fillId="0" borderId="12" xfId="57" applyFont="1" applyFill="1" applyBorder="1" applyAlignment="1">
      <alignment horizontal="center" vertical="center"/>
      <protection/>
    </xf>
    <xf numFmtId="0" fontId="9" fillId="0" borderId="19" xfId="57" applyFont="1" applyFill="1" applyBorder="1" applyAlignment="1">
      <alignment vertical="center" wrapText="1"/>
      <protection/>
    </xf>
    <xf numFmtId="4" fontId="9" fillId="0" borderId="12" xfId="57" applyNumberFormat="1" applyFont="1" applyFill="1" applyBorder="1" applyAlignment="1">
      <alignment vertical="center"/>
      <protection/>
    </xf>
    <xf numFmtId="0" fontId="46" fillId="0" borderId="23" xfId="0" applyFont="1" applyFill="1" applyBorder="1" applyAlignment="1">
      <alignment vertical="center"/>
    </xf>
    <xf numFmtId="4" fontId="29" fillId="0" borderId="0" xfId="0" applyNumberFormat="1" applyFont="1" applyFill="1" applyBorder="1" applyAlignment="1">
      <alignment vertical="center"/>
    </xf>
    <xf numFmtId="0" fontId="9" fillId="0" borderId="13" xfId="53" applyFont="1" applyFill="1" applyBorder="1" applyAlignment="1">
      <alignment vertical="center" wrapText="1"/>
      <protection/>
    </xf>
    <xf numFmtId="0" fontId="46" fillId="0" borderId="20" xfId="0" applyFont="1" applyFill="1" applyBorder="1" applyAlignment="1">
      <alignment vertical="center"/>
    </xf>
    <xf numFmtId="4" fontId="3" fillId="0" borderId="14" xfId="53" applyNumberFormat="1" applyFont="1" applyFill="1" applyBorder="1" applyAlignment="1">
      <alignment horizontal="center" vertical="center" wrapText="1"/>
      <protection/>
    </xf>
    <xf numFmtId="4" fontId="3" fillId="0" borderId="18" xfId="53" applyNumberFormat="1" applyFont="1" applyFill="1" applyBorder="1" applyAlignment="1">
      <alignment horizontal="right" vertical="center" wrapText="1"/>
      <protection/>
    </xf>
    <xf numFmtId="4" fontId="3" fillId="0" borderId="0" xfId="53" applyNumberFormat="1" applyFont="1" applyFill="1" applyBorder="1" applyAlignment="1">
      <alignment horizontal="center" vertical="center" wrapText="1"/>
      <protection/>
    </xf>
    <xf numFmtId="4" fontId="29" fillId="0" borderId="0" xfId="53" applyNumberFormat="1" applyFont="1" applyFill="1" applyAlignment="1">
      <alignment horizontal="center" vertical="center" wrapText="1"/>
      <protection/>
    </xf>
    <xf numFmtId="4" fontId="9" fillId="0" borderId="0" xfId="53" applyNumberFormat="1" applyFont="1" applyFill="1" applyAlignment="1">
      <alignment horizontal="center" vertical="center" wrapText="1"/>
      <protection/>
    </xf>
    <xf numFmtId="0" fontId="9" fillId="0" borderId="0" xfId="57" applyFont="1" applyFill="1" applyAlignment="1">
      <alignment vertical="center"/>
      <protection/>
    </xf>
    <xf numFmtId="4" fontId="3" fillId="0" borderId="15" xfId="53" applyNumberFormat="1" applyFont="1" applyFill="1" applyBorder="1" applyAlignment="1">
      <alignment horizontal="center" vertical="center" wrapText="1"/>
      <protection/>
    </xf>
    <xf numFmtId="4" fontId="3" fillId="0" borderId="21" xfId="53" applyNumberFormat="1" applyFont="1" applyFill="1" applyBorder="1" applyAlignment="1">
      <alignment horizontal="right" vertical="center" wrapText="1"/>
      <protection/>
    </xf>
    <xf numFmtId="4" fontId="3" fillId="0" borderId="12" xfId="53" applyNumberFormat="1" applyFont="1" applyFill="1" applyBorder="1" applyAlignment="1">
      <alignment horizontal="center" vertical="center" wrapText="1"/>
      <protection/>
    </xf>
    <xf numFmtId="4" fontId="3" fillId="0" borderId="17" xfId="53" applyNumberFormat="1" applyFont="1" applyFill="1" applyBorder="1" applyAlignment="1">
      <alignment horizontal="right" vertical="center" wrapText="1"/>
      <protection/>
    </xf>
    <xf numFmtId="4" fontId="9" fillId="0" borderId="13" xfId="57" applyNumberFormat="1" applyFont="1" applyFill="1" applyBorder="1" applyAlignment="1">
      <alignment vertical="center" wrapText="1"/>
      <protection/>
    </xf>
    <xf numFmtId="4" fontId="3" fillId="0" borderId="20" xfId="53" applyNumberFormat="1" applyFont="1" applyFill="1" applyBorder="1" applyAlignment="1">
      <alignment horizontal="center" vertical="center" wrapText="1"/>
      <protection/>
    </xf>
    <xf numFmtId="0" fontId="9" fillId="0" borderId="19" xfId="0" applyFont="1" applyFill="1" applyBorder="1" applyAlignment="1">
      <alignment vertical="center" wrapText="1"/>
    </xf>
    <xf numFmtId="4" fontId="3" fillId="0" borderId="16" xfId="53" applyNumberFormat="1" applyFont="1" applyFill="1" applyBorder="1" applyAlignment="1">
      <alignment horizontal="center" vertical="center" wrapText="1"/>
      <protection/>
    </xf>
    <xf numFmtId="4" fontId="9" fillId="0" borderId="23" xfId="57" applyNumberFormat="1" applyFont="1" applyFill="1" applyBorder="1" applyAlignment="1">
      <alignment vertical="center"/>
      <protection/>
    </xf>
    <xf numFmtId="4" fontId="9" fillId="0" borderId="0" xfId="57" applyNumberFormat="1" applyFont="1" applyFill="1" applyBorder="1" applyAlignment="1">
      <alignment vertical="center" wrapText="1"/>
      <protection/>
    </xf>
    <xf numFmtId="0" fontId="9" fillId="0" borderId="16" xfId="53" applyFont="1" applyFill="1" applyBorder="1" applyAlignment="1">
      <alignment vertical="center" wrapText="1"/>
      <protection/>
    </xf>
    <xf numFmtId="0" fontId="46" fillId="0" borderId="14" xfId="53" applyFont="1" applyFill="1" applyBorder="1" applyAlignment="1">
      <alignment horizontal="center" vertical="center"/>
      <protection/>
    </xf>
    <xf numFmtId="0" fontId="46" fillId="0" borderId="15" xfId="53" applyFont="1" applyFill="1" applyBorder="1" applyAlignment="1">
      <alignment horizontal="center" vertical="center"/>
      <protection/>
    </xf>
    <xf numFmtId="4" fontId="3" fillId="0" borderId="15" xfId="53" applyNumberFormat="1" applyFont="1" applyFill="1" applyBorder="1" applyAlignment="1">
      <alignment horizontal="right" vertical="center" wrapText="1"/>
      <protection/>
    </xf>
    <xf numFmtId="0" fontId="9" fillId="0" borderId="22" xfId="0" applyFont="1" applyFill="1" applyBorder="1" applyAlignment="1">
      <alignment vertical="center" wrapText="1"/>
    </xf>
    <xf numFmtId="4" fontId="9" fillId="0" borderId="20" xfId="57" applyNumberFormat="1" applyFont="1" applyFill="1" applyBorder="1" applyAlignment="1">
      <alignment vertical="center" wrapText="1"/>
      <protection/>
    </xf>
    <xf numFmtId="4" fontId="3" fillId="0" borderId="18" xfId="53" applyNumberFormat="1" applyFont="1" applyFill="1" applyBorder="1" applyAlignment="1">
      <alignment horizontal="center" vertical="center" wrapText="1"/>
      <protection/>
    </xf>
    <xf numFmtId="4" fontId="3" fillId="0" borderId="21" xfId="53" applyNumberFormat="1" applyFont="1" applyFill="1" applyBorder="1" applyAlignment="1">
      <alignment horizontal="center" vertical="center" wrapText="1"/>
      <protection/>
    </xf>
    <xf numFmtId="4" fontId="3" fillId="0" borderId="17" xfId="53" applyNumberFormat="1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46" fillId="0" borderId="21" xfId="0" applyFont="1" applyFill="1" applyBorder="1" applyAlignment="1">
      <alignment vertical="center"/>
    </xf>
    <xf numFmtId="0" fontId="46" fillId="0" borderId="17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4" fontId="11" fillId="0" borderId="0" xfId="0" applyNumberFormat="1" applyFont="1" applyFill="1" applyBorder="1" applyAlignment="1">
      <alignment vertical="center"/>
    </xf>
    <xf numFmtId="0" fontId="9" fillId="0" borderId="20" xfId="53" applyFont="1" applyFill="1" applyBorder="1" applyAlignment="1">
      <alignment vertical="center" wrapText="1"/>
      <protection/>
    </xf>
    <xf numFmtId="0" fontId="4" fillId="0" borderId="10" xfId="57" applyFont="1" applyFill="1" applyBorder="1" applyAlignment="1">
      <alignment horizontal="left" vertical="center"/>
      <protection/>
    </xf>
    <xf numFmtId="0" fontId="29" fillId="0" borderId="19" xfId="0" applyFont="1" applyFill="1" applyBorder="1" applyAlignment="1">
      <alignment vertical="center" wrapText="1"/>
    </xf>
    <xf numFmtId="4" fontId="27" fillId="0" borderId="0" xfId="0" applyNumberFormat="1" applyFont="1" applyFill="1" applyBorder="1" applyAlignment="1">
      <alignment vertical="center"/>
    </xf>
    <xf numFmtId="4" fontId="71" fillId="0" borderId="0" xfId="0" applyNumberFormat="1" applyFont="1" applyFill="1" applyAlignment="1">
      <alignment/>
    </xf>
    <xf numFmtId="4" fontId="46" fillId="0" borderId="14" xfId="53" applyNumberFormat="1" applyFont="1" applyFill="1" applyBorder="1" applyAlignment="1">
      <alignment horizontal="center" vertical="center"/>
      <protection/>
    </xf>
    <xf numFmtId="4" fontId="3" fillId="0" borderId="14" xfId="53" applyNumberFormat="1" applyFont="1" applyFill="1" applyBorder="1" applyAlignment="1">
      <alignment vertical="center"/>
      <protection/>
    </xf>
    <xf numFmtId="4" fontId="31" fillId="0" borderId="0" xfId="53" applyNumberFormat="1" applyFont="1" applyFill="1" applyBorder="1" applyAlignment="1">
      <alignment horizontal="right" vertical="center" wrapText="1"/>
      <protection/>
    </xf>
    <xf numFmtId="0" fontId="9" fillId="0" borderId="11" xfId="57" applyFont="1" applyFill="1" applyBorder="1" applyAlignment="1">
      <alignment vertical="center" wrapText="1"/>
      <protection/>
    </xf>
    <xf numFmtId="0" fontId="9" fillId="0" borderId="14" xfId="0" applyFont="1" applyFill="1" applyBorder="1" applyAlignment="1">
      <alignment/>
    </xf>
    <xf numFmtId="4" fontId="46" fillId="0" borderId="21" xfId="57" applyNumberFormat="1" applyFont="1" applyFill="1" applyBorder="1" applyAlignment="1">
      <alignment horizontal="center" vertical="center"/>
      <protection/>
    </xf>
    <xf numFmtId="0" fontId="3" fillId="0" borderId="15" xfId="57" applyFont="1" applyFill="1" applyBorder="1" applyAlignment="1">
      <alignment vertical="center"/>
      <protection/>
    </xf>
    <xf numFmtId="4" fontId="3" fillId="0" borderId="15" xfId="57" applyNumberFormat="1" applyFont="1" applyFill="1" applyBorder="1" applyAlignment="1">
      <alignment vertical="center"/>
      <protection/>
    </xf>
    <xf numFmtId="0" fontId="29" fillId="0" borderId="17" xfId="57" applyFont="1" applyFill="1" applyBorder="1" applyAlignment="1">
      <alignment vertical="center" wrapText="1"/>
      <protection/>
    </xf>
    <xf numFmtId="0" fontId="9" fillId="0" borderId="12" xfId="0" applyFont="1" applyFill="1" applyBorder="1" applyAlignment="1">
      <alignment/>
    </xf>
    <xf numFmtId="0" fontId="46" fillId="0" borderId="17" xfId="53" applyFont="1" applyFill="1" applyBorder="1" applyAlignment="1">
      <alignment horizontal="center" vertical="center"/>
      <protection/>
    </xf>
    <xf numFmtId="4" fontId="3" fillId="0" borderId="12" xfId="57" applyNumberFormat="1" applyFont="1" applyFill="1" applyBorder="1" applyAlignment="1">
      <alignment vertical="center" wrapText="1"/>
      <protection/>
    </xf>
    <xf numFmtId="4" fontId="3" fillId="0" borderId="12" xfId="57" applyNumberFormat="1" applyFont="1" applyFill="1" applyBorder="1" applyAlignment="1">
      <alignment vertical="center"/>
      <protection/>
    </xf>
    <xf numFmtId="2" fontId="9" fillId="0" borderId="13" xfId="0" applyNumberFormat="1" applyFont="1" applyFill="1" applyBorder="1" applyAlignment="1">
      <alignment vertical="center" wrapText="1"/>
    </xf>
    <xf numFmtId="0" fontId="46" fillId="0" borderId="14" xfId="0" applyFont="1" applyFill="1" applyBorder="1" applyAlignment="1">
      <alignment horizontal="center" vertical="center" wrapText="1"/>
    </xf>
    <xf numFmtId="4" fontId="20" fillId="0" borderId="14" xfId="0" applyNumberFormat="1" applyFont="1" applyFill="1" applyBorder="1" applyAlignment="1">
      <alignment vertical="center"/>
    </xf>
    <xf numFmtId="0" fontId="37" fillId="0" borderId="15" xfId="0" applyFont="1" applyFill="1" applyBorder="1" applyAlignment="1">
      <alignment vertical="center" wrapText="1"/>
    </xf>
    <xf numFmtId="4" fontId="20" fillId="0" borderId="15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/>
    </xf>
    <xf numFmtId="0" fontId="9" fillId="0" borderId="13" xfId="57" applyFont="1" applyFill="1" applyBorder="1" applyAlignment="1">
      <alignment vertical="center" wrapText="1"/>
      <protection/>
    </xf>
    <xf numFmtId="0" fontId="9" fillId="0" borderId="12" xfId="0" applyFont="1" applyFill="1" applyBorder="1" applyAlignment="1">
      <alignment vertical="center"/>
    </xf>
    <xf numFmtId="0" fontId="37" fillId="0" borderId="12" xfId="0" applyFont="1" applyFill="1" applyBorder="1" applyAlignment="1">
      <alignment vertical="center" wrapText="1"/>
    </xf>
    <xf numFmtId="0" fontId="9" fillId="0" borderId="14" xfId="53" applyFont="1" applyFill="1" applyBorder="1" applyAlignment="1">
      <alignment vertical="center" wrapText="1"/>
      <protection/>
    </xf>
    <xf numFmtId="4" fontId="3" fillId="0" borderId="15" xfId="57" applyNumberFormat="1" applyFont="1" applyFill="1" applyBorder="1" applyAlignment="1">
      <alignment vertical="center" wrapText="1"/>
      <protection/>
    </xf>
    <xf numFmtId="4" fontId="29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0" fontId="9" fillId="0" borderId="15" xfId="0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4" fontId="31" fillId="0" borderId="0" xfId="0" applyNumberFormat="1" applyFont="1" applyFill="1" applyAlignment="1">
      <alignment/>
    </xf>
    <xf numFmtId="0" fontId="37" fillId="0" borderId="0" xfId="0" applyFont="1" applyFill="1" applyAlignment="1">
      <alignment wrapText="1"/>
    </xf>
    <xf numFmtId="4" fontId="72" fillId="0" borderId="0" xfId="0" applyNumberFormat="1" applyFont="1" applyFill="1" applyAlignment="1">
      <alignment/>
    </xf>
    <xf numFmtId="0" fontId="73" fillId="0" borderId="0" xfId="0" applyFont="1" applyFill="1" applyAlignment="1">
      <alignment/>
    </xf>
    <xf numFmtId="0" fontId="20" fillId="0" borderId="0" xfId="0" applyFont="1" applyFill="1" applyAlignment="1">
      <alignment/>
    </xf>
    <xf numFmtId="4" fontId="9" fillId="0" borderId="24" xfId="57" applyNumberFormat="1" applyFont="1" applyFill="1" applyBorder="1" applyAlignment="1">
      <alignment vertical="center"/>
      <protection/>
    </xf>
    <xf numFmtId="0" fontId="46" fillId="0" borderId="24" xfId="0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0" fontId="68" fillId="0" borderId="10" xfId="57" applyFont="1" applyFill="1" applyBorder="1" applyAlignment="1">
      <alignment horizontal="left" vertical="center"/>
      <protection/>
    </xf>
    <xf numFmtId="0" fontId="9" fillId="0" borderId="19" xfId="53" applyFont="1" applyFill="1" applyBorder="1" applyAlignment="1">
      <alignment horizontal="center" vertical="center" wrapText="1"/>
      <protection/>
    </xf>
    <xf numFmtId="49" fontId="16" fillId="0" borderId="0" xfId="53" applyNumberFormat="1" applyFont="1" applyFill="1">
      <alignment/>
      <protection/>
    </xf>
    <xf numFmtId="49" fontId="74" fillId="0" borderId="0" xfId="0" applyNumberFormat="1" applyFont="1" applyFill="1" applyAlignment="1">
      <alignment/>
    </xf>
    <xf numFmtId="4" fontId="45" fillId="0" borderId="0" xfId="0" applyNumberFormat="1" applyFont="1" applyAlignment="1">
      <alignment vertical="center"/>
    </xf>
    <xf numFmtId="4" fontId="31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/>
    </xf>
    <xf numFmtId="49" fontId="5" fillId="0" borderId="20" xfId="52" applyNumberFormat="1" applyFont="1" applyFill="1" applyBorder="1" applyAlignment="1">
      <alignment horizontal="center" vertical="center"/>
      <protection/>
    </xf>
    <xf numFmtId="49" fontId="3" fillId="0" borderId="18" xfId="52" applyNumberFormat="1" applyFont="1" applyFill="1" applyBorder="1" applyAlignment="1">
      <alignment horizontal="center" vertical="center"/>
      <protection/>
    </xf>
    <xf numFmtId="49" fontId="5" fillId="0" borderId="23" xfId="52" applyNumberFormat="1" applyFont="1" applyFill="1" applyBorder="1" applyAlignment="1">
      <alignment vertical="center"/>
      <protection/>
    </xf>
    <xf numFmtId="49" fontId="3" fillId="0" borderId="24" xfId="52" applyNumberFormat="1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45" fillId="0" borderId="0" xfId="0" applyNumberFormat="1" applyFont="1" applyAlignment="1">
      <alignment horizontal="center" vertical="center"/>
    </xf>
    <xf numFmtId="0" fontId="0" fillId="0" borderId="13" xfId="0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8" fillId="0" borderId="13" xfId="0" applyFont="1" applyBorder="1" applyAlignment="1">
      <alignment vertical="center" wrapText="1"/>
    </xf>
    <xf numFmtId="4" fontId="58" fillId="0" borderId="0" xfId="0" applyNumberFormat="1" applyFont="1" applyAlignment="1">
      <alignment vertical="center"/>
    </xf>
    <xf numFmtId="4" fontId="7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5" fillId="0" borderId="13" xfId="0" applyFont="1" applyBorder="1" applyAlignment="1">
      <alignment vertical="center" wrapText="1"/>
    </xf>
    <xf numFmtId="4" fontId="75" fillId="0" borderId="13" xfId="0" applyNumberFormat="1" applyFont="1" applyBorder="1" applyAlignment="1">
      <alignment vertical="center"/>
    </xf>
    <xf numFmtId="4" fontId="3" fillId="0" borderId="13" xfId="52" applyNumberFormat="1" applyFont="1" applyFill="1" applyBorder="1" applyAlignment="1">
      <alignment vertical="center"/>
      <protection/>
    </xf>
    <xf numFmtId="4" fontId="66" fillId="0" borderId="13" xfId="0" applyNumberFormat="1" applyFont="1" applyBorder="1" applyAlignment="1">
      <alignment vertical="center"/>
    </xf>
    <xf numFmtId="4" fontId="76" fillId="0" borderId="13" xfId="0" applyNumberFormat="1" applyFont="1" applyBorder="1" applyAlignment="1">
      <alignment vertical="center"/>
    </xf>
    <xf numFmtId="0" fontId="15" fillId="0" borderId="0" xfId="0" applyFont="1" applyFill="1" applyAlignment="1">
      <alignment/>
    </xf>
    <xf numFmtId="0" fontId="26" fillId="0" borderId="0" xfId="0" applyFont="1" applyFill="1" applyAlignment="1">
      <alignment/>
    </xf>
    <xf numFmtId="49" fontId="26" fillId="0" borderId="0" xfId="0" applyNumberFormat="1" applyFont="1" applyFill="1" applyAlignment="1">
      <alignment/>
    </xf>
    <xf numFmtId="0" fontId="26" fillId="0" borderId="0" xfId="52" applyFont="1" applyFill="1">
      <alignment/>
      <protection/>
    </xf>
    <xf numFmtId="4" fontId="14" fillId="0" borderId="0" xfId="52" applyNumberFormat="1" applyFont="1" applyFill="1">
      <alignment/>
      <protection/>
    </xf>
    <xf numFmtId="49" fontId="15" fillId="0" borderId="0" xfId="0" applyNumberFormat="1" applyFont="1" applyFill="1" applyAlignment="1">
      <alignment/>
    </xf>
    <xf numFmtId="4" fontId="5" fillId="0" borderId="13" xfId="53" applyNumberFormat="1" applyFont="1" applyFill="1" applyBorder="1" applyAlignment="1">
      <alignment horizontal="center" vertical="center" wrapText="1"/>
      <protection/>
    </xf>
    <xf numFmtId="4" fontId="3" fillId="0" borderId="12" xfId="53" applyNumberFormat="1" applyFont="1" applyFill="1" applyBorder="1" applyAlignment="1">
      <alignment horizontal="right" vertical="center" wrapText="1"/>
      <protection/>
    </xf>
    <xf numFmtId="0" fontId="12" fillId="0" borderId="13" xfId="53" applyFont="1" applyFill="1" applyBorder="1" applyAlignment="1">
      <alignment vertical="center" wrapText="1"/>
      <protection/>
    </xf>
    <xf numFmtId="0" fontId="49" fillId="0" borderId="23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7" applyFont="1" applyFill="1" applyBorder="1" applyAlignment="1">
      <alignment vertical="center" wrapText="1"/>
      <protection/>
    </xf>
    <xf numFmtId="4" fontId="4" fillId="0" borderId="0" xfId="0" applyNumberFormat="1" applyFont="1" applyFill="1" applyAlignment="1">
      <alignment vertical="center"/>
    </xf>
    <xf numFmtId="0" fontId="68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2" fillId="0" borderId="22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right" vertical="center" wrapText="1"/>
    </xf>
    <xf numFmtId="0" fontId="14" fillId="0" borderId="22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right" vertical="center" wrapText="1"/>
    </xf>
    <xf numFmtId="0" fontId="49" fillId="0" borderId="2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4" fontId="26" fillId="0" borderId="0" xfId="0" applyNumberFormat="1" applyFont="1" applyFill="1" applyAlignment="1">
      <alignment/>
    </xf>
    <xf numFmtId="0" fontId="49" fillId="0" borderId="20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/>
    </xf>
    <xf numFmtId="0" fontId="29" fillId="0" borderId="11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/>
    </xf>
    <xf numFmtId="0" fontId="49" fillId="0" borderId="19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/>
    </xf>
    <xf numFmtId="0" fontId="4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28" fillId="0" borderId="17" xfId="0" applyFont="1" applyFill="1" applyBorder="1" applyAlignment="1">
      <alignment horizontal="left" vertical="center" wrapText="1"/>
    </xf>
    <xf numFmtId="4" fontId="13" fillId="0" borderId="17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left" vertical="center"/>
    </xf>
    <xf numFmtId="0" fontId="54" fillId="0" borderId="19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/>
    </xf>
    <xf numFmtId="0" fontId="29" fillId="0" borderId="17" xfId="0" applyFont="1" applyFill="1" applyBorder="1" applyAlignment="1">
      <alignment/>
    </xf>
    <xf numFmtId="0" fontId="49" fillId="0" borderId="16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right" vertical="center" wrapText="1"/>
    </xf>
    <xf numFmtId="0" fontId="49" fillId="0" borderId="13" xfId="0" applyFont="1" applyFill="1" applyBorder="1" applyAlignment="1">
      <alignment horizontal="left" vertical="center"/>
    </xf>
    <xf numFmtId="4" fontId="78" fillId="0" borderId="0" xfId="53" applyNumberFormat="1" applyFont="1" applyFill="1" applyBorder="1" applyAlignment="1">
      <alignment horizontal="right" vertical="center" wrapText="1"/>
      <protection/>
    </xf>
    <xf numFmtId="4" fontId="69" fillId="0" borderId="0" xfId="0" applyNumberFormat="1" applyFont="1" applyFill="1" applyAlignment="1">
      <alignment vertical="center"/>
    </xf>
    <xf numFmtId="4" fontId="28" fillId="0" borderId="0" xfId="52" applyNumberFormat="1" applyFont="1" applyFill="1" applyBorder="1" applyAlignment="1">
      <alignment vertical="center"/>
      <protection/>
    </xf>
    <xf numFmtId="4" fontId="79" fillId="0" borderId="0" xfId="52" applyNumberFormat="1" applyFont="1" applyFill="1" applyAlignment="1">
      <alignment vertical="center"/>
      <protection/>
    </xf>
    <xf numFmtId="4" fontId="80" fillId="0" borderId="0" xfId="52" applyNumberFormat="1" applyFont="1" applyFill="1" applyAlignment="1">
      <alignment vertical="center"/>
      <protection/>
    </xf>
    <xf numFmtId="4" fontId="26" fillId="0" borderId="0" xfId="0" applyNumberFormat="1" applyFont="1" applyFill="1" applyAlignment="1">
      <alignment vertical="center"/>
    </xf>
    <xf numFmtId="4" fontId="39" fillId="0" borderId="0" xfId="52" applyNumberFormat="1" applyFont="1" applyFill="1" applyAlignment="1">
      <alignment vertical="center"/>
      <protection/>
    </xf>
    <xf numFmtId="4" fontId="20" fillId="0" borderId="0" xfId="52" applyNumberFormat="1" applyFont="1" applyFill="1" applyAlignment="1">
      <alignment vertical="center"/>
      <protection/>
    </xf>
    <xf numFmtId="4" fontId="28" fillId="0" borderId="0" xfId="52" applyNumberFormat="1" applyFont="1" applyFill="1" applyAlignment="1">
      <alignment vertical="center"/>
      <protection/>
    </xf>
    <xf numFmtId="4" fontId="81" fillId="0" borderId="0" xfId="52" applyNumberFormat="1" applyFont="1" applyFill="1" applyAlignment="1">
      <alignment vertical="center"/>
      <protection/>
    </xf>
    <xf numFmtId="4" fontId="29" fillId="33" borderId="10" xfId="0" applyNumberFormat="1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0" fontId="53" fillId="0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vertical="center" wrapText="1"/>
    </xf>
    <xf numFmtId="0" fontId="82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49" fillId="0" borderId="10" xfId="52" applyFont="1" applyFill="1" applyBorder="1" applyAlignment="1">
      <alignment vertical="center" wrapText="1"/>
      <protection/>
    </xf>
    <xf numFmtId="0" fontId="57" fillId="0" borderId="13" xfId="0" applyFont="1" applyFill="1" applyBorder="1" applyAlignment="1">
      <alignment horizontal="center" vertical="center" wrapText="1"/>
    </xf>
    <xf numFmtId="0" fontId="83" fillId="0" borderId="1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51" fillId="0" borderId="10" xfId="52" applyFont="1" applyFill="1" applyBorder="1" applyAlignment="1">
      <alignment vertical="center" wrapText="1"/>
      <protection/>
    </xf>
    <xf numFmtId="0" fontId="26" fillId="0" borderId="13" xfId="0" applyFont="1" applyFill="1" applyBorder="1" applyAlignment="1">
      <alignment vertical="center"/>
    </xf>
    <xf numFmtId="4" fontId="49" fillId="0" borderId="10" xfId="52" applyNumberFormat="1" applyFont="1" applyFill="1" applyBorder="1" applyAlignment="1">
      <alignment vertical="center" wrapText="1"/>
      <protection/>
    </xf>
    <xf numFmtId="4" fontId="51" fillId="0" borderId="10" xfId="52" applyNumberFormat="1" applyFont="1" applyFill="1" applyBorder="1" applyAlignment="1">
      <alignment vertical="center" wrapText="1"/>
      <protection/>
    </xf>
    <xf numFmtId="0" fontId="29" fillId="0" borderId="24" xfId="0" applyFont="1" applyFill="1" applyBorder="1" applyAlignment="1">
      <alignment vertical="center" wrapText="1"/>
    </xf>
    <xf numFmtId="0" fontId="26" fillId="0" borderId="16" xfId="0" applyFont="1" applyFill="1" applyBorder="1" applyAlignment="1">
      <alignment horizontal="center" vertical="center"/>
    </xf>
    <xf numFmtId="0" fontId="5" fillId="0" borderId="0" xfId="52" applyFont="1" applyFill="1" applyBorder="1">
      <alignment/>
      <protection/>
    </xf>
    <xf numFmtId="4" fontId="5" fillId="0" borderId="13" xfId="52" applyNumberFormat="1" applyFont="1" applyFill="1" applyBorder="1" applyAlignment="1">
      <alignment horizontal="right" vertical="top"/>
      <protection/>
    </xf>
    <xf numFmtId="49" fontId="77" fillId="0" borderId="0" xfId="56" applyNumberFormat="1" applyFont="1" applyFill="1">
      <alignment/>
      <protection/>
    </xf>
    <xf numFmtId="49" fontId="16" fillId="0" borderId="0" xfId="56" applyNumberFormat="1" applyFont="1" applyFill="1" applyAlignment="1">
      <alignment horizontal="center"/>
      <protection/>
    </xf>
    <xf numFmtId="4" fontId="16" fillId="0" borderId="0" xfId="56" applyNumberFormat="1" applyFont="1" applyFill="1" applyAlignment="1">
      <alignment horizontal="right"/>
      <protection/>
    </xf>
    <xf numFmtId="49" fontId="15" fillId="0" borderId="0" xfId="0" applyNumberFormat="1" applyFont="1" applyFill="1" applyAlignment="1">
      <alignment/>
    </xf>
    <xf numFmtId="49" fontId="77" fillId="0" borderId="0" xfId="0" applyNumberFormat="1" applyFont="1" applyFill="1" applyAlignment="1">
      <alignment/>
    </xf>
    <xf numFmtId="0" fontId="12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4" fontId="26" fillId="0" borderId="10" xfId="52" applyNumberFormat="1" applyFont="1" applyFill="1" applyBorder="1" applyAlignment="1">
      <alignment vertical="center"/>
      <protection/>
    </xf>
    <xf numFmtId="0" fontId="29" fillId="0" borderId="10" xfId="52" applyFont="1" applyFill="1" applyBorder="1" applyAlignment="1">
      <alignment vertical="top" wrapText="1"/>
      <protection/>
    </xf>
    <xf numFmtId="0" fontId="10" fillId="0" borderId="10" xfId="56" applyFont="1" applyFill="1" applyBorder="1" applyAlignment="1">
      <alignment horizontal="left" vertical="top" wrapText="1"/>
      <protection/>
    </xf>
    <xf numFmtId="0" fontId="10" fillId="0" borderId="10" xfId="56" applyFont="1" applyFill="1" applyBorder="1" applyAlignment="1">
      <alignment horizontal="left" vertical="center" wrapText="1"/>
      <protection/>
    </xf>
    <xf numFmtId="4" fontId="3" fillId="0" borderId="23" xfId="53" applyNumberFormat="1" applyFont="1" applyFill="1" applyBorder="1" applyAlignment="1">
      <alignment horizontal="center" vertical="center" wrapText="1"/>
      <protection/>
    </xf>
    <xf numFmtId="4" fontId="3" fillId="0" borderId="17" xfId="0" applyNumberFormat="1" applyFont="1" applyFill="1" applyBorder="1" applyAlignment="1">
      <alignment vertical="center"/>
    </xf>
    <xf numFmtId="0" fontId="29" fillId="0" borderId="11" xfId="0" applyFont="1" applyFill="1" applyBorder="1" applyAlignment="1">
      <alignment vertical="center" wrapText="1"/>
    </xf>
    <xf numFmtId="49" fontId="5" fillId="0" borderId="16" xfId="52" applyNumberFormat="1" applyFont="1" applyFill="1" applyBorder="1" applyAlignment="1">
      <alignment horizontal="center" vertical="center"/>
      <protection/>
    </xf>
    <xf numFmtId="49" fontId="29" fillId="33" borderId="13" xfId="52" applyNumberFormat="1" applyFont="1" applyFill="1" applyBorder="1" applyAlignment="1">
      <alignment vertical="center" wrapText="1"/>
      <protection/>
    </xf>
    <xf numFmtId="0" fontId="10" fillId="33" borderId="14" xfId="0" applyFont="1" applyFill="1" applyBorder="1" applyAlignment="1">
      <alignment horizontal="center" vertical="center" wrapText="1"/>
    </xf>
    <xf numFmtId="49" fontId="3" fillId="0" borderId="23" xfId="52" applyNumberFormat="1" applyFont="1" applyFill="1" applyBorder="1" applyAlignment="1">
      <alignment horizontal="center" vertical="center"/>
      <protection/>
    </xf>
    <xf numFmtId="49" fontId="13" fillId="0" borderId="0" xfId="52" applyNumberFormat="1" applyFont="1" applyFill="1">
      <alignment/>
      <protection/>
    </xf>
    <xf numFmtId="49" fontId="28" fillId="0" borderId="0" xfId="52" applyNumberFormat="1" applyFont="1" applyFill="1" applyBorder="1" applyAlignment="1">
      <alignment horizontal="center" vertical="center"/>
      <protection/>
    </xf>
    <xf numFmtId="0" fontId="9" fillId="33" borderId="22" xfId="0" applyFont="1" applyFill="1" applyBorder="1" applyAlignment="1">
      <alignment horizontal="center" vertical="center"/>
    </xf>
    <xf numFmtId="0" fontId="29" fillId="33" borderId="10" xfId="52" applyFont="1" applyFill="1" applyBorder="1" applyAlignment="1">
      <alignment vertical="center" wrapText="1"/>
      <protection/>
    </xf>
    <xf numFmtId="4" fontId="29" fillId="33" borderId="10" xfId="52" applyNumberFormat="1" applyFont="1" applyFill="1" applyBorder="1" applyAlignment="1">
      <alignment vertical="center"/>
      <protection/>
    </xf>
    <xf numFmtId="4" fontId="51" fillId="33" borderId="10" xfId="0" applyNumberFormat="1" applyFont="1" applyFill="1" applyBorder="1" applyAlignment="1">
      <alignment vertical="center" wrapText="1"/>
    </xf>
    <xf numFmtId="0" fontId="46" fillId="33" borderId="10" xfId="52" applyFont="1" applyFill="1" applyBorder="1" applyAlignment="1">
      <alignment vertical="center" wrapText="1"/>
      <protection/>
    </xf>
    <xf numFmtId="0" fontId="10" fillId="33" borderId="13" xfId="0" applyFont="1" applyFill="1" applyBorder="1" applyAlignment="1">
      <alignment horizontal="center" vertical="center"/>
    </xf>
    <xf numFmtId="0" fontId="84" fillId="0" borderId="0" xfId="0" applyFont="1" applyFill="1" applyAlignment="1">
      <alignment/>
    </xf>
    <xf numFmtId="4" fontId="84" fillId="0" borderId="0" xfId="0" applyNumberFormat="1" applyFont="1" applyFill="1" applyAlignment="1">
      <alignment/>
    </xf>
    <xf numFmtId="4" fontId="67" fillId="0" borderId="0" xfId="0" applyNumberFormat="1" applyFont="1" applyFill="1" applyAlignment="1">
      <alignment/>
    </xf>
    <xf numFmtId="4" fontId="68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8" fillId="0" borderId="0" xfId="57" applyFill="1" applyAlignment="1">
      <alignment horizontal="center"/>
      <protection/>
    </xf>
    <xf numFmtId="0" fontId="85" fillId="0" borderId="0" xfId="53" applyFont="1" applyFill="1">
      <alignment/>
      <protection/>
    </xf>
    <xf numFmtId="0" fontId="85" fillId="0" borderId="0" xfId="53" applyFont="1" applyFill="1" applyAlignment="1">
      <alignment horizontal="center"/>
      <protection/>
    </xf>
    <xf numFmtId="0" fontId="8" fillId="0" borderId="0" xfId="53" applyFill="1">
      <alignment/>
      <protection/>
    </xf>
    <xf numFmtId="0" fontId="52" fillId="0" borderId="0" xfId="53" applyFont="1" applyFill="1">
      <alignment/>
      <protection/>
    </xf>
    <xf numFmtId="0" fontId="8" fillId="0" borderId="0" xfId="57" applyFill="1">
      <alignment/>
      <protection/>
    </xf>
    <xf numFmtId="0" fontId="59" fillId="0" borderId="0" xfId="52" applyFont="1" applyFill="1" applyAlignment="1">
      <alignment/>
      <protection/>
    </xf>
    <xf numFmtId="0" fontId="9" fillId="0" borderId="0" xfId="52" applyFont="1" applyFill="1" applyAlignment="1">
      <alignment horizontal="center"/>
      <protection/>
    </xf>
    <xf numFmtId="0" fontId="59" fillId="0" borderId="0" xfId="52" applyFont="1" applyFill="1">
      <alignment/>
      <protection/>
    </xf>
    <xf numFmtId="0" fontId="8" fillId="0" borderId="0" xfId="53" applyFill="1" applyAlignment="1">
      <alignment horizontal="center"/>
      <protection/>
    </xf>
    <xf numFmtId="0" fontId="86" fillId="0" borderId="0" xfId="53" applyFont="1" applyFill="1" applyAlignment="1">
      <alignment horizontal="right"/>
      <protection/>
    </xf>
    <xf numFmtId="0" fontId="8" fillId="0" borderId="14" xfId="57" applyFill="1" applyBorder="1" applyAlignment="1">
      <alignment horizontal="center"/>
      <protection/>
    </xf>
    <xf numFmtId="0" fontId="8" fillId="0" borderId="14" xfId="53" applyFill="1" applyBorder="1">
      <alignment/>
      <protection/>
    </xf>
    <xf numFmtId="0" fontId="8" fillId="0" borderId="14" xfId="53" applyFill="1" applyBorder="1" applyAlignment="1">
      <alignment horizontal="center"/>
      <protection/>
    </xf>
    <xf numFmtId="0" fontId="8" fillId="0" borderId="10" xfId="53" applyFont="1" applyFill="1" applyBorder="1" applyAlignment="1">
      <alignment vertical="center"/>
      <protection/>
    </xf>
    <xf numFmtId="0" fontId="8" fillId="0" borderId="11" xfId="53" applyFill="1" applyBorder="1" applyAlignment="1">
      <alignment vertical="center"/>
      <protection/>
    </xf>
    <xf numFmtId="0" fontId="8" fillId="0" borderId="0" xfId="53" applyFill="1" applyBorder="1">
      <alignment/>
      <protection/>
    </xf>
    <xf numFmtId="0" fontId="8" fillId="0" borderId="12" xfId="57" applyFill="1" applyBorder="1" applyAlignment="1">
      <alignment horizontal="center" vertical="top"/>
      <protection/>
    </xf>
    <xf numFmtId="0" fontId="8" fillId="0" borderId="12" xfId="53" applyFill="1" applyBorder="1" applyAlignment="1">
      <alignment horizontal="center" vertical="top" wrapText="1"/>
      <protection/>
    </xf>
    <xf numFmtId="0" fontId="87" fillId="0" borderId="12" xfId="53" applyFont="1" applyFill="1" applyBorder="1" applyAlignment="1">
      <alignment horizontal="center" vertical="top" wrapText="1"/>
      <protection/>
    </xf>
    <xf numFmtId="0" fontId="87" fillId="0" borderId="13" xfId="53" applyFont="1" applyFill="1" applyBorder="1" applyAlignment="1">
      <alignment horizontal="center" vertical="top" wrapText="1"/>
      <protection/>
    </xf>
    <xf numFmtId="0" fontId="87" fillId="0" borderId="13" xfId="53" applyFont="1" applyFill="1" applyBorder="1" applyAlignment="1">
      <alignment horizontal="center" vertical="center" wrapText="1"/>
      <protection/>
    </xf>
    <xf numFmtId="0" fontId="8" fillId="0" borderId="0" xfId="53" applyFill="1" applyBorder="1" applyAlignment="1">
      <alignment horizontal="center" vertical="top" wrapText="1"/>
      <protection/>
    </xf>
    <xf numFmtId="0" fontId="8" fillId="0" borderId="0" xfId="53" applyFont="1" applyFill="1" applyAlignment="1">
      <alignment horizontal="center" vertical="top" wrapText="1"/>
      <protection/>
    </xf>
    <xf numFmtId="0" fontId="52" fillId="0" borderId="0" xfId="53" applyFont="1" applyFill="1" applyAlignment="1">
      <alignment horizontal="center" vertical="top" wrapText="1"/>
      <protection/>
    </xf>
    <xf numFmtId="0" fontId="8" fillId="0" borderId="0" xfId="57" applyFill="1" applyAlignment="1">
      <alignment vertical="top"/>
      <protection/>
    </xf>
    <xf numFmtId="0" fontId="0" fillId="0" borderId="0" xfId="0" applyFill="1" applyAlignment="1">
      <alignment vertical="top"/>
    </xf>
    <xf numFmtId="0" fontId="87" fillId="0" borderId="19" xfId="53" applyFont="1" applyFill="1" applyBorder="1" applyAlignment="1">
      <alignment horizontal="center" vertical="center" wrapText="1"/>
      <protection/>
    </xf>
    <xf numFmtId="4" fontId="88" fillId="0" borderId="13" xfId="53" applyNumberFormat="1" applyFont="1" applyFill="1" applyBorder="1" applyAlignment="1">
      <alignment horizontal="center" vertical="center" wrapText="1"/>
      <protection/>
    </xf>
    <xf numFmtId="0" fontId="8" fillId="0" borderId="0" xfId="53" applyFill="1" applyBorder="1" applyAlignment="1">
      <alignment horizontal="center" vertical="center" wrapText="1"/>
      <protection/>
    </xf>
    <xf numFmtId="4" fontId="8" fillId="0" borderId="0" xfId="53" applyNumberFormat="1" applyFill="1" applyAlignment="1">
      <alignment horizontal="center" vertical="center" wrapText="1"/>
      <protection/>
    </xf>
    <xf numFmtId="0" fontId="52" fillId="0" borderId="0" xfId="53" applyFont="1" applyFill="1" applyAlignment="1">
      <alignment horizontal="center" vertical="center" wrapText="1"/>
      <protection/>
    </xf>
    <xf numFmtId="0" fontId="16" fillId="0" borderId="0" xfId="0" applyFont="1" applyFill="1" applyAlignment="1">
      <alignment horizontal="left" vertical="center"/>
    </xf>
    <xf numFmtId="0" fontId="12" fillId="0" borderId="13" xfId="57" applyFont="1" applyFill="1" applyBorder="1" applyAlignment="1">
      <alignment vertical="center" wrapText="1"/>
      <protection/>
    </xf>
    <xf numFmtId="0" fontId="52" fillId="0" borderId="15" xfId="53" applyFont="1" applyFill="1" applyBorder="1" applyAlignment="1">
      <alignment vertical="center" wrapText="1"/>
      <protection/>
    </xf>
    <xf numFmtId="4" fontId="89" fillId="0" borderId="18" xfId="53" applyNumberFormat="1" applyFont="1" applyFill="1" applyBorder="1" applyAlignment="1">
      <alignment horizontal="center" vertical="center" wrapText="1"/>
      <protection/>
    </xf>
    <xf numFmtId="4" fontId="89" fillId="0" borderId="14" xfId="53" applyNumberFormat="1" applyFont="1" applyFill="1" applyBorder="1" applyAlignment="1">
      <alignment horizontal="center" vertical="center" wrapText="1"/>
      <protection/>
    </xf>
    <xf numFmtId="4" fontId="89" fillId="0" borderId="0" xfId="53" applyNumberFormat="1" applyFont="1" applyFill="1" applyBorder="1" applyAlignment="1">
      <alignment horizontal="center" vertical="center" wrapText="1"/>
      <protection/>
    </xf>
    <xf numFmtId="4" fontId="52" fillId="0" borderId="0" xfId="53" applyNumberFormat="1" applyFont="1" applyFill="1" applyAlignment="1">
      <alignment horizontal="center" vertical="center" wrapText="1"/>
      <protection/>
    </xf>
    <xf numFmtId="4" fontId="8" fillId="0" borderId="0" xfId="53" applyNumberFormat="1" applyFont="1" applyFill="1" applyAlignment="1">
      <alignment horizontal="center" vertical="center" wrapText="1"/>
      <protection/>
    </xf>
    <xf numFmtId="0" fontId="8" fillId="0" borderId="0" xfId="57" applyFill="1" applyAlignment="1">
      <alignment vertical="center"/>
      <protection/>
    </xf>
    <xf numFmtId="0" fontId="9" fillId="0" borderId="14" xfId="57" applyFont="1" applyFill="1" applyBorder="1" applyAlignment="1">
      <alignment horizontal="center" vertical="center"/>
      <protection/>
    </xf>
    <xf numFmtId="4" fontId="89" fillId="0" borderId="15" xfId="53" applyNumberFormat="1" applyFont="1" applyFill="1" applyBorder="1" applyAlignment="1">
      <alignment horizontal="center" vertical="center" wrapText="1"/>
      <protection/>
    </xf>
    <xf numFmtId="4" fontId="89" fillId="0" borderId="12" xfId="53" applyNumberFormat="1" applyFont="1" applyFill="1" applyBorder="1" applyAlignment="1">
      <alignment horizontal="right" vertical="center" wrapText="1"/>
      <protection/>
    </xf>
    <xf numFmtId="0" fontId="12" fillId="0" borderId="13" xfId="57" applyFont="1" applyFill="1" applyBorder="1" applyAlignment="1">
      <alignment horizontal="center" vertical="center"/>
      <protection/>
    </xf>
    <xf numFmtId="4" fontId="90" fillId="0" borderId="0" xfId="0" applyNumberFormat="1" applyFont="1" applyFill="1" applyAlignment="1">
      <alignment/>
    </xf>
    <xf numFmtId="0" fontId="0" fillId="0" borderId="23" xfId="0" applyFont="1" applyFill="1" applyBorder="1" applyAlignment="1">
      <alignment vertical="center" wrapText="1"/>
    </xf>
    <xf numFmtId="4" fontId="9" fillId="0" borderId="15" xfId="57" applyNumberFormat="1" applyFont="1" applyFill="1" applyBorder="1" applyAlignment="1">
      <alignment vertical="center"/>
      <protection/>
    </xf>
    <xf numFmtId="4" fontId="91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4" fontId="44" fillId="0" borderId="0" xfId="0" applyNumberFormat="1" applyFont="1" applyFill="1" applyAlignment="1">
      <alignment/>
    </xf>
    <xf numFmtId="0" fontId="12" fillId="33" borderId="14" xfId="57" applyFont="1" applyFill="1" applyBorder="1" applyAlignment="1">
      <alignment horizontal="center" vertical="center"/>
      <protection/>
    </xf>
    <xf numFmtId="0" fontId="12" fillId="33" borderId="11" xfId="53" applyFont="1" applyFill="1" applyBorder="1" applyAlignment="1">
      <alignment vertical="center" wrapText="1"/>
      <protection/>
    </xf>
    <xf numFmtId="0" fontId="9" fillId="33" borderId="20" xfId="53" applyFont="1" applyFill="1" applyBorder="1" applyAlignment="1">
      <alignment vertical="center" wrapText="1"/>
      <protection/>
    </xf>
    <xf numFmtId="0" fontId="46" fillId="33" borderId="20" xfId="0" applyFont="1" applyFill="1" applyBorder="1" applyAlignment="1">
      <alignment vertical="center"/>
    </xf>
    <xf numFmtId="4" fontId="3" fillId="33" borderId="14" xfId="53" applyNumberFormat="1" applyFont="1" applyFill="1" applyBorder="1" applyAlignment="1">
      <alignment horizontal="center" vertical="center" wrapText="1"/>
      <protection/>
    </xf>
    <xf numFmtId="0" fontId="9" fillId="33" borderId="15" xfId="57" applyFont="1" applyFill="1" applyBorder="1" applyAlignment="1">
      <alignment horizontal="center" vertical="center"/>
      <protection/>
    </xf>
    <xf numFmtId="0" fontId="9" fillId="33" borderId="19" xfId="57" applyFont="1" applyFill="1" applyBorder="1" applyAlignment="1">
      <alignment vertical="center" wrapText="1"/>
      <protection/>
    </xf>
    <xf numFmtId="4" fontId="9" fillId="33" borderId="20" xfId="57" applyNumberFormat="1" applyFont="1" applyFill="1" applyBorder="1" applyAlignment="1">
      <alignment vertical="center"/>
      <protection/>
    </xf>
    <xf numFmtId="0" fontId="46" fillId="33" borderId="16" xfId="0" applyFont="1" applyFill="1" applyBorder="1" applyAlignment="1">
      <alignment vertical="center"/>
    </xf>
    <xf numFmtId="4" fontId="3" fillId="33" borderId="15" xfId="53" applyNumberFormat="1" applyFont="1" applyFill="1" applyBorder="1" applyAlignment="1">
      <alignment horizontal="center" vertical="center" wrapText="1"/>
      <protection/>
    </xf>
    <xf numFmtId="0" fontId="9" fillId="33" borderId="12" xfId="57" applyFont="1" applyFill="1" applyBorder="1" applyAlignment="1">
      <alignment horizontal="center" vertical="center"/>
      <protection/>
    </xf>
    <xf numFmtId="4" fontId="9" fillId="33" borderId="23" xfId="57" applyNumberFormat="1" applyFont="1" applyFill="1" applyBorder="1" applyAlignment="1">
      <alignment vertical="center"/>
      <protection/>
    </xf>
    <xf numFmtId="0" fontId="46" fillId="33" borderId="23" xfId="0" applyFont="1" applyFill="1" applyBorder="1" applyAlignment="1">
      <alignment vertical="center"/>
    </xf>
    <xf numFmtId="4" fontId="3" fillId="33" borderId="12" xfId="53" applyNumberFormat="1" applyFont="1" applyFill="1" applyBorder="1" applyAlignment="1">
      <alignment horizontal="center" vertical="center" wrapText="1"/>
      <protection/>
    </xf>
    <xf numFmtId="4" fontId="3" fillId="33" borderId="12" xfId="53" applyNumberFormat="1" applyFont="1" applyFill="1" applyBorder="1" applyAlignment="1">
      <alignment horizontal="right" vertical="center" wrapText="1"/>
      <protection/>
    </xf>
    <xf numFmtId="4" fontId="89" fillId="0" borderId="15" xfId="53" applyNumberFormat="1" applyFont="1" applyFill="1" applyBorder="1" applyAlignment="1">
      <alignment horizontal="right" vertical="center" wrapText="1"/>
      <protection/>
    </xf>
    <xf numFmtId="4" fontId="89" fillId="0" borderId="12" xfId="53" applyNumberFormat="1" applyFont="1" applyFill="1" applyBorder="1" applyAlignment="1">
      <alignment horizontal="center" vertical="center" wrapText="1"/>
      <protection/>
    </xf>
    <xf numFmtId="4" fontId="89" fillId="0" borderId="21" xfId="53" applyNumberFormat="1" applyFont="1" applyFill="1" applyBorder="1" applyAlignment="1">
      <alignment horizontal="right" vertical="center" wrapText="1"/>
      <protection/>
    </xf>
    <xf numFmtId="4" fontId="9" fillId="0" borderId="10" xfId="57" applyNumberFormat="1" applyFont="1" applyFill="1" applyBorder="1" applyAlignment="1">
      <alignment vertical="center"/>
      <protection/>
    </xf>
    <xf numFmtId="4" fontId="3" fillId="0" borderId="22" xfId="53" applyNumberFormat="1" applyFont="1" applyFill="1" applyBorder="1" applyAlignment="1">
      <alignment horizontal="center" vertical="center" wrapText="1"/>
      <protection/>
    </xf>
    <xf numFmtId="4" fontId="3" fillId="0" borderId="24" xfId="53" applyNumberFormat="1" applyFont="1" applyFill="1" applyBorder="1" applyAlignment="1">
      <alignment horizontal="center" vertical="center" wrapText="1"/>
      <protection/>
    </xf>
    <xf numFmtId="49" fontId="15" fillId="0" borderId="0" xfId="52" applyNumberFormat="1" applyFont="1" applyFill="1" applyAlignment="1">
      <alignment horizontal="left"/>
      <protection/>
    </xf>
    <xf numFmtId="49" fontId="17" fillId="0" borderId="0" xfId="52" applyNumberFormat="1" applyFont="1" applyFill="1" applyBorder="1" applyAlignment="1">
      <alignment horizontal="center"/>
      <protection/>
    </xf>
    <xf numFmtId="4" fontId="17" fillId="0" borderId="0" xfId="52" applyNumberFormat="1" applyFont="1" applyFill="1" applyBorder="1" applyAlignment="1">
      <alignment horizontal="right"/>
      <protection/>
    </xf>
    <xf numFmtId="4" fontId="92" fillId="0" borderId="0" xfId="53" applyNumberFormat="1" applyFont="1" applyFill="1" applyAlignment="1">
      <alignment horizontal="center" vertical="center" wrapText="1"/>
      <protection/>
    </xf>
    <xf numFmtId="4" fontId="3" fillId="33" borderId="13" xfId="0" applyNumberFormat="1" applyFont="1" applyFill="1" applyBorder="1" applyAlignment="1">
      <alignment vertical="center"/>
    </xf>
    <xf numFmtId="0" fontId="12" fillId="0" borderId="15" xfId="0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85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5" fillId="0" borderId="19" xfId="0" applyFont="1" applyFill="1" applyBorder="1" applyAlignment="1">
      <alignment vertical="center"/>
    </xf>
    <xf numFmtId="0" fontId="59" fillId="0" borderId="19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56" fillId="0" borderId="24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vertical="center"/>
    </xf>
    <xf numFmtId="0" fontId="56" fillId="0" borderId="17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9" fillId="0" borderId="2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93" fillId="0" borderId="13" xfId="0" applyFont="1" applyFill="1" applyBorder="1" applyAlignment="1">
      <alignment/>
    </xf>
    <xf numFmtId="4" fontId="13" fillId="0" borderId="12" xfId="0" applyNumberFormat="1" applyFont="1" applyFill="1" applyBorder="1" applyAlignment="1">
      <alignment/>
    </xf>
    <xf numFmtId="4" fontId="13" fillId="0" borderId="23" xfId="0" applyNumberFormat="1" applyFont="1" applyFill="1" applyBorder="1" applyAlignment="1">
      <alignment/>
    </xf>
    <xf numFmtId="4" fontId="13" fillId="0" borderId="15" xfId="0" applyNumberFormat="1" applyFont="1" applyFill="1" applyBorder="1" applyAlignment="1">
      <alignment/>
    </xf>
    <xf numFmtId="4" fontId="46" fillId="0" borderId="0" xfId="0" applyNumberFormat="1" applyFont="1" applyFill="1" applyAlignment="1">
      <alignment/>
    </xf>
    <xf numFmtId="0" fontId="94" fillId="0" borderId="16" xfId="0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9" fillId="0" borderId="21" xfId="0" applyNumberFormat="1" applyFont="1" applyFill="1" applyBorder="1" applyAlignment="1">
      <alignment/>
    </xf>
    <xf numFmtId="0" fontId="5" fillId="0" borderId="16" xfId="0" applyFont="1" applyFill="1" applyBorder="1" applyAlignment="1">
      <alignment vertical="center"/>
    </xf>
    <xf numFmtId="0" fontId="53" fillId="0" borderId="15" xfId="0" applyFont="1" applyFill="1" applyBorder="1" applyAlignment="1">
      <alignment horizontal="center" vertical="center"/>
    </xf>
    <xf numFmtId="4" fontId="54" fillId="0" borderId="16" xfId="0" applyNumberFormat="1" applyFont="1" applyFill="1" applyBorder="1" applyAlignment="1">
      <alignment vertical="center" wrapText="1"/>
    </xf>
    <xf numFmtId="4" fontId="12" fillId="0" borderId="21" xfId="0" applyNumberFormat="1" applyFont="1" applyFill="1" applyBorder="1" applyAlignment="1">
      <alignment vertical="center"/>
    </xf>
    <xf numFmtId="4" fontId="53" fillId="0" borderId="0" xfId="0" applyNumberFormat="1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4" fontId="29" fillId="0" borderId="15" xfId="0" applyNumberFormat="1" applyFont="1" applyFill="1" applyBorder="1" applyAlignment="1">
      <alignment vertical="center"/>
    </xf>
    <xf numFmtId="4" fontId="29" fillId="0" borderId="16" xfId="0" applyNumberFormat="1" applyFont="1" applyFill="1" applyBorder="1" applyAlignment="1">
      <alignment vertical="center"/>
    </xf>
    <xf numFmtId="4" fontId="48" fillId="0" borderId="16" xfId="0" applyNumberFormat="1" applyFont="1" applyFill="1" applyBorder="1" applyAlignment="1">
      <alignment vertical="center" wrapText="1"/>
    </xf>
    <xf numFmtId="4" fontId="29" fillId="0" borderId="21" xfId="0" applyNumberFormat="1" applyFont="1" applyFill="1" applyBorder="1" applyAlignment="1">
      <alignment vertical="center"/>
    </xf>
    <xf numFmtId="4" fontId="46" fillId="0" borderId="0" xfId="0" applyNumberFormat="1" applyFont="1" applyFill="1" applyAlignment="1">
      <alignment vertical="center"/>
    </xf>
    <xf numFmtId="4" fontId="56" fillId="0" borderId="16" xfId="0" applyNumberFormat="1" applyFont="1" applyFill="1" applyBorder="1" applyAlignment="1">
      <alignment vertical="center" wrapText="1"/>
    </xf>
    <xf numFmtId="0" fontId="46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4" fontId="29" fillId="0" borderId="12" xfId="0" applyNumberFormat="1" applyFont="1" applyFill="1" applyBorder="1" applyAlignment="1">
      <alignment vertical="center"/>
    </xf>
    <xf numFmtId="4" fontId="48" fillId="0" borderId="23" xfId="0" applyNumberFormat="1" applyFont="1" applyFill="1" applyBorder="1" applyAlignment="1">
      <alignment vertical="center" wrapText="1"/>
    </xf>
    <xf numFmtId="4" fontId="29" fillId="0" borderId="17" xfId="0" applyNumberFormat="1" applyFont="1" applyFill="1" applyBorder="1" applyAlignment="1">
      <alignment vertical="center"/>
    </xf>
    <xf numFmtId="4" fontId="12" fillId="34" borderId="15" xfId="0" applyNumberFormat="1" applyFont="1" applyFill="1" applyBorder="1" applyAlignment="1">
      <alignment horizontal="right" vertical="center"/>
    </xf>
    <xf numFmtId="4" fontId="12" fillId="34" borderId="15" xfId="0" applyNumberFormat="1" applyFont="1" applyFill="1" applyBorder="1" applyAlignment="1">
      <alignment vertical="center"/>
    </xf>
    <xf numFmtId="4" fontId="12" fillId="34" borderId="16" xfId="0" applyNumberFormat="1" applyFont="1" applyFill="1" applyBorder="1" applyAlignment="1">
      <alignment vertical="center"/>
    </xf>
    <xf numFmtId="4" fontId="29" fillId="34" borderId="16" xfId="0" applyNumberFormat="1" applyFont="1" applyFill="1" applyBorder="1" applyAlignment="1">
      <alignment vertical="center"/>
    </xf>
    <xf numFmtId="4" fontId="29" fillId="34" borderId="23" xfId="0" applyNumberFormat="1" applyFont="1" applyFill="1" applyBorder="1" applyAlignment="1">
      <alignment vertical="center"/>
    </xf>
    <xf numFmtId="4" fontId="29" fillId="34" borderId="10" xfId="0" applyNumberFormat="1" applyFont="1" applyFill="1" applyBorder="1" applyAlignment="1">
      <alignment vertical="center" wrapText="1"/>
    </xf>
    <xf numFmtId="0" fontId="29" fillId="33" borderId="10" xfId="0" applyFont="1" applyFill="1" applyBorder="1" applyAlignment="1">
      <alignment vertical="center" wrapText="1"/>
    </xf>
    <xf numFmtId="4" fontId="29" fillId="33" borderId="13" xfId="52" applyNumberFormat="1" applyFont="1" applyFill="1" applyBorder="1" applyAlignment="1">
      <alignment vertical="center" wrapText="1"/>
      <protection/>
    </xf>
    <xf numFmtId="4" fontId="9" fillId="33" borderId="13" xfId="52" applyNumberFormat="1" applyFont="1" applyFill="1" applyBorder="1" applyAlignment="1">
      <alignment vertical="center"/>
      <protection/>
    </xf>
    <xf numFmtId="49" fontId="5" fillId="0" borderId="15" xfId="52" applyNumberFormat="1" applyFont="1" applyFill="1" applyBorder="1" applyAlignment="1">
      <alignment horizontal="center" vertical="center"/>
      <protection/>
    </xf>
    <xf numFmtId="49" fontId="5" fillId="0" borderId="21" xfId="52" applyNumberFormat="1" applyFont="1" applyFill="1" applyBorder="1" applyAlignment="1">
      <alignment horizontal="center" vertical="center"/>
      <protection/>
    </xf>
    <xf numFmtId="49" fontId="3" fillId="0" borderId="20" xfId="52" applyNumberFormat="1" applyFont="1" applyFill="1" applyBorder="1" applyAlignment="1">
      <alignment horizontal="center" vertical="center"/>
      <protection/>
    </xf>
    <xf numFmtId="49" fontId="14" fillId="0" borderId="0" xfId="52" applyNumberFormat="1" applyFont="1" applyFill="1">
      <alignment/>
      <protection/>
    </xf>
    <xf numFmtId="49" fontId="28" fillId="0" borderId="0" xfId="56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4" fontId="5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1" fillId="0" borderId="10" xfId="0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4" fontId="95" fillId="0" borderId="0" xfId="0" applyNumberFormat="1" applyFont="1" applyFill="1" applyAlignment="1">
      <alignment/>
    </xf>
    <xf numFmtId="0" fontId="9" fillId="33" borderId="19" xfId="0" applyFont="1" applyFill="1" applyBorder="1" applyAlignment="1">
      <alignment horizontal="center" vertical="center"/>
    </xf>
    <xf numFmtId="2" fontId="29" fillId="33" borderId="10" xfId="0" applyNumberFormat="1" applyFont="1" applyFill="1" applyBorder="1" applyAlignment="1">
      <alignment vertical="center" wrapText="1"/>
    </xf>
    <xf numFmtId="4" fontId="29" fillId="33" borderId="10" xfId="0" applyNumberFormat="1" applyFont="1" applyFill="1" applyBorder="1" applyAlignment="1">
      <alignment vertical="center"/>
    </xf>
    <xf numFmtId="4" fontId="13" fillId="0" borderId="0" xfId="52" applyNumberFormat="1" applyFont="1" applyFill="1" applyBorder="1" applyAlignment="1">
      <alignment vertical="center"/>
      <protection/>
    </xf>
    <xf numFmtId="4" fontId="96" fillId="0" borderId="0" xfId="52" applyNumberFormat="1" applyFont="1" applyFill="1" applyAlignment="1">
      <alignment vertical="center"/>
      <protection/>
    </xf>
    <xf numFmtId="49" fontId="28" fillId="0" borderId="0" xfId="0" applyNumberFormat="1" applyFont="1" applyFill="1" applyBorder="1" applyAlignment="1">
      <alignment vertical="center"/>
    </xf>
    <xf numFmtId="49" fontId="16" fillId="0" borderId="0" xfId="56" applyNumberFormat="1" applyFont="1" applyFill="1" applyBorder="1" applyAlignment="1">
      <alignment horizontal="center"/>
      <protection/>
    </xf>
    <xf numFmtId="0" fontId="29" fillId="33" borderId="19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center" wrapText="1"/>
    </xf>
    <xf numFmtId="0" fontId="29" fillId="33" borderId="18" xfId="54" applyFont="1" applyFill="1" applyBorder="1" applyAlignment="1">
      <alignment horizontal="left" vertical="center" wrapText="1"/>
      <protection/>
    </xf>
    <xf numFmtId="0" fontId="28" fillId="0" borderId="0" xfId="0" applyFont="1" applyFill="1" applyAlignment="1">
      <alignment/>
    </xf>
    <xf numFmtId="4" fontId="3" fillId="0" borderId="0" xfId="52" applyNumberFormat="1" applyFont="1" applyFill="1" applyBorder="1" applyAlignment="1">
      <alignment horizontal="right" vertical="center"/>
      <protection/>
    </xf>
    <xf numFmtId="0" fontId="59" fillId="0" borderId="19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wrapText="1"/>
    </xf>
    <xf numFmtId="0" fontId="57" fillId="0" borderId="15" xfId="0" applyFont="1" applyFill="1" applyBorder="1" applyAlignment="1">
      <alignment horizont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3" fillId="0" borderId="19" xfId="0" applyFont="1" applyFill="1" applyBorder="1" applyAlignment="1">
      <alignment/>
    </xf>
    <xf numFmtId="0" fontId="9" fillId="0" borderId="11" xfId="0" applyFont="1" applyFill="1" applyBorder="1" applyAlignment="1">
      <alignment horizontal="right"/>
    </xf>
    <xf numFmtId="4" fontId="53" fillId="0" borderId="14" xfId="0" applyNumberFormat="1" applyFont="1" applyFill="1" applyBorder="1" applyAlignment="1">
      <alignment horizontal="right" vertical="center"/>
    </xf>
    <xf numFmtId="4" fontId="53" fillId="0" borderId="15" xfId="0" applyNumberFormat="1" applyFont="1" applyFill="1" applyBorder="1" applyAlignment="1">
      <alignment horizontal="right" vertical="center"/>
    </xf>
    <xf numFmtId="4" fontId="53" fillId="0" borderId="12" xfId="0" applyNumberFormat="1" applyFont="1" applyFill="1" applyBorder="1" applyAlignment="1">
      <alignment horizontal="right" vertical="center"/>
    </xf>
    <xf numFmtId="4" fontId="12" fillId="34" borderId="12" xfId="0" applyNumberFormat="1" applyFont="1" applyFill="1" applyBorder="1" applyAlignment="1">
      <alignment horizontal="right" vertical="center"/>
    </xf>
    <xf numFmtId="4" fontId="29" fillId="33" borderId="12" xfId="52" applyNumberFormat="1" applyFont="1" applyFill="1" applyBorder="1" applyAlignment="1">
      <alignment vertical="center" wrapText="1"/>
      <protection/>
    </xf>
    <xf numFmtId="0" fontId="29" fillId="0" borderId="0" xfId="54" applyFont="1" applyFill="1" applyBorder="1" applyAlignment="1">
      <alignment horizontal="left" vertical="center" wrapText="1"/>
      <protection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49" fillId="0" borderId="14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left" vertic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5" xfId="52"/>
    <cellStyle name="Normalny_Arkusz8" xfId="53"/>
    <cellStyle name="Normalny_tabela nr 8" xfId="54"/>
    <cellStyle name="Normalny_Uch.RMK luty" xfId="55"/>
    <cellStyle name="Normalny_Uch.RMK marzec" xfId="56"/>
    <cellStyle name="Normalny_Zał. nr 3A" xfId="57"/>
    <cellStyle name="Normalny_ZPMK luty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1"/>
  <sheetViews>
    <sheetView tabSelected="1" zoomScale="120" zoomScaleNormal="120" zoomScalePageLayoutView="0" workbookViewId="0" topLeftCell="A1">
      <pane xSplit="17550" topLeftCell="R1" activePane="topLeft" state="split"/>
      <selection pane="topLeft" activeCell="A1" sqref="A1"/>
      <selection pane="topRight" activeCell="R302" sqref="R302"/>
    </sheetView>
  </sheetViews>
  <sheetFormatPr defaultColWidth="9.140625" defaultRowHeight="12.75"/>
  <cols>
    <col min="1" max="1" width="6.28125" style="2" customWidth="1"/>
    <col min="2" max="2" width="7.140625" style="2" customWidth="1"/>
    <col min="3" max="3" width="7.00390625" style="2" customWidth="1"/>
    <col min="4" max="4" width="15.28125" style="2" customWidth="1"/>
    <col min="5" max="5" width="14.140625" style="2" customWidth="1"/>
    <col min="6" max="6" width="15.57421875" style="2" customWidth="1"/>
    <col min="7" max="7" width="15.7109375" style="2" customWidth="1"/>
    <col min="8" max="8" width="19.8515625" style="24" customWidth="1"/>
    <col min="9" max="9" width="28.00390625" style="31" customWidth="1"/>
    <col min="10" max="10" width="22.28125" style="32" customWidth="1"/>
    <col min="11" max="11" width="20.8515625" style="31" customWidth="1"/>
    <col min="12" max="12" width="17.28125" style="31" customWidth="1"/>
    <col min="13" max="13" width="22.421875" style="31" customWidth="1"/>
    <col min="14" max="14" width="15.00390625" style="2" customWidth="1"/>
    <col min="15" max="16384" width="9.140625" style="2" customWidth="1"/>
  </cols>
  <sheetData>
    <row r="1" spans="1:7" ht="18.75">
      <c r="A1" s="115"/>
      <c r="B1" s="115"/>
      <c r="C1" s="115"/>
      <c r="G1" s="122" t="s">
        <v>169</v>
      </c>
    </row>
    <row r="2" spans="1:14" s="49" customFormat="1" ht="23.25" customHeight="1">
      <c r="A2" s="63" t="s">
        <v>250</v>
      </c>
      <c r="B2" s="64"/>
      <c r="C2" s="65"/>
      <c r="D2" s="5"/>
      <c r="E2" s="5"/>
      <c r="F2" s="5"/>
      <c r="G2" s="56"/>
      <c r="H2" s="206" t="s">
        <v>328</v>
      </c>
      <c r="I2" s="58"/>
      <c r="J2" s="59"/>
      <c r="K2" s="56"/>
      <c r="L2" s="58"/>
      <c r="M2" s="58"/>
      <c r="N2" s="56"/>
    </row>
    <row r="3" spans="1:14" s="49" customFormat="1" ht="24" customHeight="1">
      <c r="A3" s="63" t="s">
        <v>288</v>
      </c>
      <c r="B3" s="64"/>
      <c r="C3" s="65"/>
      <c r="D3" s="5"/>
      <c r="E3" s="5"/>
      <c r="F3" s="5"/>
      <c r="G3" s="56"/>
      <c r="H3" s="60"/>
      <c r="I3" s="58"/>
      <c r="J3" s="59"/>
      <c r="K3" s="56"/>
      <c r="L3" s="58"/>
      <c r="M3" s="58"/>
      <c r="N3" s="56"/>
    </row>
    <row r="4" spans="1:14" s="49" customFormat="1" ht="24" customHeight="1">
      <c r="A4" s="63" t="s">
        <v>710</v>
      </c>
      <c r="B4" s="64"/>
      <c r="C4" s="65"/>
      <c r="D4" s="5"/>
      <c r="E4" s="5"/>
      <c r="F4" s="5"/>
      <c r="G4" s="56"/>
      <c r="H4" s="61"/>
      <c r="I4" s="58"/>
      <c r="J4" s="59"/>
      <c r="K4" s="56"/>
      <c r="L4" s="58"/>
      <c r="M4" s="58"/>
      <c r="N4" s="56"/>
    </row>
    <row r="5" spans="1:14" s="49" customFormat="1" ht="17.25" customHeight="1">
      <c r="A5" s="55"/>
      <c r="B5" s="56"/>
      <c r="C5" s="57"/>
      <c r="D5" s="56"/>
      <c r="E5" s="56"/>
      <c r="F5" s="56"/>
      <c r="G5" s="56"/>
      <c r="H5" s="61"/>
      <c r="I5" s="58"/>
      <c r="J5" s="59"/>
      <c r="K5" s="56"/>
      <c r="L5" s="58"/>
      <c r="M5" s="58"/>
      <c r="N5" s="56"/>
    </row>
    <row r="6" spans="1:14" ht="18.75">
      <c r="A6" s="23"/>
      <c r="B6" s="5"/>
      <c r="C6" s="6"/>
      <c r="D6" s="5"/>
      <c r="E6" s="5"/>
      <c r="F6" s="5"/>
      <c r="G6" s="5"/>
      <c r="H6" s="7"/>
      <c r="I6" s="42"/>
      <c r="J6" s="9"/>
      <c r="K6" s="5"/>
      <c r="L6" s="42"/>
      <c r="M6" s="42"/>
      <c r="N6" s="5"/>
    </row>
    <row r="7" spans="1:14" ht="19.5">
      <c r="A7" s="23" t="s">
        <v>324</v>
      </c>
      <c r="B7" s="5"/>
      <c r="C7" s="6"/>
      <c r="D7" s="5"/>
      <c r="E7" s="5"/>
      <c r="F7" s="5"/>
      <c r="G7" s="5"/>
      <c r="H7" s="7"/>
      <c r="I7" s="42"/>
      <c r="J7" s="9"/>
      <c r="K7" s="5"/>
      <c r="L7" s="42"/>
      <c r="M7" s="42"/>
      <c r="N7" s="5"/>
    </row>
    <row r="8" spans="1:14" ht="18.75">
      <c r="A8" s="23"/>
      <c r="B8" s="5"/>
      <c r="C8" s="6"/>
      <c r="D8" s="5"/>
      <c r="E8" s="5"/>
      <c r="F8" s="5"/>
      <c r="G8" s="5"/>
      <c r="H8" s="7"/>
      <c r="I8" s="42"/>
      <c r="J8" s="9"/>
      <c r="K8" s="5"/>
      <c r="L8" s="42"/>
      <c r="M8" s="42"/>
      <c r="N8" s="5"/>
    </row>
    <row r="9" spans="1:14" ht="18.75">
      <c r="A9" s="5"/>
      <c r="B9" s="5"/>
      <c r="C9" s="6"/>
      <c r="D9" s="5"/>
      <c r="E9" s="5"/>
      <c r="F9" s="5"/>
      <c r="G9" s="5"/>
      <c r="H9" s="7"/>
      <c r="I9" s="42"/>
      <c r="J9" s="9"/>
      <c r="K9" s="5"/>
      <c r="L9" s="42"/>
      <c r="M9" s="42"/>
      <c r="N9" s="5"/>
    </row>
    <row r="10" spans="1:14" ht="18.75">
      <c r="A10" s="66" t="s">
        <v>289</v>
      </c>
      <c r="B10" s="64"/>
      <c r="C10" s="65"/>
      <c r="D10" s="5"/>
      <c r="E10" s="5"/>
      <c r="F10" s="5"/>
      <c r="G10" s="5"/>
      <c r="H10" s="7"/>
      <c r="I10" s="42"/>
      <c r="J10" s="9"/>
      <c r="K10" s="5"/>
      <c r="L10" s="42"/>
      <c r="M10" s="42"/>
      <c r="N10" s="5"/>
    </row>
    <row r="11" spans="1:14" ht="18.75">
      <c r="A11" s="66" t="s">
        <v>290</v>
      </c>
      <c r="B11" s="64"/>
      <c r="C11" s="65"/>
      <c r="D11" s="5"/>
      <c r="E11" s="5"/>
      <c r="F11" s="5"/>
      <c r="G11" s="5"/>
      <c r="H11" s="7"/>
      <c r="I11" s="42"/>
      <c r="J11" s="9"/>
      <c r="K11" s="5"/>
      <c r="L11" s="42"/>
      <c r="M11" s="42"/>
      <c r="N11" s="5"/>
    </row>
    <row r="12" spans="1:14" ht="18.75">
      <c r="A12" s="66" t="s">
        <v>291</v>
      </c>
      <c r="B12" s="64"/>
      <c r="C12" s="65"/>
      <c r="D12" s="5"/>
      <c r="E12" s="5"/>
      <c r="F12" s="5"/>
      <c r="G12" s="5"/>
      <c r="H12" s="7"/>
      <c r="I12" s="42"/>
      <c r="J12" s="9"/>
      <c r="K12" s="5"/>
      <c r="L12" s="42"/>
      <c r="M12" s="42"/>
      <c r="N12" s="5"/>
    </row>
    <row r="13" spans="1:14" ht="18.75">
      <c r="A13" s="66" t="s">
        <v>292</v>
      </c>
      <c r="B13" s="64"/>
      <c r="C13" s="65"/>
      <c r="D13" s="5"/>
      <c r="E13" s="5"/>
      <c r="F13" s="5"/>
      <c r="G13" s="5"/>
      <c r="H13" s="7"/>
      <c r="I13" s="42"/>
      <c r="J13" s="9"/>
      <c r="K13" s="5"/>
      <c r="L13" s="42"/>
      <c r="M13" s="42"/>
      <c r="N13" s="5"/>
    </row>
    <row r="14" spans="1:14" ht="18.75">
      <c r="A14" s="54"/>
      <c r="B14" s="43"/>
      <c r="C14" s="16"/>
      <c r="D14" s="16"/>
      <c r="E14" s="5"/>
      <c r="F14" s="5"/>
      <c r="G14" s="5"/>
      <c r="H14" s="7"/>
      <c r="I14" s="42"/>
      <c r="J14" s="9"/>
      <c r="K14" s="5"/>
      <c r="L14" s="42"/>
      <c r="M14" s="42"/>
      <c r="N14" s="5"/>
    </row>
    <row r="15" spans="1:14" s="28" customFormat="1" ht="15.75">
      <c r="A15" s="8"/>
      <c r="B15" s="8"/>
      <c r="C15" s="30"/>
      <c r="D15" s="8"/>
      <c r="E15" s="30" t="s">
        <v>277</v>
      </c>
      <c r="F15" s="8"/>
      <c r="G15" s="8"/>
      <c r="H15" s="9"/>
      <c r="I15" s="34"/>
      <c r="J15" s="34"/>
      <c r="K15" s="41"/>
      <c r="L15" s="34"/>
      <c r="M15" s="34"/>
      <c r="N15" s="8"/>
    </row>
    <row r="16" spans="1:14" s="28" customFormat="1" ht="15.75">
      <c r="A16" s="8"/>
      <c r="B16" s="8"/>
      <c r="C16" s="30"/>
      <c r="D16" s="8"/>
      <c r="E16" s="30"/>
      <c r="F16" s="8"/>
      <c r="G16" s="8"/>
      <c r="H16" s="9"/>
      <c r="I16" s="34"/>
      <c r="J16" s="34"/>
      <c r="K16" s="41"/>
      <c r="L16" s="34"/>
      <c r="M16" s="34"/>
      <c r="N16" s="8"/>
    </row>
    <row r="17" spans="1:14" ht="18.75">
      <c r="A17" s="417" t="s">
        <v>327</v>
      </c>
      <c r="B17" s="62"/>
      <c r="C17" s="62"/>
      <c r="D17" s="62"/>
      <c r="E17" s="30"/>
      <c r="F17" s="8"/>
      <c r="G17" s="5"/>
      <c r="H17" s="7"/>
      <c r="I17" s="35"/>
      <c r="J17" s="34"/>
      <c r="K17" s="33"/>
      <c r="L17" s="33"/>
      <c r="M17" s="33"/>
      <c r="N17" s="5"/>
    </row>
    <row r="18" spans="1:14" ht="18.75">
      <c r="A18" s="418" t="s">
        <v>653</v>
      </c>
      <c r="B18" s="62"/>
      <c r="C18" s="62"/>
      <c r="D18" s="62"/>
      <c r="E18" s="30"/>
      <c r="F18" s="8"/>
      <c r="G18" s="5"/>
      <c r="H18" s="7"/>
      <c r="I18" s="33"/>
      <c r="J18" s="34"/>
      <c r="K18" s="33"/>
      <c r="L18" s="33"/>
      <c r="M18" s="33"/>
      <c r="N18" s="5"/>
    </row>
    <row r="19" spans="1:8" ht="15.75">
      <c r="A19" s="68" t="s">
        <v>652</v>
      </c>
      <c r="B19" s="8"/>
      <c r="C19" s="69"/>
      <c r="D19" s="8"/>
      <c r="E19" s="30"/>
      <c r="F19" s="8"/>
      <c r="H19" s="1"/>
    </row>
    <row r="20" spans="1:10" ht="15.75">
      <c r="A20" s="418" t="s">
        <v>527</v>
      </c>
      <c r="B20" s="205"/>
      <c r="C20" s="419"/>
      <c r="D20" s="419"/>
      <c r="E20" s="30"/>
      <c r="F20" s="8"/>
      <c r="H20" s="1"/>
      <c r="J20" s="72"/>
    </row>
    <row r="21" spans="1:10" ht="15.75">
      <c r="A21" s="68" t="s">
        <v>528</v>
      </c>
      <c r="B21" s="8"/>
      <c r="C21" s="69"/>
      <c r="D21" s="8"/>
      <c r="E21" s="30"/>
      <c r="F21" s="8"/>
      <c r="H21" s="1"/>
      <c r="J21" s="72"/>
    </row>
    <row r="22" spans="1:10" ht="15.75">
      <c r="A22" s="68" t="s">
        <v>529</v>
      </c>
      <c r="B22" s="205"/>
      <c r="C22" s="419"/>
      <c r="D22" s="419"/>
      <c r="E22" s="26"/>
      <c r="F22" s="8"/>
      <c r="H22" s="1"/>
      <c r="J22" s="72"/>
    </row>
    <row r="23" spans="1:10" ht="15.75">
      <c r="A23" s="87" t="s">
        <v>530</v>
      </c>
      <c r="B23" s="205"/>
      <c r="C23" s="419"/>
      <c r="D23" s="419"/>
      <c r="E23" s="26"/>
      <c r="F23" s="8"/>
      <c r="H23" s="1"/>
      <c r="J23" s="72"/>
    </row>
    <row r="24" spans="1:10" ht="15.75">
      <c r="A24" s="68" t="s">
        <v>541</v>
      </c>
      <c r="B24" s="761"/>
      <c r="C24" s="423"/>
      <c r="D24" s="18"/>
      <c r="E24" s="18"/>
      <c r="F24" s="8"/>
      <c r="H24" s="1"/>
      <c r="J24" s="72"/>
    </row>
    <row r="25" spans="1:10" ht="15.75">
      <c r="A25" s="68" t="s">
        <v>542</v>
      </c>
      <c r="B25" s="761"/>
      <c r="C25" s="423"/>
      <c r="D25" s="18"/>
      <c r="E25" s="18"/>
      <c r="F25" s="18"/>
      <c r="H25" s="1"/>
      <c r="J25" s="72"/>
    </row>
    <row r="26" spans="1:10" ht="15.75">
      <c r="A26" s="68" t="s">
        <v>142</v>
      </c>
      <c r="B26" s="8"/>
      <c r="C26" s="69"/>
      <c r="D26" s="8"/>
      <c r="E26" s="30"/>
      <c r="F26" s="8"/>
      <c r="H26" s="1"/>
      <c r="J26" s="72"/>
    </row>
    <row r="27" spans="1:10" ht="15.75">
      <c r="A27" s="68"/>
      <c r="B27" s="8"/>
      <c r="C27" s="69"/>
      <c r="D27" s="8"/>
      <c r="E27" s="30"/>
      <c r="F27" s="8"/>
      <c r="H27" s="1"/>
      <c r="J27" s="72"/>
    </row>
    <row r="28" spans="1:12" ht="18.75">
      <c r="A28" s="70" t="s">
        <v>293</v>
      </c>
      <c r="B28" s="67"/>
      <c r="C28" s="67"/>
      <c r="I28" s="71"/>
      <c r="J28" s="72"/>
      <c r="K28" s="73"/>
      <c r="L28" s="74"/>
    </row>
    <row r="29" spans="1:11" ht="15.75">
      <c r="A29" s="75"/>
      <c r="B29" s="76"/>
      <c r="C29" s="76"/>
      <c r="D29" s="26"/>
      <c r="E29" s="26"/>
      <c r="F29" s="77"/>
      <c r="H29" s="77"/>
      <c r="I29" s="78"/>
      <c r="K29" s="73"/>
    </row>
    <row r="30" spans="1:11" ht="15.75">
      <c r="A30" s="75" t="s">
        <v>294</v>
      </c>
      <c r="B30" s="76"/>
      <c r="C30" s="76"/>
      <c r="D30" s="26"/>
      <c r="E30" s="26"/>
      <c r="F30" s="77"/>
      <c r="H30" s="77">
        <f>H34+H52</f>
        <v>395591213.09000003</v>
      </c>
      <c r="I30" s="78"/>
      <c r="K30" s="73"/>
    </row>
    <row r="31" spans="1:11" ht="15.75">
      <c r="A31" s="75" t="s">
        <v>295</v>
      </c>
      <c r="B31" s="76"/>
      <c r="C31" s="76"/>
      <c r="D31" s="26"/>
      <c r="E31" s="26"/>
      <c r="F31" s="77"/>
      <c r="H31" s="77">
        <f>H35+H53</f>
        <v>399359799.7</v>
      </c>
      <c r="I31" s="71"/>
      <c r="K31" s="73"/>
    </row>
    <row r="32" spans="1:11" ht="15.75">
      <c r="A32" s="79" t="s">
        <v>296</v>
      </c>
      <c r="B32" s="80"/>
      <c r="C32" s="80"/>
      <c r="D32" s="26"/>
      <c r="E32" s="26"/>
      <c r="F32" s="77"/>
      <c r="H32" s="77"/>
      <c r="I32" s="71"/>
      <c r="J32" s="72"/>
      <c r="K32" s="73"/>
    </row>
    <row r="33" spans="1:11" ht="15.75">
      <c r="A33" s="79"/>
      <c r="B33" s="80"/>
      <c r="C33" s="80"/>
      <c r="D33" s="26"/>
      <c r="E33" s="26"/>
      <c r="F33" s="77"/>
      <c r="H33" s="77"/>
      <c r="I33" s="71"/>
      <c r="K33" s="73"/>
    </row>
    <row r="34" spans="1:11" ht="15.75">
      <c r="A34" s="75" t="s">
        <v>326</v>
      </c>
      <c r="B34" s="76"/>
      <c r="C34" s="76"/>
      <c r="D34" s="82"/>
      <c r="E34" s="26"/>
      <c r="F34" s="1"/>
      <c r="H34" s="77">
        <f>H37+H44</f>
        <v>276873201.8</v>
      </c>
      <c r="I34" s="71"/>
      <c r="K34" s="73"/>
    </row>
    <row r="35" spans="1:11" ht="15.75">
      <c r="A35" s="75" t="s">
        <v>295</v>
      </c>
      <c r="B35" s="76"/>
      <c r="C35" s="76"/>
      <c r="D35" s="82"/>
      <c r="E35" s="26"/>
      <c r="F35" s="1"/>
      <c r="H35" s="77">
        <f>H38+H45</f>
        <v>280568788.40999997</v>
      </c>
      <c r="I35" s="71"/>
      <c r="K35" s="73"/>
    </row>
    <row r="36" spans="1:11" ht="15.75">
      <c r="A36" s="79"/>
      <c r="B36" s="67" t="s">
        <v>297</v>
      </c>
      <c r="C36" s="80"/>
      <c r="D36" s="26"/>
      <c r="E36" s="26"/>
      <c r="F36" s="1"/>
      <c r="H36" s="77"/>
      <c r="I36" s="71"/>
      <c r="J36" s="72"/>
      <c r="K36" s="73"/>
    </row>
    <row r="37" spans="1:11" ht="15.75">
      <c r="A37" s="83" t="s">
        <v>298</v>
      </c>
      <c r="B37" s="76"/>
      <c r="C37" s="76"/>
      <c r="D37" s="26"/>
      <c r="E37" s="26"/>
      <c r="F37" s="1"/>
      <c r="H37" s="77">
        <v>260414696.95</v>
      </c>
      <c r="I37" s="71"/>
      <c r="K37" s="73"/>
    </row>
    <row r="38" spans="1:11" ht="15.75">
      <c r="A38" s="83" t="s">
        <v>295</v>
      </c>
      <c r="B38" s="76"/>
      <c r="C38" s="76"/>
      <c r="D38" s="26"/>
      <c r="E38" s="26"/>
      <c r="F38" s="1"/>
      <c r="H38" s="77">
        <f>H37-D82+F82-F81-F70</f>
        <v>260645681.86999997</v>
      </c>
      <c r="I38" s="71"/>
      <c r="K38" s="73"/>
    </row>
    <row r="39" spans="1:11" ht="15.75">
      <c r="A39" s="83"/>
      <c r="B39" s="84" t="s">
        <v>245</v>
      </c>
      <c r="C39" s="76"/>
      <c r="D39" s="26"/>
      <c r="E39" s="26"/>
      <c r="F39" s="1"/>
      <c r="H39" s="77"/>
      <c r="I39" s="71"/>
      <c r="K39" s="73"/>
    </row>
    <row r="40" spans="1:11" ht="15.75">
      <c r="A40" s="83"/>
      <c r="B40" s="204" t="s">
        <v>246</v>
      </c>
      <c r="C40" s="76"/>
      <c r="D40" s="26"/>
      <c r="E40" s="26"/>
      <c r="F40" s="1"/>
      <c r="H40" s="77"/>
      <c r="I40" s="71"/>
      <c r="K40" s="73"/>
    </row>
    <row r="41" spans="1:11" ht="15.75">
      <c r="A41" s="83"/>
      <c r="B41" s="204" t="s">
        <v>247</v>
      </c>
      <c r="C41" s="80"/>
      <c r="D41" s="26"/>
      <c r="E41" s="26"/>
      <c r="F41" s="1"/>
      <c r="H41" s="1">
        <v>6075870.73</v>
      </c>
      <c r="I41" s="71"/>
      <c r="K41" s="73"/>
    </row>
    <row r="42" spans="1:11" ht="15.75">
      <c r="A42" s="83"/>
      <c r="B42" s="204" t="s">
        <v>299</v>
      </c>
      <c r="C42" s="84"/>
      <c r="D42" s="204"/>
      <c r="E42" s="26"/>
      <c r="F42" s="1"/>
      <c r="H42" s="1">
        <f>H41-D80</f>
        <v>6041370.73</v>
      </c>
      <c r="I42" s="71"/>
      <c r="K42" s="73"/>
    </row>
    <row r="43" spans="1:11" ht="15.75">
      <c r="A43" s="83"/>
      <c r="B43" s="204"/>
      <c r="C43" s="76"/>
      <c r="D43" s="26"/>
      <c r="E43" s="26"/>
      <c r="F43" s="1"/>
      <c r="H43" s="77"/>
      <c r="I43" s="71"/>
      <c r="K43" s="73"/>
    </row>
    <row r="44" spans="1:11" ht="15.75">
      <c r="A44" s="83" t="s">
        <v>248</v>
      </c>
      <c r="B44" s="76"/>
      <c r="C44" s="76"/>
      <c r="D44" s="26"/>
      <c r="E44" s="26"/>
      <c r="F44" s="1"/>
      <c r="H44" s="77">
        <v>16458504.85</v>
      </c>
      <c r="I44" s="71"/>
      <c r="K44" s="73"/>
    </row>
    <row r="45" spans="1:11" ht="15.75">
      <c r="A45" s="83" t="s">
        <v>295</v>
      </c>
      <c r="B45" s="76"/>
      <c r="C45" s="76"/>
      <c r="D45" s="26"/>
      <c r="E45" s="26"/>
      <c r="F45" s="1"/>
      <c r="H45" s="77">
        <f>H44+F70+F81</f>
        <v>19923106.54</v>
      </c>
      <c r="I45" s="71"/>
      <c r="K45" s="73"/>
    </row>
    <row r="46" spans="1:11" ht="15.75">
      <c r="A46" s="83"/>
      <c r="B46" s="84" t="s">
        <v>245</v>
      </c>
      <c r="C46" s="76"/>
      <c r="D46" s="26"/>
      <c r="E46" s="26"/>
      <c r="F46" s="1"/>
      <c r="H46" s="77"/>
      <c r="I46" s="71"/>
      <c r="K46" s="73"/>
    </row>
    <row r="47" spans="1:11" ht="15.75">
      <c r="A47" s="83"/>
      <c r="B47" s="204" t="s">
        <v>246</v>
      </c>
      <c r="C47" s="76"/>
      <c r="D47" s="26"/>
      <c r="E47" s="26"/>
      <c r="F47" s="1"/>
      <c r="H47" s="77"/>
      <c r="I47" s="71"/>
      <c r="K47" s="73"/>
    </row>
    <row r="48" spans="1:11" ht="15.75">
      <c r="A48" s="83"/>
      <c r="B48" s="204" t="s">
        <v>247</v>
      </c>
      <c r="C48" s="80"/>
      <c r="D48" s="26"/>
      <c r="E48" s="26"/>
      <c r="F48" s="1"/>
      <c r="H48" s="1">
        <v>2457396.86</v>
      </c>
      <c r="I48" s="71"/>
      <c r="K48" s="73"/>
    </row>
    <row r="49" spans="1:11" ht="15.75">
      <c r="A49" s="83"/>
      <c r="B49" s="204" t="s">
        <v>299</v>
      </c>
      <c r="C49" s="84"/>
      <c r="D49" s="204"/>
      <c r="E49" s="26"/>
      <c r="F49" s="1"/>
      <c r="H49" s="1">
        <f>H48+F81</f>
        <v>2491896.86</v>
      </c>
      <c r="I49" s="71"/>
      <c r="K49" s="73"/>
    </row>
    <row r="50" spans="1:11" ht="15.75">
      <c r="A50" s="83"/>
      <c r="B50" s="76"/>
      <c r="C50" s="76"/>
      <c r="D50" s="26"/>
      <c r="E50" s="26"/>
      <c r="F50" s="1"/>
      <c r="H50" s="77"/>
      <c r="I50" s="71"/>
      <c r="K50" s="73"/>
    </row>
    <row r="51" spans="1:11" ht="15.75">
      <c r="A51" s="83"/>
      <c r="B51" s="204"/>
      <c r="C51" s="76"/>
      <c r="D51" s="26"/>
      <c r="E51" s="26"/>
      <c r="F51" s="1"/>
      <c r="H51" s="77"/>
      <c r="I51" s="78"/>
      <c r="K51" s="73"/>
    </row>
    <row r="52" spans="1:11" ht="15.75">
      <c r="A52" s="75" t="s">
        <v>664</v>
      </c>
      <c r="B52" s="76"/>
      <c r="C52" s="76"/>
      <c r="D52" s="82"/>
      <c r="E52" s="91"/>
      <c r="F52" s="1"/>
      <c r="H52" s="77">
        <v>118718011.29</v>
      </c>
      <c r="I52" s="78"/>
      <c r="K52" s="73"/>
    </row>
    <row r="53" spans="1:11" ht="15.75">
      <c r="A53" s="75" t="s">
        <v>295</v>
      </c>
      <c r="B53" s="76"/>
      <c r="C53" s="76"/>
      <c r="D53" s="82"/>
      <c r="E53" s="91"/>
      <c r="F53" s="1"/>
      <c r="H53" s="77">
        <f>H52-D95+F95</f>
        <v>118791011.29</v>
      </c>
      <c r="I53" s="71"/>
      <c r="K53" s="73"/>
    </row>
    <row r="54" spans="1:11" ht="15.75">
      <c r="A54" s="79"/>
      <c r="B54" s="67" t="s">
        <v>297</v>
      </c>
      <c r="C54" s="80"/>
      <c r="D54" s="26"/>
      <c r="E54" s="91"/>
      <c r="F54" s="1"/>
      <c r="H54" s="77"/>
      <c r="I54" s="71"/>
      <c r="K54" s="73"/>
    </row>
    <row r="55" spans="1:11" ht="15.75">
      <c r="A55" s="83" t="s">
        <v>298</v>
      </c>
      <c r="B55" s="76"/>
      <c r="C55" s="76"/>
      <c r="D55" s="26"/>
      <c r="E55" s="91"/>
      <c r="F55" s="1"/>
      <c r="H55" s="77">
        <v>118588011.29</v>
      </c>
      <c r="I55" s="71"/>
      <c r="K55" s="73"/>
    </row>
    <row r="56" spans="1:11" ht="15.75">
      <c r="A56" s="83" t="s">
        <v>295</v>
      </c>
      <c r="B56" s="76"/>
      <c r="C56" s="76"/>
      <c r="D56" s="26"/>
      <c r="E56" s="91"/>
      <c r="F56" s="1"/>
      <c r="H56" s="77">
        <f>H55-D95+F95</f>
        <v>118661011.29</v>
      </c>
      <c r="I56" s="71"/>
      <c r="K56" s="73"/>
    </row>
    <row r="57" spans="1:11" ht="15.75">
      <c r="A57" s="83"/>
      <c r="B57" s="204"/>
      <c r="C57" s="76"/>
      <c r="D57" s="26"/>
      <c r="E57" s="26"/>
      <c r="F57" s="1"/>
      <c r="H57" s="1"/>
      <c r="I57" s="78"/>
      <c r="K57" s="73"/>
    </row>
    <row r="58" spans="1:11" ht="15.75">
      <c r="A58" s="83"/>
      <c r="B58" s="84"/>
      <c r="C58" s="76"/>
      <c r="D58" s="26"/>
      <c r="E58" s="26"/>
      <c r="F58" s="1"/>
      <c r="H58" s="1"/>
      <c r="I58" s="71"/>
      <c r="K58" s="73"/>
    </row>
    <row r="59" spans="1:11" ht="19.5">
      <c r="A59" s="88" t="s">
        <v>325</v>
      </c>
      <c r="B59" s="89"/>
      <c r="C59" s="90"/>
      <c r="D59" s="91"/>
      <c r="E59" s="91"/>
      <c r="F59" s="92"/>
      <c r="G59" s="92"/>
      <c r="H59" s="93"/>
      <c r="I59" s="71"/>
      <c r="K59" s="73"/>
    </row>
    <row r="60" spans="1:11" ht="19.5">
      <c r="A60" s="88"/>
      <c r="B60" s="89"/>
      <c r="C60" s="90"/>
      <c r="D60" s="91"/>
      <c r="E60" s="91"/>
      <c r="F60" s="92"/>
      <c r="G60" s="92"/>
      <c r="H60" s="93"/>
      <c r="I60" s="71"/>
      <c r="K60" s="73"/>
    </row>
    <row r="61" spans="1:11" ht="18.75">
      <c r="A61" s="97" t="s">
        <v>323</v>
      </c>
      <c r="B61" s="98"/>
      <c r="C61" s="99"/>
      <c r="D61" s="87"/>
      <c r="E61" s="87"/>
      <c r="F61" s="96"/>
      <c r="G61" s="96"/>
      <c r="I61" s="71"/>
      <c r="K61" s="73"/>
    </row>
    <row r="62" spans="1:11" ht="18.75">
      <c r="A62" s="97"/>
      <c r="B62" s="98"/>
      <c r="C62" s="99"/>
      <c r="D62" s="87"/>
      <c r="E62" s="87"/>
      <c r="F62" s="96"/>
      <c r="G62" s="96"/>
      <c r="I62" s="71"/>
      <c r="K62" s="73"/>
    </row>
    <row r="63" spans="1:11" ht="18.75">
      <c r="A63" s="94"/>
      <c r="B63" s="94"/>
      <c r="C63" s="94"/>
      <c r="D63" s="87"/>
      <c r="E63" s="87"/>
      <c r="F63" s="96"/>
      <c r="G63" s="96"/>
      <c r="I63" s="71"/>
      <c r="K63" s="73"/>
    </row>
    <row r="64" spans="1:11" ht="18.75">
      <c r="A64" s="100"/>
      <c r="B64" s="100"/>
      <c r="C64" s="101"/>
      <c r="D64" s="10" t="s">
        <v>300</v>
      </c>
      <c r="E64" s="11"/>
      <c r="F64" s="10" t="s">
        <v>301</v>
      </c>
      <c r="G64" s="11"/>
      <c r="I64" s="71"/>
      <c r="K64" s="73"/>
    </row>
    <row r="65" spans="1:11" ht="15" customHeight="1">
      <c r="A65" s="102"/>
      <c r="B65" s="102"/>
      <c r="C65" s="103"/>
      <c r="D65" s="12" t="s">
        <v>276</v>
      </c>
      <c r="E65" s="11" t="s">
        <v>275</v>
      </c>
      <c r="F65" s="12" t="s">
        <v>276</v>
      </c>
      <c r="G65" s="11" t="s">
        <v>275</v>
      </c>
      <c r="I65" s="71"/>
      <c r="K65" s="73"/>
    </row>
    <row r="66" spans="1:11" ht="21">
      <c r="A66" s="104" t="s">
        <v>278</v>
      </c>
      <c r="B66" s="104" t="s">
        <v>284</v>
      </c>
      <c r="C66" s="104" t="s">
        <v>279</v>
      </c>
      <c r="D66" s="13" t="s">
        <v>280</v>
      </c>
      <c r="E66" s="14" t="s">
        <v>281</v>
      </c>
      <c r="F66" s="13" t="s">
        <v>280</v>
      </c>
      <c r="G66" s="14" t="s">
        <v>281</v>
      </c>
      <c r="I66" s="71"/>
      <c r="K66" s="73"/>
    </row>
    <row r="67" spans="1:13" s="115" customFormat="1" ht="18.75">
      <c r="A67" s="656" t="s">
        <v>261</v>
      </c>
      <c r="B67" s="108" t="s">
        <v>114</v>
      </c>
      <c r="C67" s="109" t="s">
        <v>124</v>
      </c>
      <c r="D67" s="106">
        <v>92060.08</v>
      </c>
      <c r="E67" s="106"/>
      <c r="F67" s="106"/>
      <c r="G67" s="121"/>
      <c r="H67" s="122"/>
      <c r="I67" s="71"/>
      <c r="J67" s="107"/>
      <c r="K67" s="73"/>
      <c r="L67" s="123"/>
      <c r="M67" s="123"/>
    </row>
    <row r="68" spans="1:13" s="115" customFormat="1" ht="18.75">
      <c r="A68" s="108" t="s">
        <v>251</v>
      </c>
      <c r="B68" s="108" t="s">
        <v>259</v>
      </c>
      <c r="C68" s="109"/>
      <c r="D68" s="106"/>
      <c r="E68" s="106"/>
      <c r="F68" s="106">
        <f>SUM(F69:F70)</f>
        <v>3762301.69</v>
      </c>
      <c r="G68" s="121"/>
      <c r="H68" s="122"/>
      <c r="I68" s="71"/>
      <c r="J68" s="107"/>
      <c r="K68" s="73"/>
      <c r="L68" s="123"/>
      <c r="M68" s="123"/>
    </row>
    <row r="69" spans="1:11" ht="18.75">
      <c r="A69" s="933"/>
      <c r="B69" s="412"/>
      <c r="C69" s="110" t="s">
        <v>258</v>
      </c>
      <c r="D69" s="111"/>
      <c r="E69" s="111"/>
      <c r="F69" s="111">
        <f>320000+10000+2200</f>
        <v>332200</v>
      </c>
      <c r="G69" s="124"/>
      <c r="I69" s="125"/>
      <c r="K69" s="85"/>
    </row>
    <row r="70" spans="1:11" ht="18.75">
      <c r="A70" s="780"/>
      <c r="B70" s="126"/>
      <c r="C70" s="110" t="s">
        <v>260</v>
      </c>
      <c r="D70" s="111"/>
      <c r="E70" s="111"/>
      <c r="F70" s="111">
        <f>24000+3406101.69</f>
        <v>3430101.69</v>
      </c>
      <c r="G70" s="124"/>
      <c r="I70" s="125"/>
      <c r="K70" s="85"/>
    </row>
    <row r="71" spans="1:13" s="115" customFormat="1" ht="18.75">
      <c r="A71" s="209" t="s">
        <v>659</v>
      </c>
      <c r="B71" s="105"/>
      <c r="C71" s="109"/>
      <c r="D71" s="106"/>
      <c r="E71" s="106"/>
      <c r="F71" s="106">
        <f>F72+F73+F76</f>
        <v>25345</v>
      </c>
      <c r="G71" s="121"/>
      <c r="H71" s="122"/>
      <c r="I71" s="71"/>
      <c r="J71" s="107"/>
      <c r="K71" s="73"/>
      <c r="L71" s="123"/>
      <c r="M71" s="123"/>
    </row>
    <row r="72" spans="1:11" ht="18.75">
      <c r="A72" s="112"/>
      <c r="B72" s="210" t="s">
        <v>361</v>
      </c>
      <c r="C72" s="114" t="s">
        <v>258</v>
      </c>
      <c r="D72" s="111"/>
      <c r="E72" s="111"/>
      <c r="F72" s="111">
        <v>3500</v>
      </c>
      <c r="G72" s="124"/>
      <c r="I72" s="125"/>
      <c r="K72" s="85"/>
    </row>
    <row r="73" spans="1:11" ht="18.75">
      <c r="A73" s="112"/>
      <c r="B73" s="210" t="s">
        <v>236</v>
      </c>
      <c r="C73" s="114"/>
      <c r="D73" s="111"/>
      <c r="E73" s="111"/>
      <c r="F73" s="111">
        <f>SUM(F74:F75)</f>
        <v>13745</v>
      </c>
      <c r="G73" s="124"/>
      <c r="I73" s="125"/>
      <c r="K73" s="85"/>
    </row>
    <row r="74" spans="1:11" ht="18.75">
      <c r="A74" s="112"/>
      <c r="B74" s="113"/>
      <c r="C74" s="114" t="s">
        <v>662</v>
      </c>
      <c r="D74" s="111"/>
      <c r="E74" s="111"/>
      <c r="F74" s="111">
        <v>4145</v>
      </c>
      <c r="G74" s="124"/>
      <c r="I74" s="125"/>
      <c r="K74" s="85"/>
    </row>
    <row r="75" spans="1:11" ht="18.75">
      <c r="A75" s="112"/>
      <c r="B75" s="113"/>
      <c r="C75" s="114" t="s">
        <v>258</v>
      </c>
      <c r="D75" s="111"/>
      <c r="E75" s="111"/>
      <c r="F75" s="111">
        <v>9600</v>
      </c>
      <c r="G75" s="124"/>
      <c r="I75" s="125"/>
      <c r="K75" s="85"/>
    </row>
    <row r="76" spans="1:11" ht="18.75">
      <c r="A76" s="112"/>
      <c r="B76" s="210" t="s">
        <v>359</v>
      </c>
      <c r="C76" s="114"/>
      <c r="D76" s="111"/>
      <c r="E76" s="111"/>
      <c r="F76" s="111">
        <f>SUM(F77:F78)</f>
        <v>8100</v>
      </c>
      <c r="G76" s="124"/>
      <c r="I76" s="125"/>
      <c r="K76" s="85"/>
    </row>
    <row r="77" spans="1:11" ht="18.75">
      <c r="A77" s="112"/>
      <c r="B77" s="113"/>
      <c r="C77" s="114" t="s">
        <v>360</v>
      </c>
      <c r="D77" s="111"/>
      <c r="E77" s="111"/>
      <c r="F77" s="111">
        <v>5520</v>
      </c>
      <c r="G77" s="124"/>
      <c r="I77" s="125"/>
      <c r="K77" s="85"/>
    </row>
    <row r="78" spans="1:11" ht="18.75">
      <c r="A78" s="112"/>
      <c r="B78" s="113"/>
      <c r="C78" s="114" t="s">
        <v>258</v>
      </c>
      <c r="D78" s="111"/>
      <c r="E78" s="111"/>
      <c r="F78" s="111">
        <v>2580</v>
      </c>
      <c r="G78" s="124"/>
      <c r="I78" s="125"/>
      <c r="K78" s="85"/>
    </row>
    <row r="79" spans="1:13" s="115" customFormat="1" ht="18.75">
      <c r="A79" s="105" t="s">
        <v>394</v>
      </c>
      <c r="B79" s="105" t="s">
        <v>395</v>
      </c>
      <c r="C79" s="109"/>
      <c r="D79" s="121">
        <f>SUM(D80:D81)</f>
        <v>34500</v>
      </c>
      <c r="E79" s="121"/>
      <c r="F79" s="121">
        <f>SUM(F80:F81)</f>
        <v>34500</v>
      </c>
      <c r="G79" s="121"/>
      <c r="H79" s="122"/>
      <c r="I79" s="71"/>
      <c r="J79" s="107"/>
      <c r="K79" s="73"/>
      <c r="L79" s="123"/>
      <c r="M79" s="123"/>
    </row>
    <row r="80" spans="1:11" ht="18.75">
      <c r="A80" s="113"/>
      <c r="B80" s="113"/>
      <c r="C80" s="413" t="s">
        <v>396</v>
      </c>
      <c r="D80" s="124">
        <f>3500+31000</f>
        <v>34500</v>
      </c>
      <c r="E80" s="124"/>
      <c r="F80" s="124"/>
      <c r="G80" s="124"/>
      <c r="I80" s="125"/>
      <c r="K80" s="85"/>
    </row>
    <row r="81" spans="1:11" ht="18.75">
      <c r="A81" s="113"/>
      <c r="B81" s="113"/>
      <c r="C81" s="210" t="s">
        <v>397</v>
      </c>
      <c r="D81" s="124"/>
      <c r="E81" s="124"/>
      <c r="F81" s="124">
        <f>3500+31000</f>
        <v>34500</v>
      </c>
      <c r="G81" s="124"/>
      <c r="I81" s="125"/>
      <c r="K81" s="85"/>
    </row>
    <row r="82" spans="1:13" s="47" customFormat="1" ht="19.5" customHeight="1">
      <c r="A82" s="207" t="s">
        <v>285</v>
      </c>
      <c r="B82" s="208"/>
      <c r="C82" s="109"/>
      <c r="D82" s="127">
        <f>D67+D68+D71+D79</f>
        <v>126560.08</v>
      </c>
      <c r="E82" s="127">
        <f>E67+E68+E71+E79</f>
        <v>0</v>
      </c>
      <c r="F82" s="127">
        <f>F67+F68+F71+F79</f>
        <v>3822146.69</v>
      </c>
      <c r="G82" s="127">
        <f>G67+G68+G71+G79</f>
        <v>0</v>
      </c>
      <c r="H82" s="120"/>
      <c r="I82" s="116"/>
      <c r="J82" s="117"/>
      <c r="K82" s="117"/>
      <c r="L82" s="48"/>
      <c r="M82" s="48"/>
    </row>
    <row r="83" spans="1:13" s="47" customFormat="1" ht="19.5" customHeight="1">
      <c r="A83" s="118"/>
      <c r="B83" s="119"/>
      <c r="C83" s="119"/>
      <c r="D83" s="120"/>
      <c r="E83" s="120"/>
      <c r="F83" s="120"/>
      <c r="G83" s="120"/>
      <c r="I83" s="116"/>
      <c r="J83" s="48"/>
      <c r="K83" s="117"/>
      <c r="L83" s="48"/>
      <c r="M83" s="48"/>
    </row>
    <row r="84" spans="1:13" s="47" customFormat="1" ht="19.5" customHeight="1">
      <c r="A84" s="118"/>
      <c r="B84" s="119"/>
      <c r="C84" s="119"/>
      <c r="D84" s="120"/>
      <c r="E84" s="120"/>
      <c r="F84" s="120"/>
      <c r="G84" s="120"/>
      <c r="I84" s="116"/>
      <c r="J84" s="48"/>
      <c r="K84" s="117"/>
      <c r="L84" s="48"/>
      <c r="M84" s="48"/>
    </row>
    <row r="85" spans="1:11" ht="19.5">
      <c r="A85" s="88" t="s">
        <v>663</v>
      </c>
      <c r="B85" s="89"/>
      <c r="C85" s="90"/>
      <c r="D85" s="91"/>
      <c r="E85" s="91"/>
      <c r="F85" s="92"/>
      <c r="G85" s="92"/>
      <c r="H85" s="93"/>
      <c r="I85" s="71"/>
      <c r="K85" s="73"/>
    </row>
    <row r="86" spans="1:11" ht="19.5">
      <c r="A86" s="88"/>
      <c r="B86" s="89"/>
      <c r="C86" s="90"/>
      <c r="D86" s="91"/>
      <c r="E86" s="91"/>
      <c r="F86" s="92"/>
      <c r="G86" s="92"/>
      <c r="H86" s="93"/>
      <c r="I86" s="71"/>
      <c r="K86" s="73"/>
    </row>
    <row r="87" spans="1:11" ht="19.5">
      <c r="A87" s="88"/>
      <c r="B87" s="89"/>
      <c r="C87" s="90"/>
      <c r="D87" s="91"/>
      <c r="E87" s="91"/>
      <c r="F87" s="92"/>
      <c r="G87" s="92"/>
      <c r="H87" s="93"/>
      <c r="I87" s="71"/>
      <c r="K87" s="73"/>
    </row>
    <row r="88" spans="1:11" ht="18.75">
      <c r="A88" s="97" t="s">
        <v>665</v>
      </c>
      <c r="B88" s="98"/>
      <c r="C88" s="99"/>
      <c r="D88" s="87"/>
      <c r="E88" s="87"/>
      <c r="F88" s="96"/>
      <c r="G88" s="96"/>
      <c r="I88" s="71"/>
      <c r="K88" s="73"/>
    </row>
    <row r="89" spans="1:11" ht="18.75">
      <c r="A89" s="94"/>
      <c r="B89" s="94"/>
      <c r="C89" s="94"/>
      <c r="D89" s="87"/>
      <c r="E89" s="87"/>
      <c r="F89" s="96"/>
      <c r="G89" s="96"/>
      <c r="I89" s="71"/>
      <c r="K89" s="73"/>
    </row>
    <row r="90" spans="1:11" ht="18.75">
      <c r="A90" s="100"/>
      <c r="B90" s="100"/>
      <c r="C90" s="101"/>
      <c r="D90" s="10" t="s">
        <v>300</v>
      </c>
      <c r="E90" s="11"/>
      <c r="F90" s="10" t="s">
        <v>301</v>
      </c>
      <c r="G90" s="11"/>
      <c r="I90" s="71"/>
      <c r="K90" s="73"/>
    </row>
    <row r="91" spans="1:11" ht="15" customHeight="1">
      <c r="A91" s="102"/>
      <c r="B91" s="102"/>
      <c r="C91" s="103"/>
      <c r="D91" s="12" t="s">
        <v>276</v>
      </c>
      <c r="E91" s="11" t="s">
        <v>275</v>
      </c>
      <c r="F91" s="12" t="s">
        <v>276</v>
      </c>
      <c r="G91" s="11" t="s">
        <v>275</v>
      </c>
      <c r="I91" s="71"/>
      <c r="K91" s="73"/>
    </row>
    <row r="92" spans="1:11" ht="21">
      <c r="A92" s="104" t="s">
        <v>278</v>
      </c>
      <c r="B92" s="104" t="s">
        <v>284</v>
      </c>
      <c r="C92" s="104" t="s">
        <v>279</v>
      </c>
      <c r="D92" s="13" t="s">
        <v>280</v>
      </c>
      <c r="E92" s="14" t="s">
        <v>281</v>
      </c>
      <c r="F92" s="13" t="s">
        <v>280</v>
      </c>
      <c r="G92" s="14" t="s">
        <v>281</v>
      </c>
      <c r="I92" s="71"/>
      <c r="K92" s="73"/>
    </row>
    <row r="93" spans="1:13" s="115" customFormat="1" ht="18.75">
      <c r="A93" s="656" t="s">
        <v>261</v>
      </c>
      <c r="B93" s="105" t="s">
        <v>116</v>
      </c>
      <c r="C93" s="109" t="s">
        <v>117</v>
      </c>
      <c r="D93" s="106"/>
      <c r="E93" s="106"/>
      <c r="F93" s="106">
        <v>20000</v>
      </c>
      <c r="G93" s="121"/>
      <c r="H93" s="122"/>
      <c r="I93" s="71"/>
      <c r="J93" s="107"/>
      <c r="K93" s="73"/>
      <c r="L93" s="123"/>
      <c r="M93" s="123"/>
    </row>
    <row r="94" spans="1:13" s="115" customFormat="1" ht="18.75">
      <c r="A94" s="105" t="s">
        <v>20</v>
      </c>
      <c r="B94" s="109" t="s">
        <v>21</v>
      </c>
      <c r="C94" s="109" t="s">
        <v>360</v>
      </c>
      <c r="D94" s="106"/>
      <c r="E94" s="106"/>
      <c r="F94" s="106">
        <v>53000</v>
      </c>
      <c r="G94" s="121"/>
      <c r="H94" s="122"/>
      <c r="I94" s="71"/>
      <c r="J94" s="107"/>
      <c r="K94" s="73"/>
      <c r="L94" s="123"/>
      <c r="M94" s="123"/>
    </row>
    <row r="95" spans="1:13" s="47" customFormat="1" ht="19.5" customHeight="1">
      <c r="A95" s="207" t="s">
        <v>285</v>
      </c>
      <c r="B95" s="208"/>
      <c r="C95" s="109"/>
      <c r="D95" s="127">
        <f>D93+D94</f>
        <v>0</v>
      </c>
      <c r="E95" s="127">
        <f>E93+E94</f>
        <v>0</v>
      </c>
      <c r="F95" s="127">
        <f>F93+F94</f>
        <v>73000</v>
      </c>
      <c r="G95" s="127">
        <f>G93+G94</f>
        <v>0</v>
      </c>
      <c r="H95" s="120"/>
      <c r="I95" s="116"/>
      <c r="J95" s="117"/>
      <c r="K95" s="117"/>
      <c r="L95" s="48"/>
      <c r="M95" s="48"/>
    </row>
    <row r="96" spans="1:13" s="47" customFormat="1" ht="19.5" customHeight="1">
      <c r="A96" s="118"/>
      <c r="B96" s="119"/>
      <c r="C96" s="119"/>
      <c r="D96" s="120"/>
      <c r="E96" s="120"/>
      <c r="F96" s="120"/>
      <c r="G96" s="120"/>
      <c r="I96" s="116"/>
      <c r="J96" s="48"/>
      <c r="K96" s="117"/>
      <c r="L96" s="48"/>
      <c r="M96" s="48"/>
    </row>
    <row r="97" spans="1:13" s="47" customFormat="1" ht="19.5" customHeight="1">
      <c r="A97" s="118"/>
      <c r="B97" s="119"/>
      <c r="C97" s="119"/>
      <c r="D97" s="120"/>
      <c r="E97" s="120"/>
      <c r="F97" s="120"/>
      <c r="G97" s="120"/>
      <c r="I97" s="116"/>
      <c r="J97" s="48"/>
      <c r="K97" s="117"/>
      <c r="L97" s="48"/>
      <c r="M97" s="48"/>
    </row>
    <row r="98" spans="1:13" s="47" customFormat="1" ht="19.5" customHeight="1">
      <c r="A98" s="28" t="s">
        <v>150</v>
      </c>
      <c r="B98" s="28"/>
      <c r="C98" s="67"/>
      <c r="D98" s="2"/>
      <c r="E98" s="2"/>
      <c r="F98" s="2"/>
      <c r="G98" s="120"/>
      <c r="I98" s="116"/>
      <c r="J98" s="48"/>
      <c r="K98" s="117"/>
      <c r="L98" s="48"/>
      <c r="M98" s="48"/>
    </row>
    <row r="99" spans="1:13" s="47" customFormat="1" ht="19.5" customHeight="1">
      <c r="A99" s="952" t="s">
        <v>149</v>
      </c>
      <c r="B99" s="28"/>
      <c r="C99" s="67"/>
      <c r="D99" s="2"/>
      <c r="E99" s="2"/>
      <c r="F99" s="2"/>
      <c r="G99" s="120"/>
      <c r="I99" s="116"/>
      <c r="J99" s="48"/>
      <c r="K99" s="117"/>
      <c r="L99" s="48"/>
      <c r="M99" s="48"/>
    </row>
    <row r="100" spans="1:13" s="47" customFormat="1" ht="19.5" customHeight="1">
      <c r="A100" s="952" t="s">
        <v>151</v>
      </c>
      <c r="B100" s="28"/>
      <c r="C100" s="67"/>
      <c r="D100" s="2"/>
      <c r="E100" s="2"/>
      <c r="F100" s="2"/>
      <c r="G100" s="120"/>
      <c r="I100" s="116"/>
      <c r="J100" s="48"/>
      <c r="K100" s="117"/>
      <c r="L100" s="48"/>
      <c r="M100" s="48"/>
    </row>
    <row r="101" spans="1:13" s="47" customFormat="1" ht="19.5" customHeight="1">
      <c r="A101" s="952"/>
      <c r="B101" s="28"/>
      <c r="C101" s="67"/>
      <c r="D101" s="2"/>
      <c r="E101" s="2"/>
      <c r="F101" s="2"/>
      <c r="G101" s="120"/>
      <c r="I101" s="116"/>
      <c r="J101" s="48"/>
      <c r="K101" s="117"/>
      <c r="L101" s="48"/>
      <c r="M101" s="48"/>
    </row>
    <row r="102" spans="1:13" s="47" customFormat="1" ht="19.5" customHeight="1">
      <c r="A102" s="88"/>
      <c r="B102" s="28"/>
      <c r="C102" s="67"/>
      <c r="D102" s="2"/>
      <c r="E102" s="2"/>
      <c r="F102" s="2"/>
      <c r="G102" s="120"/>
      <c r="I102" s="116"/>
      <c r="J102" s="48"/>
      <c r="K102" s="117"/>
      <c r="L102" s="48"/>
      <c r="M102" s="48"/>
    </row>
    <row r="103" spans="1:13" s="47" customFormat="1" ht="19.5" customHeight="1">
      <c r="A103" s="88" t="s">
        <v>310</v>
      </c>
      <c r="B103" s="28"/>
      <c r="C103" s="67"/>
      <c r="D103" s="2"/>
      <c r="E103" s="2"/>
      <c r="F103" s="2"/>
      <c r="G103" s="120"/>
      <c r="I103" s="116"/>
      <c r="J103" s="48"/>
      <c r="K103" s="117"/>
      <c r="L103" s="48"/>
      <c r="M103" s="48"/>
    </row>
    <row r="104" spans="1:13" s="47" customFormat="1" ht="19.5" customHeight="1">
      <c r="A104" s="88"/>
      <c r="B104" s="28"/>
      <c r="C104" s="67"/>
      <c r="D104" s="2"/>
      <c r="E104" s="2"/>
      <c r="F104" s="2"/>
      <c r="G104" s="120"/>
      <c r="I104" s="116"/>
      <c r="J104" s="48"/>
      <c r="K104" s="117"/>
      <c r="L104" s="48"/>
      <c r="M104" s="48"/>
    </row>
    <row r="105" spans="1:13" s="47" customFormat="1" ht="19.5" customHeight="1">
      <c r="A105" s="28" t="s">
        <v>152</v>
      </c>
      <c r="B105" s="28"/>
      <c r="C105" s="67"/>
      <c r="D105" s="2"/>
      <c r="E105" s="2"/>
      <c r="F105" s="2"/>
      <c r="G105" s="120">
        <f>G107</f>
        <v>92060.08</v>
      </c>
      <c r="I105" s="116"/>
      <c r="J105" s="48"/>
      <c r="K105" s="117"/>
      <c r="L105" s="48"/>
      <c r="M105" s="48"/>
    </row>
    <row r="106" spans="1:13" s="47" customFormat="1" ht="19.5" customHeight="1">
      <c r="A106" s="28" t="s">
        <v>275</v>
      </c>
      <c r="B106" s="28"/>
      <c r="C106" s="67"/>
      <c r="D106" s="2"/>
      <c r="E106" s="2"/>
      <c r="F106" s="2"/>
      <c r="G106" s="120"/>
      <c r="I106" s="116"/>
      <c r="J106" s="48"/>
      <c r="K106" s="117"/>
      <c r="L106" s="48"/>
      <c r="M106" s="48"/>
    </row>
    <row r="107" spans="1:13" s="47" customFormat="1" ht="19.5" customHeight="1">
      <c r="A107" s="28" t="s">
        <v>154</v>
      </c>
      <c r="B107" s="28"/>
      <c r="C107" s="67"/>
      <c r="D107" s="2"/>
      <c r="E107" s="2"/>
      <c r="F107" s="2"/>
      <c r="G107" s="953">
        <v>92060.08</v>
      </c>
      <c r="I107" s="116"/>
      <c r="J107" s="48"/>
      <c r="K107" s="117"/>
      <c r="L107" s="48"/>
      <c r="M107" s="48"/>
    </row>
    <row r="108" spans="1:13" s="47" customFormat="1" ht="19.5" customHeight="1">
      <c r="A108" s="28"/>
      <c r="B108" s="28"/>
      <c r="C108" s="67"/>
      <c r="D108" s="2"/>
      <c r="E108" s="2"/>
      <c r="F108" s="2"/>
      <c r="G108" s="120"/>
      <c r="I108" s="116"/>
      <c r="J108" s="48"/>
      <c r="K108" s="117"/>
      <c r="L108" s="48"/>
      <c r="M108" s="48"/>
    </row>
    <row r="109" spans="1:13" s="47" customFormat="1" ht="19.5" customHeight="1">
      <c r="A109" s="28"/>
      <c r="B109" s="28"/>
      <c r="C109" s="67"/>
      <c r="D109" s="2"/>
      <c r="E109" s="2"/>
      <c r="F109" s="2"/>
      <c r="G109" s="120"/>
      <c r="I109" s="116"/>
      <c r="J109" s="48"/>
      <c r="K109" s="117"/>
      <c r="L109" s="48"/>
      <c r="M109" s="48"/>
    </row>
    <row r="110" spans="1:13" s="47" customFormat="1" ht="19.5" customHeight="1">
      <c r="A110" s="28" t="s">
        <v>127</v>
      </c>
      <c r="B110" s="28"/>
      <c r="C110" s="67"/>
      <c r="D110" s="2"/>
      <c r="E110" s="2"/>
      <c r="F110" s="2"/>
      <c r="G110" s="120">
        <f>G112</f>
        <v>92060.08</v>
      </c>
      <c r="I110" s="116"/>
      <c r="J110" s="48"/>
      <c r="K110" s="117"/>
      <c r="L110" s="48"/>
      <c r="M110" s="48"/>
    </row>
    <row r="111" spans="1:13" s="47" customFormat="1" ht="19.5" customHeight="1">
      <c r="A111" s="28" t="s">
        <v>275</v>
      </c>
      <c r="B111" s="28"/>
      <c r="C111" s="67"/>
      <c r="D111" s="2"/>
      <c r="E111" s="2"/>
      <c r="F111" s="2"/>
      <c r="G111" s="120"/>
      <c r="I111" s="116"/>
      <c r="J111" s="48"/>
      <c r="K111" s="117"/>
      <c r="L111" s="48"/>
      <c r="M111" s="48"/>
    </row>
    <row r="112" spans="1:13" s="47" customFormat="1" ht="19.5" customHeight="1">
      <c r="A112" s="28" t="s">
        <v>153</v>
      </c>
      <c r="B112" s="28"/>
      <c r="C112" s="67"/>
      <c r="D112" s="2"/>
      <c r="E112" s="2"/>
      <c r="F112" s="2"/>
      <c r="G112" s="953">
        <v>92060.08</v>
      </c>
      <c r="I112" s="116"/>
      <c r="J112" s="48"/>
      <c r="K112" s="117"/>
      <c r="L112" s="48"/>
      <c r="M112" s="48"/>
    </row>
    <row r="113" spans="1:13" s="47" customFormat="1" ht="19.5" customHeight="1">
      <c r="A113" s="118"/>
      <c r="B113" s="119"/>
      <c r="C113" s="119"/>
      <c r="D113" s="120"/>
      <c r="E113" s="120"/>
      <c r="F113" s="120"/>
      <c r="G113" s="120"/>
      <c r="I113" s="116"/>
      <c r="J113" s="48"/>
      <c r="K113" s="117"/>
      <c r="L113" s="48"/>
      <c r="M113" s="48"/>
    </row>
    <row r="114" spans="1:13" s="47" customFormat="1" ht="19.5" customHeight="1">
      <c r="A114" s="118"/>
      <c r="B114" s="119"/>
      <c r="C114" s="119"/>
      <c r="D114" s="120"/>
      <c r="E114" s="120"/>
      <c r="F114" s="120"/>
      <c r="G114" s="120"/>
      <c r="I114" s="116"/>
      <c r="J114" s="48"/>
      <c r="K114" s="117"/>
      <c r="L114" s="48"/>
      <c r="M114" s="48"/>
    </row>
    <row r="115" spans="1:13" s="28" customFormat="1" ht="15.75">
      <c r="A115" s="70" t="s">
        <v>155</v>
      </c>
      <c r="B115" s="129"/>
      <c r="C115" s="130"/>
      <c r="H115" s="1"/>
      <c r="I115" s="71"/>
      <c r="J115" s="32"/>
      <c r="K115" s="81"/>
      <c r="L115" s="32"/>
      <c r="M115" s="32"/>
    </row>
    <row r="116" spans="1:23" ht="15.75">
      <c r="A116" s="128"/>
      <c r="B116" s="128"/>
      <c r="C116" s="128"/>
      <c r="D116" s="28"/>
      <c r="E116" s="28"/>
      <c r="F116" s="28"/>
      <c r="G116" s="28"/>
      <c r="H116" s="1"/>
      <c r="I116" s="131"/>
      <c r="J116" s="37"/>
      <c r="K116" s="132"/>
      <c r="L116" s="36"/>
      <c r="M116" s="36"/>
      <c r="N116" s="16"/>
      <c r="O116" s="16"/>
      <c r="P116" s="16"/>
      <c r="Q116" s="133"/>
      <c r="R116" s="133"/>
      <c r="S116" s="133"/>
      <c r="T116" s="133"/>
      <c r="U116" s="133"/>
      <c r="V116" s="133"/>
      <c r="W116" s="133"/>
    </row>
    <row r="117" spans="1:23" ht="18.75">
      <c r="A117" s="70"/>
      <c r="B117" s="129"/>
      <c r="C117" s="130"/>
      <c r="D117" s="16"/>
      <c r="E117" s="16"/>
      <c r="F117" s="16"/>
      <c r="G117" s="16"/>
      <c r="H117" s="17"/>
      <c r="I117" s="134"/>
      <c r="J117" s="135"/>
      <c r="K117" s="132"/>
      <c r="L117" s="36"/>
      <c r="M117" s="36"/>
      <c r="N117" s="16"/>
      <c r="O117" s="16"/>
      <c r="P117" s="16"/>
      <c r="Q117" s="133"/>
      <c r="R117" s="133"/>
      <c r="S117" s="133"/>
      <c r="T117" s="133"/>
      <c r="U117" s="133"/>
      <c r="V117" s="133"/>
      <c r="W117" s="133"/>
    </row>
    <row r="118" spans="1:23" ht="15.75">
      <c r="A118" s="70"/>
      <c r="B118" s="136" t="s">
        <v>302</v>
      </c>
      <c r="C118" s="137"/>
      <c r="D118" s="16"/>
      <c r="E118" s="16"/>
      <c r="F118" s="16"/>
      <c r="G118" s="16"/>
      <c r="H118" s="138">
        <f>H121+H142</f>
        <v>402177488.25</v>
      </c>
      <c r="I118" s="134"/>
      <c r="J118" s="135"/>
      <c r="K118" s="132"/>
      <c r="L118" s="36"/>
      <c r="M118" s="36"/>
      <c r="N118" s="16"/>
      <c r="O118" s="16"/>
      <c r="P118" s="16"/>
      <c r="Q118" s="133"/>
      <c r="R118" s="133"/>
      <c r="S118" s="133"/>
      <c r="T118" s="133"/>
      <c r="U118" s="133"/>
      <c r="V118" s="133"/>
      <c r="W118" s="133"/>
    </row>
    <row r="119" spans="1:23" ht="15.75">
      <c r="A119" s="70"/>
      <c r="B119" s="136" t="s">
        <v>299</v>
      </c>
      <c r="C119" s="137"/>
      <c r="D119" s="16"/>
      <c r="E119" s="16"/>
      <c r="F119" s="16"/>
      <c r="G119" s="16"/>
      <c r="H119" s="138">
        <f>H122+H143</f>
        <v>405946074.85999995</v>
      </c>
      <c r="I119" s="139"/>
      <c r="J119" s="135"/>
      <c r="K119" s="132"/>
      <c r="L119" s="36"/>
      <c r="M119" s="36"/>
      <c r="N119" s="16"/>
      <c r="O119" s="16"/>
      <c r="P119" s="16"/>
      <c r="Q119" s="133"/>
      <c r="R119" s="133"/>
      <c r="S119" s="133"/>
      <c r="T119" s="133"/>
      <c r="U119" s="133"/>
      <c r="V119" s="133"/>
      <c r="W119" s="133"/>
    </row>
    <row r="120" spans="1:23" ht="15.75">
      <c r="A120" s="70"/>
      <c r="B120" s="140" t="s">
        <v>297</v>
      </c>
      <c r="C120" s="130"/>
      <c r="D120" s="16"/>
      <c r="E120" s="16"/>
      <c r="F120" s="16"/>
      <c r="G120" s="16"/>
      <c r="H120" s="138"/>
      <c r="I120" s="139"/>
      <c r="J120" s="135"/>
      <c r="K120" s="132"/>
      <c r="L120" s="36"/>
      <c r="M120" s="36"/>
      <c r="N120" s="16"/>
      <c r="O120" s="16"/>
      <c r="P120" s="16"/>
      <c r="Q120" s="133"/>
      <c r="R120" s="133"/>
      <c r="S120" s="133"/>
      <c r="T120" s="133"/>
      <c r="U120" s="133"/>
      <c r="V120" s="133"/>
      <c r="W120" s="133"/>
    </row>
    <row r="121" spans="1:23" ht="15.75">
      <c r="A121" s="142" t="s">
        <v>303</v>
      </c>
      <c r="B121" s="142"/>
      <c r="C121" s="142"/>
      <c r="D121" s="91"/>
      <c r="E121" s="87"/>
      <c r="F121" s="87"/>
      <c r="G121" s="16"/>
      <c r="H121" s="138">
        <f>H124+H133</f>
        <v>277965783.36</v>
      </c>
      <c r="I121" s="139"/>
      <c r="J121" s="135"/>
      <c r="K121" s="132"/>
      <c r="L121" s="36"/>
      <c r="M121" s="36"/>
      <c r="N121" s="16"/>
      <c r="O121" s="16"/>
      <c r="P121" s="16"/>
      <c r="Q121" s="133"/>
      <c r="R121" s="133"/>
      <c r="S121" s="133"/>
      <c r="T121" s="133"/>
      <c r="U121" s="133"/>
      <c r="V121" s="133"/>
      <c r="W121" s="133"/>
    </row>
    <row r="122" spans="1:23" ht="15.75">
      <c r="A122" s="142"/>
      <c r="B122" s="143" t="s">
        <v>299</v>
      </c>
      <c r="C122" s="142"/>
      <c r="D122" s="91"/>
      <c r="E122" s="87"/>
      <c r="F122" s="87"/>
      <c r="G122" s="16"/>
      <c r="H122" s="138">
        <f>H125+H134</f>
        <v>278343068.28</v>
      </c>
      <c r="I122" s="139"/>
      <c r="J122" s="135"/>
      <c r="K122" s="132"/>
      <c r="L122" s="36"/>
      <c r="M122" s="36"/>
      <c r="N122" s="16"/>
      <c r="O122" s="16"/>
      <c r="P122" s="16"/>
      <c r="Q122" s="133"/>
      <c r="R122" s="133"/>
      <c r="S122" s="133"/>
      <c r="T122" s="133"/>
      <c r="U122" s="133"/>
      <c r="V122" s="133"/>
      <c r="W122" s="133"/>
    </row>
    <row r="123" spans="1:23" ht="15.75">
      <c r="A123" s="86" t="s">
        <v>276</v>
      </c>
      <c r="B123" s="86" t="s">
        <v>304</v>
      </c>
      <c r="C123" s="86"/>
      <c r="D123" s="87"/>
      <c r="E123" s="87"/>
      <c r="F123" s="87"/>
      <c r="G123" s="16"/>
      <c r="H123" s="138"/>
      <c r="I123" s="139"/>
      <c r="J123" s="135"/>
      <c r="K123" s="132"/>
      <c r="L123" s="36"/>
      <c r="M123" s="36"/>
      <c r="N123" s="16"/>
      <c r="O123" s="16"/>
      <c r="P123" s="16"/>
      <c r="Q123" s="133"/>
      <c r="R123" s="133"/>
      <c r="S123" s="133"/>
      <c r="T123" s="133"/>
      <c r="U123" s="133"/>
      <c r="V123" s="133"/>
      <c r="W123" s="133"/>
    </row>
    <row r="124" spans="1:23" ht="15.75">
      <c r="A124" s="145" t="s">
        <v>305</v>
      </c>
      <c r="B124" s="145"/>
      <c r="C124" s="145"/>
      <c r="D124" s="146"/>
      <c r="E124" s="87"/>
      <c r="F124" s="87"/>
      <c r="G124" s="16"/>
      <c r="H124" s="138">
        <v>248618786.28</v>
      </c>
      <c r="I124" s="139"/>
      <c r="J124" s="135"/>
      <c r="K124" s="132"/>
      <c r="L124" s="36"/>
      <c r="M124" s="36"/>
      <c r="N124" s="16"/>
      <c r="O124" s="16"/>
      <c r="P124" s="16"/>
      <c r="Q124" s="133"/>
      <c r="R124" s="133"/>
      <c r="S124" s="133"/>
      <c r="T124" s="133"/>
      <c r="U124" s="133"/>
      <c r="V124" s="133"/>
      <c r="W124" s="133"/>
    </row>
    <row r="125" spans="1:23" ht="15.75">
      <c r="A125" s="145"/>
      <c r="B125" s="147" t="s">
        <v>299</v>
      </c>
      <c r="C125" s="145"/>
      <c r="D125" s="146"/>
      <c r="E125" s="91"/>
      <c r="F125" s="146"/>
      <c r="G125" s="16"/>
      <c r="H125" s="138">
        <f>H124-D219+D193+F219-F218-F211-F190-F170-F165-F164</f>
        <v>248563071.2</v>
      </c>
      <c r="I125" s="139"/>
      <c r="J125" s="135"/>
      <c r="K125" s="132"/>
      <c r="L125" s="36"/>
      <c r="M125" s="36"/>
      <c r="N125" s="16"/>
      <c r="O125" s="16"/>
      <c r="P125" s="16"/>
      <c r="Q125" s="133"/>
      <c r="R125" s="133"/>
      <c r="S125" s="133"/>
      <c r="T125" s="133"/>
      <c r="U125" s="133"/>
      <c r="V125" s="133"/>
      <c r="W125" s="133"/>
    </row>
    <row r="126" spans="1:23" ht="15.75">
      <c r="A126" s="145"/>
      <c r="B126" s="651" t="s">
        <v>275</v>
      </c>
      <c r="C126" s="145"/>
      <c r="D126" s="146"/>
      <c r="E126" s="91"/>
      <c r="F126" s="146"/>
      <c r="G126" s="16"/>
      <c r="H126" s="138"/>
      <c r="I126" s="139"/>
      <c r="J126" s="135"/>
      <c r="K126" s="132"/>
      <c r="L126" s="36"/>
      <c r="M126" s="36"/>
      <c r="N126" s="16"/>
      <c r="O126" s="16"/>
      <c r="P126" s="16"/>
      <c r="Q126" s="133"/>
      <c r="R126" s="133"/>
      <c r="S126" s="133"/>
      <c r="T126" s="133"/>
      <c r="U126" s="133"/>
      <c r="V126" s="133"/>
      <c r="W126" s="133"/>
    </row>
    <row r="127" spans="1:23" ht="15.75">
      <c r="A127" s="83"/>
      <c r="B127" s="652" t="s">
        <v>234</v>
      </c>
      <c r="C127" s="76"/>
      <c r="D127" s="26"/>
      <c r="E127" s="91"/>
      <c r="F127" s="146"/>
      <c r="G127" s="16"/>
      <c r="H127" s="138"/>
      <c r="I127" s="139"/>
      <c r="J127" s="135"/>
      <c r="K127" s="132"/>
      <c r="L127" s="36"/>
      <c r="M127" s="36"/>
      <c r="N127" s="16"/>
      <c r="O127" s="16"/>
      <c r="P127" s="16"/>
      <c r="Q127" s="133"/>
      <c r="R127" s="133"/>
      <c r="S127" s="133"/>
      <c r="T127" s="133"/>
      <c r="U127" s="133"/>
      <c r="V127" s="133"/>
      <c r="W127" s="133"/>
    </row>
    <row r="128" spans="1:23" ht="15.75">
      <c r="A128" s="83"/>
      <c r="B128" s="84" t="s">
        <v>243</v>
      </c>
      <c r="C128" s="76"/>
      <c r="D128" s="26"/>
      <c r="E128" s="91"/>
      <c r="F128" s="146"/>
      <c r="G128" s="16"/>
      <c r="H128" s="138"/>
      <c r="I128" s="139"/>
      <c r="J128" s="135"/>
      <c r="K128" s="132"/>
      <c r="L128" s="36"/>
      <c r="M128" s="36"/>
      <c r="N128" s="16"/>
      <c r="O128" s="16"/>
      <c r="P128" s="16"/>
      <c r="Q128" s="133"/>
      <c r="R128" s="133"/>
      <c r="S128" s="133"/>
      <c r="T128" s="133"/>
      <c r="U128" s="133"/>
      <c r="V128" s="133"/>
      <c r="W128" s="133"/>
    </row>
    <row r="129" spans="1:23" ht="15.75">
      <c r="A129" s="83"/>
      <c r="B129" s="84" t="s">
        <v>244</v>
      </c>
      <c r="C129" s="76"/>
      <c r="D129" s="26"/>
      <c r="E129" s="91"/>
      <c r="F129" s="146"/>
      <c r="G129" s="16"/>
      <c r="H129" s="141">
        <v>6872772.14</v>
      </c>
      <c r="I129" s="139"/>
      <c r="J129" s="135"/>
      <c r="K129" s="132"/>
      <c r="L129" s="36"/>
      <c r="M129" s="36"/>
      <c r="N129" s="16"/>
      <c r="O129" s="16"/>
      <c r="P129" s="16"/>
      <c r="Q129" s="133"/>
      <c r="R129" s="133"/>
      <c r="S129" s="133"/>
      <c r="T129" s="133"/>
      <c r="U129" s="133"/>
      <c r="V129" s="133"/>
      <c r="W129" s="133"/>
    </row>
    <row r="130" spans="1:23" ht="15.75">
      <c r="A130" s="83"/>
      <c r="B130" s="84" t="s">
        <v>299</v>
      </c>
      <c r="C130" s="76"/>
      <c r="D130" s="26"/>
      <c r="E130" s="91"/>
      <c r="F130" s="146"/>
      <c r="G130" s="16"/>
      <c r="H130" s="141">
        <f>H129-D209</f>
        <v>6838272.14</v>
      </c>
      <c r="I130" s="134"/>
      <c r="J130" s="135"/>
      <c r="K130" s="132"/>
      <c r="L130" s="36"/>
      <c r="M130" s="36"/>
      <c r="N130" s="16"/>
      <c r="O130" s="16"/>
      <c r="P130" s="16"/>
      <c r="Q130" s="133"/>
      <c r="R130" s="133"/>
      <c r="S130" s="133"/>
      <c r="T130" s="133"/>
      <c r="U130" s="133"/>
      <c r="V130" s="133"/>
      <c r="W130" s="133"/>
    </row>
    <row r="131" spans="1:23" ht="15.75">
      <c r="A131" s="83"/>
      <c r="B131" s="84"/>
      <c r="C131" s="76"/>
      <c r="D131" s="26"/>
      <c r="E131" s="91"/>
      <c r="F131" s="146"/>
      <c r="G131" s="16"/>
      <c r="H131" s="141"/>
      <c r="I131" s="134"/>
      <c r="J131" s="135"/>
      <c r="K131" s="132"/>
      <c r="L131" s="36"/>
      <c r="M131" s="36"/>
      <c r="N131" s="16"/>
      <c r="O131" s="16"/>
      <c r="P131" s="16"/>
      <c r="Q131" s="133"/>
      <c r="R131" s="133"/>
      <c r="S131" s="133"/>
      <c r="T131" s="133"/>
      <c r="U131" s="133"/>
      <c r="V131" s="133"/>
      <c r="W131" s="133"/>
    </row>
    <row r="132" spans="1:23" ht="15.75">
      <c r="A132" s="145"/>
      <c r="B132" s="147"/>
      <c r="C132" s="145"/>
      <c r="D132" s="146"/>
      <c r="E132" s="91"/>
      <c r="F132" s="146"/>
      <c r="G132" s="16"/>
      <c r="H132" s="138"/>
      <c r="I132" s="134"/>
      <c r="J132" s="135"/>
      <c r="K132" s="132"/>
      <c r="L132" s="36"/>
      <c r="M132" s="36"/>
      <c r="N132" s="16"/>
      <c r="O132" s="16"/>
      <c r="P132" s="16"/>
      <c r="Q132" s="133"/>
      <c r="R132" s="133"/>
      <c r="S132" s="133"/>
      <c r="T132" s="133"/>
      <c r="U132" s="133"/>
      <c r="V132" s="133"/>
      <c r="W132" s="133"/>
    </row>
    <row r="133" spans="1:23" ht="15.75">
      <c r="A133" s="145" t="s">
        <v>306</v>
      </c>
      <c r="B133" s="145"/>
      <c r="C133" s="142"/>
      <c r="D133" s="146"/>
      <c r="E133" s="91"/>
      <c r="F133" s="146"/>
      <c r="G133" s="16"/>
      <c r="H133" s="138">
        <v>29346997.08</v>
      </c>
      <c r="I133" s="134"/>
      <c r="J133" s="135"/>
      <c r="K133" s="132"/>
      <c r="L133" s="36"/>
      <c r="M133" s="36"/>
      <c r="N133" s="16"/>
      <c r="O133" s="16"/>
      <c r="P133" s="16"/>
      <c r="Q133" s="133"/>
      <c r="R133" s="133"/>
      <c r="S133" s="133"/>
      <c r="T133" s="133"/>
      <c r="U133" s="133"/>
      <c r="V133" s="133"/>
      <c r="W133" s="133"/>
    </row>
    <row r="134" spans="1:23" ht="15.75">
      <c r="A134" s="145"/>
      <c r="B134" s="147" t="s">
        <v>299</v>
      </c>
      <c r="C134" s="142"/>
      <c r="D134" s="146"/>
      <c r="E134" s="91"/>
      <c r="F134" s="146"/>
      <c r="G134" s="16"/>
      <c r="H134" s="138">
        <f>H133-D193+F164+F165+F170+F190+F211+F218</f>
        <v>29779997.08</v>
      </c>
      <c r="I134" s="139"/>
      <c r="J134" s="135"/>
      <c r="K134" s="132"/>
      <c r="L134" s="36"/>
      <c r="M134" s="36"/>
      <c r="N134" s="16"/>
      <c r="O134" s="16"/>
      <c r="P134" s="16"/>
      <c r="Q134" s="133"/>
      <c r="R134" s="133"/>
      <c r="S134" s="133"/>
      <c r="T134" s="133"/>
      <c r="U134" s="133"/>
      <c r="V134" s="133"/>
      <c r="W134" s="133"/>
    </row>
    <row r="135" spans="1:23" ht="15.75">
      <c r="A135" s="145"/>
      <c r="B135" s="651" t="s">
        <v>275</v>
      </c>
      <c r="C135" s="145"/>
      <c r="D135" s="146"/>
      <c r="E135" s="91"/>
      <c r="F135" s="146"/>
      <c r="G135" s="16"/>
      <c r="H135" s="138"/>
      <c r="I135" s="139"/>
      <c r="J135" s="135"/>
      <c r="K135" s="132"/>
      <c r="L135" s="36"/>
      <c r="M135" s="36"/>
      <c r="N135" s="16"/>
      <c r="O135" s="16"/>
      <c r="P135" s="16"/>
      <c r="Q135" s="133"/>
      <c r="R135" s="133"/>
      <c r="S135" s="133"/>
      <c r="T135" s="133"/>
      <c r="U135" s="133"/>
      <c r="V135" s="133"/>
      <c r="W135" s="133"/>
    </row>
    <row r="136" spans="1:23" ht="15.75">
      <c r="A136" s="83"/>
      <c r="B136" s="652" t="s">
        <v>234</v>
      </c>
      <c r="C136" s="76"/>
      <c r="D136" s="26"/>
      <c r="E136" s="91"/>
      <c r="F136" s="146"/>
      <c r="G136" s="16"/>
      <c r="H136" s="138"/>
      <c r="I136" s="139"/>
      <c r="J136" s="135"/>
      <c r="K136" s="132"/>
      <c r="L136" s="36"/>
      <c r="M136" s="36"/>
      <c r="N136" s="16"/>
      <c r="O136" s="16"/>
      <c r="P136" s="16"/>
      <c r="Q136" s="133"/>
      <c r="R136" s="133"/>
      <c r="S136" s="133"/>
      <c r="T136" s="133"/>
      <c r="U136" s="133"/>
      <c r="V136" s="133"/>
      <c r="W136" s="133"/>
    </row>
    <row r="137" spans="1:23" ht="15.75">
      <c r="A137" s="83"/>
      <c r="B137" s="84" t="s">
        <v>243</v>
      </c>
      <c r="C137" s="76"/>
      <c r="D137" s="26"/>
      <c r="E137" s="91"/>
      <c r="F137" s="146"/>
      <c r="G137" s="16"/>
      <c r="H137" s="138"/>
      <c r="I137" s="139"/>
      <c r="J137" s="135"/>
      <c r="K137" s="132"/>
      <c r="L137" s="36"/>
      <c r="M137" s="36"/>
      <c r="N137" s="16"/>
      <c r="O137" s="16"/>
      <c r="P137" s="16"/>
      <c r="Q137" s="133"/>
      <c r="R137" s="133"/>
      <c r="S137" s="133"/>
      <c r="T137" s="133"/>
      <c r="U137" s="133"/>
      <c r="V137" s="133"/>
      <c r="W137" s="133"/>
    </row>
    <row r="138" spans="1:23" ht="15.75">
      <c r="A138" s="83"/>
      <c r="B138" s="84" t="s">
        <v>244</v>
      </c>
      <c r="C138" s="76"/>
      <c r="D138" s="26"/>
      <c r="E138" s="91"/>
      <c r="F138" s="146"/>
      <c r="G138" s="16"/>
      <c r="H138" s="141">
        <v>2781460</v>
      </c>
      <c r="I138" s="139"/>
      <c r="J138" s="135"/>
      <c r="K138" s="132"/>
      <c r="L138" s="36"/>
      <c r="M138" s="36"/>
      <c r="N138" s="16"/>
      <c r="O138" s="16"/>
      <c r="P138" s="16"/>
      <c r="Q138" s="133"/>
      <c r="R138" s="133"/>
      <c r="S138" s="133"/>
      <c r="T138" s="133"/>
      <c r="U138" s="133"/>
      <c r="V138" s="133"/>
      <c r="W138" s="133"/>
    </row>
    <row r="139" spans="1:23" ht="15.75">
      <c r="A139" s="83"/>
      <c r="B139" s="84" t="s">
        <v>299</v>
      </c>
      <c r="C139" s="76"/>
      <c r="D139" s="26"/>
      <c r="E139" s="91"/>
      <c r="F139" s="146"/>
      <c r="G139" s="16"/>
      <c r="H139" s="141">
        <f>H138+F211</f>
        <v>2815960</v>
      </c>
      <c r="I139" s="139"/>
      <c r="J139" s="135"/>
      <c r="K139" s="132"/>
      <c r="L139" s="36"/>
      <c r="M139" s="36"/>
      <c r="N139" s="16"/>
      <c r="O139" s="16"/>
      <c r="P139" s="16"/>
      <c r="Q139" s="133"/>
      <c r="R139" s="133"/>
      <c r="S139" s="133"/>
      <c r="T139" s="133"/>
      <c r="U139" s="133"/>
      <c r="V139" s="133"/>
      <c r="W139" s="133"/>
    </row>
    <row r="140" spans="1:23" ht="15.75">
      <c r="A140" s="83"/>
      <c r="B140" s="84"/>
      <c r="C140" s="76"/>
      <c r="D140" s="26"/>
      <c r="E140" s="91"/>
      <c r="F140" s="146"/>
      <c r="G140" s="16"/>
      <c r="H140" s="141"/>
      <c r="I140" s="139"/>
      <c r="J140" s="135"/>
      <c r="K140" s="132"/>
      <c r="L140" s="36"/>
      <c r="M140" s="36"/>
      <c r="N140" s="16"/>
      <c r="O140" s="16"/>
      <c r="P140" s="16"/>
      <c r="Q140" s="133"/>
      <c r="R140" s="133"/>
      <c r="S140" s="133"/>
      <c r="T140" s="133"/>
      <c r="U140" s="133"/>
      <c r="V140" s="133"/>
      <c r="W140" s="133"/>
    </row>
    <row r="141" spans="1:23" ht="15.75">
      <c r="A141" s="145"/>
      <c r="B141" s="147"/>
      <c r="C141" s="142"/>
      <c r="D141" s="146"/>
      <c r="E141" s="91"/>
      <c r="F141" s="146"/>
      <c r="G141" s="16"/>
      <c r="H141" s="138"/>
      <c r="I141" s="139"/>
      <c r="J141" s="37"/>
      <c r="K141" s="132"/>
      <c r="L141" s="36"/>
      <c r="M141" s="36"/>
      <c r="N141" s="16"/>
      <c r="O141" s="16"/>
      <c r="P141" s="16"/>
      <c r="Q141" s="133"/>
      <c r="R141" s="133"/>
      <c r="S141" s="133"/>
      <c r="T141" s="133"/>
      <c r="U141" s="133"/>
      <c r="V141" s="133"/>
      <c r="W141" s="133"/>
    </row>
    <row r="142" spans="1:23" ht="15.75">
      <c r="A142" s="142" t="s">
        <v>307</v>
      </c>
      <c r="B142" s="142"/>
      <c r="C142" s="142"/>
      <c r="D142" s="91"/>
      <c r="E142" s="91"/>
      <c r="F142" s="146"/>
      <c r="G142" s="16"/>
      <c r="H142" s="138">
        <f>H145+H149</f>
        <v>124211704.89</v>
      </c>
      <c r="I142" s="139"/>
      <c r="J142" s="37"/>
      <c r="K142" s="132"/>
      <c r="L142" s="36"/>
      <c r="M142" s="36"/>
      <c r="N142" s="16"/>
      <c r="O142" s="16"/>
      <c r="P142" s="16"/>
      <c r="Q142" s="133"/>
      <c r="R142" s="133"/>
      <c r="S142" s="133"/>
      <c r="T142" s="133"/>
      <c r="U142" s="133"/>
      <c r="V142" s="133"/>
      <c r="W142" s="133"/>
    </row>
    <row r="143" spans="1:11" ht="15.75">
      <c r="A143" s="142"/>
      <c r="B143" s="143" t="s">
        <v>299</v>
      </c>
      <c r="C143" s="142"/>
      <c r="D143" s="91"/>
      <c r="E143" s="91"/>
      <c r="F143" s="146"/>
      <c r="H143" s="77">
        <f>H146+H150</f>
        <v>127603006.58</v>
      </c>
      <c r="I143" s="71"/>
      <c r="J143" s="72"/>
      <c r="K143" s="73"/>
    </row>
    <row r="144" spans="1:12" ht="15.75">
      <c r="A144" s="86" t="s">
        <v>276</v>
      </c>
      <c r="B144" s="86" t="s">
        <v>304</v>
      </c>
      <c r="C144" s="86"/>
      <c r="D144" s="87"/>
      <c r="E144" s="91"/>
      <c r="F144" s="146"/>
      <c r="H144" s="77"/>
      <c r="I144" s="71"/>
      <c r="J144" s="72"/>
      <c r="K144" s="73"/>
      <c r="L144" s="73"/>
    </row>
    <row r="145" spans="1:23" ht="18.75">
      <c r="A145" s="145" t="s">
        <v>305</v>
      </c>
      <c r="B145" s="145"/>
      <c r="C145" s="145"/>
      <c r="D145" s="146"/>
      <c r="E145" s="91"/>
      <c r="F145" s="146"/>
      <c r="G145" s="16"/>
      <c r="H145" s="138">
        <v>113636852.89</v>
      </c>
      <c r="I145" s="17"/>
      <c r="J145" s="148"/>
      <c r="K145" s="132"/>
      <c r="L145" s="132"/>
      <c r="M145" s="36"/>
      <c r="N145" s="149"/>
      <c r="O145" s="16"/>
      <c r="P145" s="16"/>
      <c r="Q145" s="133"/>
      <c r="R145" s="133"/>
      <c r="S145" s="133"/>
      <c r="T145" s="133"/>
      <c r="U145" s="133"/>
      <c r="V145" s="133"/>
      <c r="W145" s="133"/>
    </row>
    <row r="146" spans="1:23" ht="15.75">
      <c r="A146" s="145"/>
      <c r="B146" s="147" t="s">
        <v>299</v>
      </c>
      <c r="C146" s="145"/>
      <c r="D146" s="146"/>
      <c r="E146" s="91"/>
      <c r="F146" s="146"/>
      <c r="G146" s="16"/>
      <c r="H146" s="138">
        <f>H145-D270+F270-F232</f>
        <v>113972052.89</v>
      </c>
      <c r="I146" s="139"/>
      <c r="J146" s="148"/>
      <c r="K146" s="132"/>
      <c r="L146" s="36"/>
      <c r="M146" s="36"/>
      <c r="N146" s="149"/>
      <c r="O146" s="16"/>
      <c r="P146" s="16"/>
      <c r="Q146" s="133"/>
      <c r="R146" s="133"/>
      <c r="S146" s="133"/>
      <c r="T146" s="133"/>
      <c r="U146" s="133"/>
      <c r="V146" s="133"/>
      <c r="W146" s="133"/>
    </row>
    <row r="147" spans="1:23" ht="15.75">
      <c r="A147" s="145"/>
      <c r="B147" s="147"/>
      <c r="C147" s="145"/>
      <c r="D147" s="146"/>
      <c r="E147" s="91"/>
      <c r="F147" s="146"/>
      <c r="G147" s="16"/>
      <c r="H147" s="138"/>
      <c r="I147" s="139"/>
      <c r="J147" s="148"/>
      <c r="K147" s="132"/>
      <c r="L147" s="36"/>
      <c r="M147" s="36"/>
      <c r="N147" s="149"/>
      <c r="O147" s="16"/>
      <c r="P147" s="16"/>
      <c r="Q147" s="133"/>
      <c r="R147" s="133"/>
      <c r="S147" s="133"/>
      <c r="T147" s="133"/>
      <c r="U147" s="133"/>
      <c r="V147" s="133"/>
      <c r="W147" s="133"/>
    </row>
    <row r="148" spans="1:23" ht="15.75">
      <c r="A148" s="145"/>
      <c r="B148" s="84"/>
      <c r="C148" s="76"/>
      <c r="D148" s="26"/>
      <c r="E148" s="91"/>
      <c r="F148" s="146"/>
      <c r="G148" s="16"/>
      <c r="H148" s="138"/>
      <c r="I148" s="139"/>
      <c r="J148" s="37"/>
      <c r="K148" s="132"/>
      <c r="L148" s="36"/>
      <c r="M148" s="36"/>
      <c r="N148" s="16"/>
      <c r="O148" s="16"/>
      <c r="P148" s="16"/>
      <c r="Q148" s="133"/>
      <c r="R148" s="133"/>
      <c r="S148" s="133"/>
      <c r="T148" s="133"/>
      <c r="U148" s="133"/>
      <c r="V148" s="133"/>
      <c r="W148" s="133"/>
    </row>
    <row r="149" spans="1:23" ht="15.75">
      <c r="A149" s="145" t="s">
        <v>306</v>
      </c>
      <c r="B149" s="145"/>
      <c r="C149" s="142"/>
      <c r="D149" s="146"/>
      <c r="E149" s="91"/>
      <c r="F149" s="146"/>
      <c r="G149" s="16"/>
      <c r="H149" s="138">
        <v>10574852</v>
      </c>
      <c r="I149" s="139"/>
      <c r="J149" s="37"/>
      <c r="K149" s="132"/>
      <c r="L149" s="36"/>
      <c r="M149" s="36"/>
      <c r="N149" s="16"/>
      <c r="O149" s="16"/>
      <c r="P149" s="16"/>
      <c r="Q149" s="133"/>
      <c r="R149" s="133"/>
      <c r="S149" s="133"/>
      <c r="T149" s="133"/>
      <c r="U149" s="133"/>
      <c r="V149" s="133"/>
      <c r="W149" s="133"/>
    </row>
    <row r="150" spans="1:23" ht="15.75">
      <c r="A150" s="145"/>
      <c r="B150" s="147" t="s">
        <v>299</v>
      </c>
      <c r="C150" s="142"/>
      <c r="D150" s="146"/>
      <c r="E150" s="91"/>
      <c r="F150" s="146"/>
      <c r="G150" s="16"/>
      <c r="H150" s="138">
        <f>H149+F232</f>
        <v>13630953.69</v>
      </c>
      <c r="I150" s="139"/>
      <c r="J150" s="148"/>
      <c r="K150" s="132"/>
      <c r="L150" s="36"/>
      <c r="M150" s="36"/>
      <c r="N150" s="16"/>
      <c r="O150" s="16"/>
      <c r="P150" s="16"/>
      <c r="Q150" s="133"/>
      <c r="R150" s="133"/>
      <c r="S150" s="133"/>
      <c r="T150" s="133"/>
      <c r="U150" s="133"/>
      <c r="V150" s="133"/>
      <c r="W150" s="133"/>
    </row>
    <row r="151" spans="1:23" ht="15.75">
      <c r="A151" s="15"/>
      <c r="B151" s="424"/>
      <c r="C151" s="423"/>
      <c r="D151" s="18"/>
      <c r="E151" s="91"/>
      <c r="F151" s="146"/>
      <c r="G151" s="16"/>
      <c r="H151" s="141"/>
      <c r="I151" s="139"/>
      <c r="J151" s="135"/>
      <c r="K151" s="132"/>
      <c r="L151" s="36"/>
      <c r="M151" s="36"/>
      <c r="N151" s="16"/>
      <c r="O151" s="16"/>
      <c r="P151" s="16"/>
      <c r="Q151" s="133"/>
      <c r="R151" s="133"/>
      <c r="S151" s="133"/>
      <c r="T151" s="133"/>
      <c r="U151" s="133"/>
      <c r="V151" s="133"/>
      <c r="W151" s="133"/>
    </row>
    <row r="152" spans="1:23" ht="15.75">
      <c r="A152" s="145"/>
      <c r="B152" s="84"/>
      <c r="C152" s="76"/>
      <c r="D152" s="26"/>
      <c r="E152" s="91"/>
      <c r="F152" s="146"/>
      <c r="G152" s="16"/>
      <c r="H152" s="138"/>
      <c r="I152" s="139"/>
      <c r="J152" s="135"/>
      <c r="K152" s="132"/>
      <c r="L152" s="36"/>
      <c r="M152" s="36"/>
      <c r="N152" s="16"/>
      <c r="O152" s="16"/>
      <c r="P152" s="16"/>
      <c r="Q152" s="133"/>
      <c r="R152" s="133"/>
      <c r="S152" s="133"/>
      <c r="T152" s="133"/>
      <c r="U152" s="133"/>
      <c r="V152" s="133"/>
      <c r="W152" s="133"/>
    </row>
    <row r="153" spans="1:23" ht="18.75">
      <c r="A153" s="142"/>
      <c r="B153" s="143"/>
      <c r="C153" s="142"/>
      <c r="D153" s="146"/>
      <c r="E153" s="91"/>
      <c r="F153" s="146"/>
      <c r="G153" s="16"/>
      <c r="H153" s="17"/>
      <c r="I153" s="139"/>
      <c r="J153" s="148"/>
      <c r="K153" s="132"/>
      <c r="L153" s="135"/>
      <c r="M153" s="150"/>
      <c r="N153" s="149"/>
      <c r="O153" s="149"/>
      <c r="P153" s="16"/>
      <c r="Q153" s="133"/>
      <c r="R153" s="133"/>
      <c r="S153" s="133"/>
      <c r="T153" s="133"/>
      <c r="U153" s="133"/>
      <c r="V153" s="133"/>
      <c r="W153" s="133"/>
    </row>
    <row r="154" spans="1:23" ht="18.75">
      <c r="A154" s="151" t="s">
        <v>287</v>
      </c>
      <c r="B154" s="152"/>
      <c r="C154" s="153"/>
      <c r="D154" s="18"/>
      <c r="E154" s="18"/>
      <c r="F154" s="18"/>
      <c r="G154" s="18"/>
      <c r="H154" s="21"/>
      <c r="I154" s="139"/>
      <c r="J154" s="135"/>
      <c r="K154" s="154"/>
      <c r="L154" s="38"/>
      <c r="M154" s="36"/>
      <c r="N154" s="149"/>
      <c r="O154" s="149"/>
      <c r="P154" s="16"/>
      <c r="Q154" s="16"/>
      <c r="R154" s="16"/>
      <c r="S154" s="16"/>
      <c r="T154" s="16"/>
      <c r="U154" s="16"/>
      <c r="V154" s="16"/>
      <c r="W154" s="16"/>
    </row>
    <row r="155" spans="1:23" ht="18.75">
      <c r="A155" s="151"/>
      <c r="B155" s="152"/>
      <c r="C155" s="153"/>
      <c r="D155" s="18"/>
      <c r="E155" s="18"/>
      <c r="F155" s="18"/>
      <c r="G155" s="18"/>
      <c r="H155" s="21"/>
      <c r="I155" s="139"/>
      <c r="J155" s="38"/>
      <c r="K155" s="154"/>
      <c r="L155" s="155"/>
      <c r="M155" s="36"/>
      <c r="N155" s="16"/>
      <c r="O155" s="16"/>
      <c r="P155" s="16"/>
      <c r="Q155" s="16"/>
      <c r="R155" s="16"/>
      <c r="S155" s="16"/>
      <c r="T155" s="16"/>
      <c r="U155" s="16"/>
      <c r="V155" s="16"/>
      <c r="W155" s="16"/>
    </row>
    <row r="156" spans="1:23" ht="18.75">
      <c r="A156" s="156" t="s">
        <v>666</v>
      </c>
      <c r="B156" s="156"/>
      <c r="C156" s="157"/>
      <c r="D156" s="19"/>
      <c r="E156" s="19"/>
      <c r="F156" s="19"/>
      <c r="G156" s="19"/>
      <c r="H156" s="17"/>
      <c r="I156" s="139"/>
      <c r="J156" s="37"/>
      <c r="K156" s="132"/>
      <c r="L156" s="158"/>
      <c r="M156" s="159"/>
      <c r="N156" s="16"/>
      <c r="O156" s="16"/>
      <c r="P156" s="16"/>
      <c r="Q156" s="16"/>
      <c r="R156" s="16"/>
      <c r="S156" s="16"/>
      <c r="T156" s="16"/>
      <c r="U156" s="16"/>
      <c r="V156" s="16"/>
      <c r="W156" s="16"/>
    </row>
    <row r="157" spans="1:23" ht="18.75">
      <c r="A157" s="156"/>
      <c r="B157" s="156"/>
      <c r="C157" s="157"/>
      <c r="D157" s="19"/>
      <c r="E157" s="19"/>
      <c r="F157" s="19"/>
      <c r="G157" s="19"/>
      <c r="H157" s="17"/>
      <c r="I157" s="139"/>
      <c r="J157" s="37"/>
      <c r="K157" s="132"/>
      <c r="L157" s="144"/>
      <c r="M157" s="132"/>
      <c r="N157" s="16"/>
      <c r="O157" s="16"/>
      <c r="P157" s="16"/>
      <c r="Q157" s="16"/>
      <c r="R157" s="16"/>
      <c r="S157" s="16"/>
      <c r="T157" s="16"/>
      <c r="U157" s="16"/>
      <c r="V157" s="16"/>
      <c r="W157" s="16"/>
    </row>
    <row r="158" spans="1:23" ht="18.75">
      <c r="A158" s="100"/>
      <c r="B158" s="100"/>
      <c r="C158" s="101"/>
      <c r="D158" s="10" t="s">
        <v>273</v>
      </c>
      <c r="E158" s="11"/>
      <c r="F158" s="10" t="s">
        <v>274</v>
      </c>
      <c r="G158" s="11"/>
      <c r="H158" s="17"/>
      <c r="I158" s="139"/>
      <c r="J158" s="37"/>
      <c r="K158" s="132"/>
      <c r="L158" s="36"/>
      <c r="M158" s="36"/>
      <c r="N158" s="16"/>
      <c r="O158" s="16"/>
      <c r="P158" s="16"/>
      <c r="Q158" s="16"/>
      <c r="R158" s="16"/>
      <c r="S158" s="16"/>
      <c r="T158" s="16"/>
      <c r="U158" s="16"/>
      <c r="V158" s="16"/>
      <c r="W158" s="16"/>
    </row>
    <row r="159" spans="1:23" ht="13.5" customHeight="1">
      <c r="A159" s="102"/>
      <c r="B159" s="102"/>
      <c r="C159" s="103"/>
      <c r="D159" s="12" t="s">
        <v>276</v>
      </c>
      <c r="E159" s="11" t="s">
        <v>275</v>
      </c>
      <c r="F159" s="12" t="s">
        <v>276</v>
      </c>
      <c r="G159" s="11" t="s">
        <v>275</v>
      </c>
      <c r="H159" s="17"/>
      <c r="I159" s="139"/>
      <c r="J159" s="37"/>
      <c r="K159" s="132"/>
      <c r="L159" s="36"/>
      <c r="M159" s="36"/>
      <c r="N159" s="16"/>
      <c r="O159" s="16"/>
      <c r="P159" s="16"/>
      <c r="Q159" s="16"/>
      <c r="R159" s="16"/>
      <c r="S159" s="16"/>
      <c r="T159" s="16"/>
      <c r="U159" s="16"/>
      <c r="V159" s="16"/>
      <c r="W159" s="16"/>
    </row>
    <row r="160" spans="1:23" ht="27.75" customHeight="1">
      <c r="A160" s="104" t="s">
        <v>278</v>
      </c>
      <c r="B160" s="104" t="s">
        <v>284</v>
      </c>
      <c r="C160" s="104" t="s">
        <v>279</v>
      </c>
      <c r="D160" s="13" t="s">
        <v>280</v>
      </c>
      <c r="E160" s="14" t="s">
        <v>281</v>
      </c>
      <c r="F160" s="13" t="s">
        <v>280</v>
      </c>
      <c r="G160" s="14" t="s">
        <v>281</v>
      </c>
      <c r="H160" s="17"/>
      <c r="I160" s="154"/>
      <c r="J160" s="37"/>
      <c r="K160" s="132"/>
      <c r="L160" s="36"/>
      <c r="M160" s="36"/>
      <c r="N160" s="16"/>
      <c r="O160" s="16"/>
      <c r="P160" s="16"/>
      <c r="Q160" s="16"/>
      <c r="R160" s="16"/>
      <c r="S160" s="16"/>
      <c r="T160" s="16"/>
      <c r="U160" s="16"/>
      <c r="V160" s="16"/>
      <c r="W160" s="16"/>
    </row>
    <row r="161" spans="1:23" s="29" customFormat="1" ht="19.5" customHeight="1">
      <c r="A161" s="108" t="s">
        <v>261</v>
      </c>
      <c r="B161" s="160"/>
      <c r="C161" s="105"/>
      <c r="D161" s="106">
        <f>D162+D165+D166</f>
        <v>92060.08</v>
      </c>
      <c r="E161" s="106"/>
      <c r="F161" s="106">
        <f>F162+F165+F166</f>
        <v>380000</v>
      </c>
      <c r="G161" s="106"/>
      <c r="H161" s="138"/>
      <c r="I161" s="135"/>
      <c r="J161" s="38"/>
      <c r="K161" s="135"/>
      <c r="L161" s="38"/>
      <c r="M161" s="38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</row>
    <row r="162" spans="1:23" s="28" customFormat="1" ht="19.5" customHeight="1">
      <c r="A162" s="412"/>
      <c r="B162" s="657" t="s">
        <v>114</v>
      </c>
      <c r="C162" s="210" t="s">
        <v>276</v>
      </c>
      <c r="D162" s="111">
        <f>SUM(D163:D164)</f>
        <v>92060.08</v>
      </c>
      <c r="E162" s="111"/>
      <c r="F162" s="111">
        <f>SUM(F163:F164)</f>
        <v>20000</v>
      </c>
      <c r="G162" s="111"/>
      <c r="H162" s="141"/>
      <c r="I162" s="148"/>
      <c r="J162" s="37"/>
      <c r="K162" s="148"/>
      <c r="L162" s="37"/>
      <c r="M162" s="37"/>
      <c r="N162" s="15"/>
      <c r="O162" s="15"/>
      <c r="P162" s="15"/>
      <c r="Q162" s="15"/>
      <c r="R162" s="15"/>
      <c r="S162" s="15"/>
      <c r="T162" s="15"/>
      <c r="U162" s="15"/>
      <c r="V162" s="15"/>
      <c r="W162" s="15"/>
    </row>
    <row r="163" spans="1:23" s="28" customFormat="1" ht="19.5" customHeight="1">
      <c r="A163" s="112"/>
      <c r="B163" s="412"/>
      <c r="C163" s="110" t="s">
        <v>123</v>
      </c>
      <c r="D163" s="111">
        <v>92060.08</v>
      </c>
      <c r="E163" s="111"/>
      <c r="F163" s="111"/>
      <c r="G163" s="111"/>
      <c r="H163" s="141"/>
      <c r="I163" s="148"/>
      <c r="J163" s="37"/>
      <c r="K163" s="148"/>
      <c r="L163" s="37"/>
      <c r="M163" s="37"/>
      <c r="N163" s="15"/>
      <c r="O163" s="15"/>
      <c r="P163" s="15"/>
      <c r="Q163" s="15"/>
      <c r="R163" s="15"/>
      <c r="S163" s="15"/>
      <c r="T163" s="15"/>
      <c r="U163" s="15"/>
      <c r="V163" s="15"/>
      <c r="W163" s="15"/>
    </row>
    <row r="164" spans="1:23" s="28" customFormat="1" ht="19.5" customHeight="1">
      <c r="A164" s="112"/>
      <c r="B164" s="126"/>
      <c r="C164" s="210" t="s">
        <v>256</v>
      </c>
      <c r="D164" s="111"/>
      <c r="E164" s="111"/>
      <c r="F164" s="111">
        <v>20000</v>
      </c>
      <c r="G164" s="111"/>
      <c r="H164" s="141"/>
      <c r="I164" s="148"/>
      <c r="J164" s="37"/>
      <c r="K164" s="148"/>
      <c r="L164" s="37"/>
      <c r="M164" s="37"/>
      <c r="N164" s="15"/>
      <c r="O164" s="15"/>
      <c r="P164" s="15"/>
      <c r="Q164" s="15"/>
      <c r="R164" s="15"/>
      <c r="S164" s="15"/>
      <c r="T164" s="15"/>
      <c r="U164" s="15"/>
      <c r="V164" s="15"/>
      <c r="W164" s="15"/>
    </row>
    <row r="165" spans="1:23" s="28" customFormat="1" ht="19.5" customHeight="1">
      <c r="A165" s="113"/>
      <c r="B165" s="413" t="s">
        <v>115</v>
      </c>
      <c r="C165" s="210" t="s">
        <v>256</v>
      </c>
      <c r="D165" s="111"/>
      <c r="E165" s="111"/>
      <c r="F165" s="111">
        <v>350000</v>
      </c>
      <c r="G165" s="111"/>
      <c r="H165" s="141"/>
      <c r="I165" s="148"/>
      <c r="J165" s="37"/>
      <c r="K165" s="148"/>
      <c r="L165" s="37"/>
      <c r="M165" s="37"/>
      <c r="N165" s="15"/>
      <c r="O165" s="15"/>
      <c r="P165" s="15"/>
      <c r="Q165" s="15"/>
      <c r="R165" s="15"/>
      <c r="S165" s="15"/>
      <c r="T165" s="15"/>
      <c r="U165" s="15"/>
      <c r="V165" s="15"/>
      <c r="W165" s="15"/>
    </row>
    <row r="166" spans="1:23" s="28" customFormat="1" ht="19.5" customHeight="1">
      <c r="A166" s="126"/>
      <c r="B166" s="657" t="s">
        <v>116</v>
      </c>
      <c r="C166" s="210" t="s">
        <v>252</v>
      </c>
      <c r="D166" s="111"/>
      <c r="E166" s="111"/>
      <c r="F166" s="111">
        <v>10000</v>
      </c>
      <c r="G166" s="111"/>
      <c r="H166" s="141"/>
      <c r="I166" s="148"/>
      <c r="J166" s="37"/>
      <c r="K166" s="148"/>
      <c r="L166" s="37"/>
      <c r="M166" s="37"/>
      <c r="N166" s="15"/>
      <c r="O166" s="15"/>
      <c r="P166" s="15"/>
      <c r="Q166" s="15"/>
      <c r="R166" s="15"/>
      <c r="S166" s="15"/>
      <c r="T166" s="15"/>
      <c r="U166" s="15"/>
      <c r="V166" s="15"/>
      <c r="W166" s="15"/>
    </row>
    <row r="167" spans="1:23" s="29" customFormat="1" ht="19.5" customHeight="1">
      <c r="A167" s="105" t="s">
        <v>253</v>
      </c>
      <c r="B167" s="160" t="s">
        <v>254</v>
      </c>
      <c r="C167" s="105"/>
      <c r="D167" s="106">
        <f>SUM(D168:D170)</f>
        <v>40000</v>
      </c>
      <c r="E167" s="106"/>
      <c r="F167" s="106">
        <f>SUM(F168:F170)</f>
        <v>15000</v>
      </c>
      <c r="G167" s="106"/>
      <c r="H167" s="138"/>
      <c r="I167" s="135"/>
      <c r="J167" s="38"/>
      <c r="K167" s="135"/>
      <c r="L167" s="38"/>
      <c r="M167" s="38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</row>
    <row r="168" spans="1:23" s="28" customFormat="1" ht="19.5" customHeight="1">
      <c r="A168" s="112"/>
      <c r="B168" s="412"/>
      <c r="C168" s="110" t="s">
        <v>365</v>
      </c>
      <c r="D168" s="111">
        <v>15000</v>
      </c>
      <c r="E168" s="111"/>
      <c r="F168" s="111"/>
      <c r="G168" s="111"/>
      <c r="H168" s="141"/>
      <c r="I168" s="148"/>
      <c r="J168" s="37"/>
      <c r="K168" s="148"/>
      <c r="L168" s="37"/>
      <c r="M168" s="37"/>
      <c r="N168" s="15"/>
      <c r="O168" s="15"/>
      <c r="P168" s="15"/>
      <c r="Q168" s="15"/>
      <c r="R168" s="15"/>
      <c r="S168" s="15"/>
      <c r="T168" s="15"/>
      <c r="U168" s="15"/>
      <c r="V168" s="15"/>
      <c r="W168" s="15"/>
    </row>
    <row r="169" spans="1:23" s="28" customFormat="1" ht="19.5" customHeight="1">
      <c r="A169" s="112"/>
      <c r="B169" s="113"/>
      <c r="C169" s="210" t="s">
        <v>252</v>
      </c>
      <c r="D169" s="111">
        <v>25000</v>
      </c>
      <c r="E169" s="111"/>
      <c r="F169" s="111"/>
      <c r="G169" s="111"/>
      <c r="H169" s="141"/>
      <c r="I169" s="148"/>
      <c r="J169" s="37"/>
      <c r="K169" s="148"/>
      <c r="L169" s="37"/>
      <c r="M169" s="37"/>
      <c r="N169" s="15"/>
      <c r="O169" s="15"/>
      <c r="P169" s="15"/>
      <c r="Q169" s="15"/>
      <c r="R169" s="15"/>
      <c r="S169" s="15"/>
      <c r="T169" s="15"/>
      <c r="U169" s="15"/>
      <c r="V169" s="15"/>
      <c r="W169" s="15"/>
    </row>
    <row r="170" spans="1:23" s="28" customFormat="1" ht="19.5" customHeight="1">
      <c r="A170" s="112"/>
      <c r="B170" s="126"/>
      <c r="C170" s="110" t="s">
        <v>256</v>
      </c>
      <c r="D170" s="111"/>
      <c r="E170" s="111"/>
      <c r="F170" s="111">
        <v>15000</v>
      </c>
      <c r="G170" s="111"/>
      <c r="H170" s="141"/>
      <c r="I170" s="148"/>
      <c r="J170" s="37"/>
      <c r="K170" s="148"/>
      <c r="L170" s="37"/>
      <c r="M170" s="37"/>
      <c r="N170" s="15"/>
      <c r="O170" s="15"/>
      <c r="P170" s="15"/>
      <c r="Q170" s="15"/>
      <c r="R170" s="15"/>
      <c r="S170" s="15"/>
      <c r="T170" s="15"/>
      <c r="U170" s="15"/>
      <c r="V170" s="15"/>
      <c r="W170" s="15"/>
    </row>
    <row r="171" spans="1:23" s="29" customFormat="1" ht="19.5" customHeight="1">
      <c r="A171" s="108" t="s">
        <v>566</v>
      </c>
      <c r="B171" s="932"/>
      <c r="C171" s="105"/>
      <c r="D171" s="106"/>
      <c r="E171" s="106"/>
      <c r="F171" s="106">
        <f>F172+F173</f>
        <v>35000</v>
      </c>
      <c r="G171" s="106"/>
      <c r="H171" s="138"/>
      <c r="I171" s="135"/>
      <c r="J171" s="38"/>
      <c r="K171" s="135"/>
      <c r="L171" s="38"/>
      <c r="M171" s="38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</row>
    <row r="172" spans="1:23" s="28" customFormat="1" ht="19.5" customHeight="1">
      <c r="A172" s="412"/>
      <c r="B172" s="657" t="s">
        <v>567</v>
      </c>
      <c r="C172" s="210" t="s">
        <v>252</v>
      </c>
      <c r="D172" s="111"/>
      <c r="E172" s="111"/>
      <c r="F172" s="111">
        <v>25000</v>
      </c>
      <c r="G172" s="111"/>
      <c r="H172" s="141"/>
      <c r="I172" s="148"/>
      <c r="J172" s="37"/>
      <c r="K172" s="148"/>
      <c r="L172" s="37"/>
      <c r="M172" s="37"/>
      <c r="N172" s="15"/>
      <c r="O172" s="15"/>
      <c r="P172" s="15"/>
      <c r="Q172" s="15"/>
      <c r="R172" s="15"/>
      <c r="S172" s="15"/>
      <c r="T172" s="15"/>
      <c r="U172" s="15"/>
      <c r="V172" s="15"/>
      <c r="W172" s="15"/>
    </row>
    <row r="173" spans="1:23" s="28" customFormat="1" ht="19.5" customHeight="1">
      <c r="A173" s="126"/>
      <c r="B173" s="657" t="s">
        <v>118</v>
      </c>
      <c r="C173" s="210" t="s">
        <v>252</v>
      </c>
      <c r="D173" s="111"/>
      <c r="E173" s="111"/>
      <c r="F173" s="111">
        <v>10000</v>
      </c>
      <c r="G173" s="111"/>
      <c r="H173" s="141"/>
      <c r="I173" s="148"/>
      <c r="J173" s="37"/>
      <c r="K173" s="148"/>
      <c r="L173" s="37"/>
      <c r="M173" s="37"/>
      <c r="N173" s="15"/>
      <c r="O173" s="15"/>
      <c r="P173" s="15"/>
      <c r="Q173" s="15"/>
      <c r="R173" s="15"/>
      <c r="S173" s="15"/>
      <c r="T173" s="15"/>
      <c r="U173" s="15"/>
      <c r="V173" s="15"/>
      <c r="W173" s="15"/>
    </row>
    <row r="174" spans="1:23" s="29" customFormat="1" ht="19.5" customHeight="1">
      <c r="A174" s="931" t="s">
        <v>251</v>
      </c>
      <c r="B174" s="160" t="s">
        <v>241</v>
      </c>
      <c r="C174" s="105" t="s">
        <v>242</v>
      </c>
      <c r="D174" s="106"/>
      <c r="E174" s="106"/>
      <c r="F174" s="106">
        <f>43071-4500</f>
        <v>38571</v>
      </c>
      <c r="G174" s="106"/>
      <c r="H174" s="138"/>
      <c r="I174" s="135"/>
      <c r="J174" s="38"/>
      <c r="K174" s="135"/>
      <c r="L174" s="38"/>
      <c r="M174" s="38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</row>
    <row r="175" spans="1:23" s="29" customFormat="1" ht="19.5" customHeight="1">
      <c r="A175" s="108" t="s">
        <v>659</v>
      </c>
      <c r="B175" s="160"/>
      <c r="C175" s="105"/>
      <c r="D175" s="106">
        <f>D176+D184+D191+D194+D197+D206</f>
        <v>73571</v>
      </c>
      <c r="E175" s="106"/>
      <c r="F175" s="106">
        <f>F176+F184+F191+F194+F197+F206</f>
        <v>60345</v>
      </c>
      <c r="G175" s="106"/>
      <c r="H175" s="138"/>
      <c r="I175" s="135"/>
      <c r="J175" s="38"/>
      <c r="K175" s="135"/>
      <c r="L175" s="38"/>
      <c r="M175" s="38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</row>
    <row r="176" spans="1:23" s="28" customFormat="1" ht="19.5" customHeight="1">
      <c r="A176" s="412"/>
      <c r="B176" s="657" t="s">
        <v>361</v>
      </c>
      <c r="C176" s="210"/>
      <c r="D176" s="111">
        <f>SUM(D177:D183)</f>
        <v>10000</v>
      </c>
      <c r="E176" s="111"/>
      <c r="F176" s="111">
        <f>SUM(F177:F183)</f>
        <v>17500</v>
      </c>
      <c r="G176" s="111"/>
      <c r="H176" s="141"/>
      <c r="I176" s="148"/>
      <c r="J176" s="37"/>
      <c r="K176" s="148"/>
      <c r="L176" s="37"/>
      <c r="M176" s="37"/>
      <c r="N176" s="15"/>
      <c r="O176" s="15"/>
      <c r="P176" s="15"/>
      <c r="Q176" s="15"/>
      <c r="R176" s="15"/>
      <c r="S176" s="15"/>
      <c r="T176" s="15"/>
      <c r="U176" s="15"/>
      <c r="V176" s="15"/>
      <c r="W176" s="15"/>
    </row>
    <row r="177" spans="1:23" s="28" customFormat="1" ht="19.5" customHeight="1">
      <c r="A177" s="112"/>
      <c r="B177" s="412"/>
      <c r="C177" s="110" t="s">
        <v>362</v>
      </c>
      <c r="D177" s="111">
        <v>2000</v>
      </c>
      <c r="E177" s="111"/>
      <c r="F177" s="111"/>
      <c r="G177" s="111"/>
      <c r="H177" s="141"/>
      <c r="I177" s="148"/>
      <c r="J177" s="37"/>
      <c r="K177" s="148"/>
      <c r="L177" s="37"/>
      <c r="M177" s="37"/>
      <c r="N177" s="15"/>
      <c r="O177" s="15"/>
      <c r="P177" s="15"/>
      <c r="Q177" s="15"/>
      <c r="R177" s="15"/>
      <c r="S177" s="15"/>
      <c r="T177" s="15"/>
      <c r="U177" s="15"/>
      <c r="V177" s="15"/>
      <c r="W177" s="15"/>
    </row>
    <row r="178" spans="1:23" s="28" customFormat="1" ht="19.5" customHeight="1">
      <c r="A178" s="112"/>
      <c r="B178" s="113"/>
      <c r="C178" s="110" t="s">
        <v>363</v>
      </c>
      <c r="D178" s="111">
        <v>4000</v>
      </c>
      <c r="E178" s="111"/>
      <c r="F178" s="111"/>
      <c r="G178" s="111"/>
      <c r="H178" s="141"/>
      <c r="I178" s="148"/>
      <c r="J178" s="37"/>
      <c r="K178" s="148"/>
      <c r="L178" s="37"/>
      <c r="M178" s="37"/>
      <c r="N178" s="15"/>
      <c r="O178" s="15"/>
      <c r="P178" s="15"/>
      <c r="Q178" s="15"/>
      <c r="R178" s="15"/>
      <c r="S178" s="15"/>
      <c r="T178" s="15"/>
      <c r="U178" s="15"/>
      <c r="V178" s="15"/>
      <c r="W178" s="15"/>
    </row>
    <row r="179" spans="1:23" s="28" customFormat="1" ht="19.5" customHeight="1">
      <c r="A179" s="112"/>
      <c r="B179" s="113"/>
      <c r="C179" s="110" t="s">
        <v>364</v>
      </c>
      <c r="D179" s="111">
        <v>2000</v>
      </c>
      <c r="E179" s="111"/>
      <c r="F179" s="111"/>
      <c r="G179" s="111"/>
      <c r="H179" s="141"/>
      <c r="I179" s="148"/>
      <c r="J179" s="37"/>
      <c r="K179" s="148"/>
      <c r="L179" s="37"/>
      <c r="M179" s="37"/>
      <c r="N179" s="15"/>
      <c r="O179" s="15"/>
      <c r="P179" s="15"/>
      <c r="Q179" s="15"/>
      <c r="R179" s="15"/>
      <c r="S179" s="15"/>
      <c r="T179" s="15"/>
      <c r="U179" s="15"/>
      <c r="V179" s="15"/>
      <c r="W179" s="15"/>
    </row>
    <row r="180" spans="1:23" s="28" customFormat="1" ht="19.5" customHeight="1">
      <c r="A180" s="112"/>
      <c r="B180" s="113"/>
      <c r="C180" s="110" t="s">
        <v>365</v>
      </c>
      <c r="D180" s="111">
        <v>2000</v>
      </c>
      <c r="E180" s="111"/>
      <c r="F180" s="111"/>
      <c r="G180" s="111"/>
      <c r="H180" s="141"/>
      <c r="I180" s="148"/>
      <c r="J180" s="37"/>
      <c r="K180" s="148"/>
      <c r="L180" s="37"/>
      <c r="M180" s="37"/>
      <c r="N180" s="15"/>
      <c r="O180" s="15"/>
      <c r="P180" s="15"/>
      <c r="Q180" s="15"/>
      <c r="R180" s="15"/>
      <c r="S180" s="15"/>
      <c r="T180" s="15"/>
      <c r="U180" s="15"/>
      <c r="V180" s="15"/>
      <c r="W180" s="15"/>
    </row>
    <row r="181" spans="1:23" s="28" customFormat="1" ht="19.5" customHeight="1">
      <c r="A181" s="112"/>
      <c r="B181" s="113"/>
      <c r="C181" s="110" t="s">
        <v>252</v>
      </c>
      <c r="D181" s="111"/>
      <c r="E181" s="111"/>
      <c r="F181" s="111">
        <v>13000</v>
      </c>
      <c r="G181" s="111"/>
      <c r="H181" s="141"/>
      <c r="I181" s="148"/>
      <c r="J181" s="37"/>
      <c r="K181" s="148"/>
      <c r="L181" s="37"/>
      <c r="M181" s="37"/>
      <c r="N181" s="15"/>
      <c r="O181" s="15"/>
      <c r="P181" s="15"/>
      <c r="Q181" s="15"/>
      <c r="R181" s="15"/>
      <c r="S181" s="15"/>
      <c r="T181" s="15"/>
      <c r="U181" s="15"/>
      <c r="V181" s="15"/>
      <c r="W181" s="15"/>
    </row>
    <row r="182" spans="1:23" s="28" customFormat="1" ht="19.5" customHeight="1">
      <c r="A182" s="112"/>
      <c r="B182" s="113"/>
      <c r="C182" s="110" t="s">
        <v>13</v>
      </c>
      <c r="D182" s="111"/>
      <c r="E182" s="111"/>
      <c r="F182" s="111">
        <v>3500</v>
      </c>
      <c r="G182" s="111"/>
      <c r="H182" s="141"/>
      <c r="I182" s="148"/>
      <c r="J182" s="37"/>
      <c r="K182" s="148"/>
      <c r="L182" s="37"/>
      <c r="M182" s="37"/>
      <c r="N182" s="15"/>
      <c r="O182" s="15"/>
      <c r="P182" s="15"/>
      <c r="Q182" s="15"/>
      <c r="R182" s="15"/>
      <c r="S182" s="15"/>
      <c r="T182" s="15"/>
      <c r="U182" s="15"/>
      <c r="V182" s="15"/>
      <c r="W182" s="15"/>
    </row>
    <row r="183" spans="1:23" s="28" customFormat="1" ht="19.5" customHeight="1">
      <c r="A183" s="112"/>
      <c r="B183" s="113"/>
      <c r="C183" s="110" t="s">
        <v>366</v>
      </c>
      <c r="D183" s="111"/>
      <c r="E183" s="111"/>
      <c r="F183" s="111">
        <v>1000</v>
      </c>
      <c r="G183" s="111"/>
      <c r="H183" s="141"/>
      <c r="I183" s="148"/>
      <c r="J183" s="37"/>
      <c r="K183" s="148"/>
      <c r="L183" s="37"/>
      <c r="M183" s="37"/>
      <c r="N183" s="15"/>
      <c r="O183" s="15"/>
      <c r="P183" s="15"/>
      <c r="Q183" s="15"/>
      <c r="R183" s="15"/>
      <c r="S183" s="15"/>
      <c r="T183" s="15"/>
      <c r="U183" s="15"/>
      <c r="V183" s="15"/>
      <c r="W183" s="15"/>
    </row>
    <row r="184" spans="1:23" s="28" customFormat="1" ht="19.5" customHeight="1">
      <c r="A184" s="113"/>
      <c r="B184" s="210" t="s">
        <v>236</v>
      </c>
      <c r="C184" s="210"/>
      <c r="D184" s="111">
        <f>SUM(D185:D190)</f>
        <v>0</v>
      </c>
      <c r="E184" s="111"/>
      <c r="F184" s="111">
        <f>SUM(F185:F190)</f>
        <v>18245</v>
      </c>
      <c r="G184" s="111"/>
      <c r="H184" s="141"/>
      <c r="I184" s="148"/>
      <c r="J184" s="37"/>
      <c r="K184" s="148"/>
      <c r="L184" s="37"/>
      <c r="M184" s="37"/>
      <c r="N184" s="15"/>
      <c r="O184" s="15"/>
      <c r="P184" s="15"/>
      <c r="Q184" s="15"/>
      <c r="R184" s="15"/>
      <c r="S184" s="15"/>
      <c r="T184" s="15"/>
      <c r="U184" s="15"/>
      <c r="V184" s="15"/>
      <c r="W184" s="15"/>
    </row>
    <row r="185" spans="1:23" s="28" customFormat="1" ht="19.5" customHeight="1">
      <c r="A185" s="112"/>
      <c r="B185" s="412"/>
      <c r="C185" s="110" t="s">
        <v>238</v>
      </c>
      <c r="D185" s="111"/>
      <c r="E185" s="111"/>
      <c r="F185" s="111">
        <v>8196</v>
      </c>
      <c r="G185" s="111"/>
      <c r="H185" s="141"/>
      <c r="I185" s="148"/>
      <c r="J185" s="37"/>
      <c r="K185" s="148"/>
      <c r="L185" s="37"/>
      <c r="M185" s="37"/>
      <c r="N185" s="15"/>
      <c r="O185" s="15"/>
      <c r="P185" s="15"/>
      <c r="Q185" s="15"/>
      <c r="R185" s="15"/>
      <c r="S185" s="15"/>
      <c r="T185" s="15"/>
      <c r="U185" s="15"/>
      <c r="V185" s="15"/>
      <c r="W185" s="15"/>
    </row>
    <row r="186" spans="1:23" s="28" customFormat="1" ht="19.5" customHeight="1">
      <c r="A186" s="112"/>
      <c r="B186" s="113"/>
      <c r="C186" s="110" t="s">
        <v>555</v>
      </c>
      <c r="D186" s="111"/>
      <c r="E186" s="111"/>
      <c r="F186" s="111">
        <v>3700</v>
      </c>
      <c r="G186" s="111"/>
      <c r="H186" s="141"/>
      <c r="I186" s="148"/>
      <c r="J186" s="37"/>
      <c r="K186" s="148"/>
      <c r="L186" s="37"/>
      <c r="M186" s="37"/>
      <c r="N186" s="15"/>
      <c r="O186" s="15"/>
      <c r="P186" s="15"/>
      <c r="Q186" s="15"/>
      <c r="R186" s="15"/>
      <c r="S186" s="15"/>
      <c r="T186" s="15"/>
      <c r="U186" s="15"/>
      <c r="V186" s="15"/>
      <c r="W186" s="15"/>
    </row>
    <row r="187" spans="1:23" s="28" customFormat="1" ht="19.5" customHeight="1">
      <c r="A187" s="112"/>
      <c r="B187" s="113"/>
      <c r="C187" s="110" t="s">
        <v>240</v>
      </c>
      <c r="D187" s="111"/>
      <c r="E187" s="111"/>
      <c r="F187" s="111">
        <v>1208</v>
      </c>
      <c r="G187" s="111"/>
      <c r="H187" s="141"/>
      <c r="I187" s="148"/>
      <c r="J187" s="37"/>
      <c r="K187" s="148"/>
      <c r="L187" s="37"/>
      <c r="M187" s="37"/>
      <c r="N187" s="15"/>
      <c r="O187" s="15"/>
      <c r="P187" s="15"/>
      <c r="Q187" s="15"/>
      <c r="R187" s="15"/>
      <c r="S187" s="15"/>
      <c r="T187" s="15"/>
      <c r="U187" s="15"/>
      <c r="V187" s="15"/>
      <c r="W187" s="15"/>
    </row>
    <row r="188" spans="1:23" s="28" customFormat="1" ht="19.5" customHeight="1">
      <c r="A188" s="112"/>
      <c r="B188" s="113"/>
      <c r="C188" s="110" t="s">
        <v>558</v>
      </c>
      <c r="D188" s="111"/>
      <c r="E188" s="111"/>
      <c r="F188" s="111">
        <v>196</v>
      </c>
      <c r="G188" s="111"/>
      <c r="H188" s="141"/>
      <c r="I188" s="148"/>
      <c r="J188" s="37"/>
      <c r="K188" s="148"/>
      <c r="L188" s="37"/>
      <c r="M188" s="37"/>
      <c r="N188" s="15"/>
      <c r="O188" s="15"/>
      <c r="P188" s="15"/>
      <c r="Q188" s="15"/>
      <c r="R188" s="15"/>
      <c r="S188" s="15"/>
      <c r="T188" s="15"/>
      <c r="U188" s="15"/>
      <c r="V188" s="15"/>
      <c r="W188" s="15"/>
    </row>
    <row r="189" spans="1:23" s="28" customFormat="1" ht="19.5" customHeight="1">
      <c r="A189" s="112"/>
      <c r="B189" s="113"/>
      <c r="C189" s="110" t="s">
        <v>556</v>
      </c>
      <c r="D189" s="111"/>
      <c r="E189" s="111"/>
      <c r="F189" s="111">
        <v>445</v>
      </c>
      <c r="G189" s="111"/>
      <c r="H189" s="141"/>
      <c r="I189" s="148"/>
      <c r="J189" s="37"/>
      <c r="K189" s="148"/>
      <c r="L189" s="37"/>
      <c r="M189" s="37"/>
      <c r="N189" s="15"/>
      <c r="O189" s="15"/>
      <c r="P189" s="15"/>
      <c r="Q189" s="15"/>
      <c r="R189" s="15"/>
      <c r="S189" s="15"/>
      <c r="T189" s="15"/>
      <c r="U189" s="15"/>
      <c r="V189" s="15"/>
      <c r="W189" s="15"/>
    </row>
    <row r="190" spans="1:23" s="28" customFormat="1" ht="19.5" customHeight="1">
      <c r="A190" s="112"/>
      <c r="B190" s="113"/>
      <c r="C190" s="110" t="s">
        <v>256</v>
      </c>
      <c r="D190" s="111"/>
      <c r="E190" s="111"/>
      <c r="F190" s="111">
        <v>4500</v>
      </c>
      <c r="G190" s="111"/>
      <c r="H190" s="141"/>
      <c r="I190" s="148"/>
      <c r="J190" s="37"/>
      <c r="K190" s="148"/>
      <c r="L190" s="37"/>
      <c r="M190" s="37"/>
      <c r="N190" s="15"/>
      <c r="O190" s="15"/>
      <c r="P190" s="15"/>
      <c r="Q190" s="15"/>
      <c r="R190" s="15"/>
      <c r="S190" s="15"/>
      <c r="T190" s="15"/>
      <c r="U190" s="15"/>
      <c r="V190" s="15"/>
      <c r="W190" s="15"/>
    </row>
    <row r="191" spans="1:23" s="28" customFormat="1" ht="19.5" customHeight="1">
      <c r="A191" s="112"/>
      <c r="B191" s="210" t="s">
        <v>119</v>
      </c>
      <c r="C191" s="110"/>
      <c r="D191" s="111">
        <f>SUM(D192:D193)</f>
        <v>15000</v>
      </c>
      <c r="E191" s="111"/>
      <c r="F191" s="111">
        <f>SUM(F192:F193)</f>
        <v>15000</v>
      </c>
      <c r="G191" s="111"/>
      <c r="H191" s="141"/>
      <c r="I191" s="148"/>
      <c r="J191" s="37"/>
      <c r="K191" s="148"/>
      <c r="L191" s="37"/>
      <c r="M191" s="37"/>
      <c r="N191" s="15"/>
      <c r="O191" s="15"/>
      <c r="P191" s="15"/>
      <c r="Q191" s="15"/>
      <c r="R191" s="15"/>
      <c r="S191" s="15"/>
      <c r="T191" s="15"/>
      <c r="U191" s="15"/>
      <c r="V191" s="15"/>
      <c r="W191" s="15"/>
    </row>
    <row r="192" spans="1:23" s="28" customFormat="1" ht="19.5" customHeight="1">
      <c r="A192" s="112"/>
      <c r="B192" s="113"/>
      <c r="C192" s="110" t="s">
        <v>368</v>
      </c>
      <c r="D192" s="111"/>
      <c r="E192" s="111"/>
      <c r="F192" s="111">
        <v>15000</v>
      </c>
      <c r="G192" s="111"/>
      <c r="H192" s="141"/>
      <c r="I192" s="148"/>
      <c r="J192" s="37"/>
      <c r="K192" s="148"/>
      <c r="L192" s="37"/>
      <c r="M192" s="37"/>
      <c r="N192" s="15"/>
      <c r="O192" s="15"/>
      <c r="P192" s="15"/>
      <c r="Q192" s="15"/>
      <c r="R192" s="15"/>
      <c r="S192" s="15"/>
      <c r="T192" s="15"/>
      <c r="U192" s="15"/>
      <c r="V192" s="15"/>
      <c r="W192" s="15"/>
    </row>
    <row r="193" spans="1:23" s="28" customFormat="1" ht="19.5" customHeight="1">
      <c r="A193" s="112"/>
      <c r="B193" s="113"/>
      <c r="C193" s="110" t="s">
        <v>256</v>
      </c>
      <c r="D193" s="111">
        <v>15000</v>
      </c>
      <c r="E193" s="111"/>
      <c r="F193" s="111"/>
      <c r="G193" s="111"/>
      <c r="H193" s="141"/>
      <c r="I193" s="148"/>
      <c r="J193" s="37"/>
      <c r="K193" s="148"/>
      <c r="L193" s="37"/>
      <c r="M193" s="37"/>
      <c r="N193" s="15"/>
      <c r="O193" s="15"/>
      <c r="P193" s="15"/>
      <c r="Q193" s="15"/>
      <c r="R193" s="15"/>
      <c r="S193" s="15"/>
      <c r="T193" s="15"/>
      <c r="U193" s="15"/>
      <c r="V193" s="15"/>
      <c r="W193" s="15"/>
    </row>
    <row r="194" spans="1:23" s="28" customFormat="1" ht="19.5" customHeight="1">
      <c r="A194" s="112"/>
      <c r="B194" s="210" t="s">
        <v>367</v>
      </c>
      <c r="C194" s="110"/>
      <c r="D194" s="111">
        <f>SUM(D195:D196)</f>
        <v>1500</v>
      </c>
      <c r="E194" s="111"/>
      <c r="F194" s="111">
        <f>SUM(F195:F196)</f>
        <v>1500</v>
      </c>
      <c r="G194" s="111"/>
      <c r="H194" s="141"/>
      <c r="I194" s="148"/>
      <c r="J194" s="37"/>
      <c r="K194" s="148"/>
      <c r="L194" s="37"/>
      <c r="M194" s="37"/>
      <c r="N194" s="15"/>
      <c r="O194" s="15"/>
      <c r="P194" s="15"/>
      <c r="Q194" s="15"/>
      <c r="R194" s="15"/>
      <c r="S194" s="15"/>
      <c r="T194" s="15"/>
      <c r="U194" s="15"/>
      <c r="V194" s="15"/>
      <c r="W194" s="15"/>
    </row>
    <row r="195" spans="1:23" s="28" customFormat="1" ht="19.5" customHeight="1">
      <c r="A195" s="112"/>
      <c r="B195" s="113"/>
      <c r="C195" s="110" t="s">
        <v>368</v>
      </c>
      <c r="D195" s="111"/>
      <c r="E195" s="111"/>
      <c r="F195" s="111">
        <v>1500</v>
      </c>
      <c r="G195" s="111"/>
      <c r="H195" s="141"/>
      <c r="I195" s="148"/>
      <c r="J195" s="37"/>
      <c r="K195" s="148"/>
      <c r="L195" s="37"/>
      <c r="M195" s="37"/>
      <c r="N195" s="15"/>
      <c r="O195" s="15"/>
      <c r="P195" s="15"/>
      <c r="Q195" s="15"/>
      <c r="R195" s="15"/>
      <c r="S195" s="15"/>
      <c r="T195" s="15"/>
      <c r="U195" s="15"/>
      <c r="V195" s="15"/>
      <c r="W195" s="15"/>
    </row>
    <row r="196" spans="1:23" s="28" customFormat="1" ht="19.5" customHeight="1">
      <c r="A196" s="112"/>
      <c r="B196" s="113"/>
      <c r="C196" s="110" t="s">
        <v>252</v>
      </c>
      <c r="D196" s="111">
        <v>1500</v>
      </c>
      <c r="E196" s="111"/>
      <c r="F196" s="111"/>
      <c r="G196" s="111"/>
      <c r="H196" s="141"/>
      <c r="I196" s="148"/>
      <c r="J196" s="37"/>
      <c r="K196" s="148"/>
      <c r="L196" s="37"/>
      <c r="M196" s="37"/>
      <c r="N196" s="15"/>
      <c r="O196" s="15"/>
      <c r="P196" s="15"/>
      <c r="Q196" s="15"/>
      <c r="R196" s="15"/>
      <c r="S196" s="15"/>
      <c r="T196" s="15"/>
      <c r="U196" s="15"/>
      <c r="V196" s="15"/>
      <c r="W196" s="15"/>
    </row>
    <row r="197" spans="1:23" s="28" customFormat="1" ht="19.5" customHeight="1">
      <c r="A197" s="112"/>
      <c r="B197" s="210" t="s">
        <v>359</v>
      </c>
      <c r="C197" s="110"/>
      <c r="D197" s="111">
        <f>SUM(D198:D205)</f>
        <v>4000</v>
      </c>
      <c r="E197" s="111"/>
      <c r="F197" s="111">
        <f>SUM(F198:F205)</f>
        <v>8100</v>
      </c>
      <c r="G197" s="111"/>
      <c r="H197" s="141"/>
      <c r="I197" s="148"/>
      <c r="J197" s="37"/>
      <c r="K197" s="148"/>
      <c r="L197" s="37"/>
      <c r="M197" s="37"/>
      <c r="N197" s="15"/>
      <c r="O197" s="15"/>
      <c r="P197" s="15"/>
      <c r="Q197" s="15"/>
      <c r="R197" s="15"/>
      <c r="S197" s="15"/>
      <c r="T197" s="15"/>
      <c r="U197" s="15"/>
      <c r="V197" s="15"/>
      <c r="W197" s="15"/>
    </row>
    <row r="198" spans="1:23" s="28" customFormat="1" ht="19.5" customHeight="1">
      <c r="A198" s="112"/>
      <c r="B198" s="113"/>
      <c r="C198" s="110" t="s">
        <v>240</v>
      </c>
      <c r="D198" s="111"/>
      <c r="E198" s="111"/>
      <c r="F198" s="111">
        <v>350</v>
      </c>
      <c r="G198" s="111"/>
      <c r="H198" s="141"/>
      <c r="I198" s="148"/>
      <c r="J198" s="37"/>
      <c r="K198" s="148"/>
      <c r="L198" s="37"/>
      <c r="M198" s="37"/>
      <c r="N198" s="15"/>
      <c r="O198" s="15"/>
      <c r="P198" s="15"/>
      <c r="Q198" s="15"/>
      <c r="R198" s="15"/>
      <c r="S198" s="15"/>
      <c r="T198" s="15"/>
      <c r="U198" s="15"/>
      <c r="V198" s="15"/>
      <c r="W198" s="15"/>
    </row>
    <row r="199" spans="1:23" s="28" customFormat="1" ht="19.5" customHeight="1">
      <c r="A199" s="112"/>
      <c r="B199" s="113"/>
      <c r="C199" s="110" t="s">
        <v>558</v>
      </c>
      <c r="D199" s="111"/>
      <c r="E199" s="111"/>
      <c r="F199" s="111">
        <v>50</v>
      </c>
      <c r="G199" s="111"/>
      <c r="H199" s="141"/>
      <c r="I199" s="148"/>
      <c r="J199" s="37"/>
      <c r="K199" s="148"/>
      <c r="L199" s="37"/>
      <c r="M199" s="37"/>
      <c r="N199" s="15"/>
      <c r="O199" s="15"/>
      <c r="P199" s="15"/>
      <c r="Q199" s="15"/>
      <c r="R199" s="15"/>
      <c r="S199" s="15"/>
      <c r="T199" s="15"/>
      <c r="U199" s="15"/>
      <c r="V199" s="15"/>
      <c r="W199" s="15"/>
    </row>
    <row r="200" spans="1:23" s="28" customFormat="1" ht="19.5" customHeight="1">
      <c r="A200" s="112"/>
      <c r="B200" s="113"/>
      <c r="C200" s="110" t="s">
        <v>363</v>
      </c>
      <c r="D200" s="111"/>
      <c r="E200" s="111"/>
      <c r="F200" s="111">
        <v>1980</v>
      </c>
      <c r="G200" s="111"/>
      <c r="H200" s="141"/>
      <c r="I200" s="148"/>
      <c r="J200" s="37"/>
      <c r="K200" s="148"/>
      <c r="L200" s="37"/>
      <c r="M200" s="37"/>
      <c r="N200" s="15"/>
      <c r="O200" s="15"/>
      <c r="P200" s="15"/>
      <c r="Q200" s="15"/>
      <c r="R200" s="15"/>
      <c r="S200" s="15"/>
      <c r="T200" s="15"/>
      <c r="U200" s="15"/>
      <c r="V200" s="15"/>
      <c r="W200" s="15"/>
    </row>
    <row r="201" spans="1:23" s="28" customFormat="1" ht="19.5" customHeight="1">
      <c r="A201" s="112"/>
      <c r="B201" s="113"/>
      <c r="C201" s="110" t="s">
        <v>368</v>
      </c>
      <c r="D201" s="111">
        <v>1000</v>
      </c>
      <c r="E201" s="111"/>
      <c r="F201" s="111"/>
      <c r="G201" s="111"/>
      <c r="H201" s="141"/>
      <c r="I201" s="148"/>
      <c r="J201" s="37"/>
      <c r="K201" s="148"/>
      <c r="L201" s="37"/>
      <c r="M201" s="37"/>
      <c r="N201" s="15"/>
      <c r="O201" s="15"/>
      <c r="P201" s="15"/>
      <c r="Q201" s="15"/>
      <c r="R201" s="15"/>
      <c r="S201" s="15"/>
      <c r="T201" s="15"/>
      <c r="U201" s="15"/>
      <c r="V201" s="15"/>
      <c r="W201" s="15"/>
    </row>
    <row r="202" spans="1:23" s="28" customFormat="1" ht="19.5" customHeight="1">
      <c r="A202" s="112"/>
      <c r="B202" s="113"/>
      <c r="C202" s="110" t="s">
        <v>369</v>
      </c>
      <c r="D202" s="111"/>
      <c r="E202" s="111"/>
      <c r="F202" s="111">
        <v>5520</v>
      </c>
      <c r="G202" s="111"/>
      <c r="H202" s="141"/>
      <c r="I202" s="148"/>
      <c r="J202" s="37"/>
      <c r="K202" s="148"/>
      <c r="L202" s="37"/>
      <c r="M202" s="37"/>
      <c r="N202" s="15"/>
      <c r="O202" s="15"/>
      <c r="P202" s="15"/>
      <c r="Q202" s="15"/>
      <c r="R202" s="15"/>
      <c r="S202" s="15"/>
      <c r="T202" s="15"/>
      <c r="U202" s="15"/>
      <c r="V202" s="15"/>
      <c r="W202" s="15"/>
    </row>
    <row r="203" spans="1:23" s="28" customFormat="1" ht="19.5" customHeight="1">
      <c r="A203" s="112"/>
      <c r="B203" s="113"/>
      <c r="C203" s="110" t="s">
        <v>370</v>
      </c>
      <c r="D203" s="111"/>
      <c r="E203" s="111"/>
      <c r="F203" s="111">
        <v>150</v>
      </c>
      <c r="G203" s="111"/>
      <c r="H203" s="141"/>
      <c r="I203" s="148"/>
      <c r="J203" s="37"/>
      <c r="K203" s="148"/>
      <c r="L203" s="37"/>
      <c r="M203" s="37"/>
      <c r="N203" s="15"/>
      <c r="O203" s="15"/>
      <c r="P203" s="15"/>
      <c r="Q203" s="15"/>
      <c r="R203" s="15"/>
      <c r="S203" s="15"/>
      <c r="T203" s="15"/>
      <c r="U203" s="15"/>
      <c r="V203" s="15"/>
      <c r="W203" s="15"/>
    </row>
    <row r="204" spans="1:23" s="28" customFormat="1" ht="19.5" customHeight="1">
      <c r="A204" s="112"/>
      <c r="B204" s="113"/>
      <c r="C204" s="110" t="s">
        <v>365</v>
      </c>
      <c r="D204" s="111">
        <v>3000</v>
      </c>
      <c r="E204" s="111"/>
      <c r="F204" s="111"/>
      <c r="G204" s="111"/>
      <c r="H204" s="141"/>
      <c r="I204" s="148"/>
      <c r="J204" s="37"/>
      <c r="K204" s="148"/>
      <c r="L204" s="37"/>
      <c r="M204" s="37"/>
      <c r="N204" s="15"/>
      <c r="O204" s="15"/>
      <c r="P204" s="15"/>
      <c r="Q204" s="15"/>
      <c r="R204" s="15"/>
      <c r="S204" s="15"/>
      <c r="T204" s="15"/>
      <c r="U204" s="15"/>
      <c r="V204" s="15"/>
      <c r="W204" s="15"/>
    </row>
    <row r="205" spans="1:23" s="28" customFormat="1" ht="19.5" customHeight="1">
      <c r="A205" s="112"/>
      <c r="B205" s="113"/>
      <c r="C205" s="110" t="s">
        <v>252</v>
      </c>
      <c r="D205" s="111"/>
      <c r="E205" s="111"/>
      <c r="F205" s="111">
        <v>50</v>
      </c>
      <c r="G205" s="111"/>
      <c r="H205" s="141"/>
      <c r="I205" s="148"/>
      <c r="J205" s="37"/>
      <c r="K205" s="148"/>
      <c r="L205" s="37"/>
      <c r="M205" s="37"/>
      <c r="N205" s="15"/>
      <c r="O205" s="15"/>
      <c r="P205" s="15"/>
      <c r="Q205" s="15"/>
      <c r="R205" s="15"/>
      <c r="S205" s="15"/>
      <c r="T205" s="15"/>
      <c r="U205" s="15"/>
      <c r="V205" s="15"/>
      <c r="W205" s="15"/>
    </row>
    <row r="206" spans="1:23" s="28" customFormat="1" ht="19.5" customHeight="1">
      <c r="A206" s="113"/>
      <c r="B206" s="210" t="s">
        <v>237</v>
      </c>
      <c r="C206" s="657" t="s">
        <v>557</v>
      </c>
      <c r="D206" s="111">
        <v>43071</v>
      </c>
      <c r="E206" s="111"/>
      <c r="F206" s="111"/>
      <c r="G206" s="111"/>
      <c r="H206" s="141"/>
      <c r="I206" s="148"/>
      <c r="J206" s="37"/>
      <c r="K206" s="148"/>
      <c r="L206" s="37"/>
      <c r="M206" s="37"/>
      <c r="N206" s="15"/>
      <c r="O206" s="15"/>
      <c r="P206" s="15"/>
      <c r="Q206" s="15"/>
      <c r="R206" s="15"/>
      <c r="S206" s="15"/>
      <c r="T206" s="15"/>
      <c r="U206" s="15"/>
      <c r="V206" s="15"/>
      <c r="W206" s="15"/>
    </row>
    <row r="207" spans="1:23" s="29" customFormat="1" ht="19.5" customHeight="1">
      <c r="A207" s="105" t="s">
        <v>394</v>
      </c>
      <c r="B207" s="109" t="s">
        <v>395</v>
      </c>
      <c r="C207" s="109"/>
      <c r="D207" s="106">
        <f>SUM(D208:D211)</f>
        <v>74500</v>
      </c>
      <c r="E207" s="106"/>
      <c r="F207" s="106">
        <f>SUM(F208:F211)</f>
        <v>74500</v>
      </c>
      <c r="G207" s="106"/>
      <c r="H207" s="138"/>
      <c r="I207" s="135"/>
      <c r="J207" s="38"/>
      <c r="K207" s="135"/>
      <c r="L207" s="38"/>
      <c r="M207" s="38"/>
      <c r="N207" s="161"/>
      <c r="O207" s="161"/>
      <c r="P207" s="161"/>
      <c r="Q207" s="161"/>
      <c r="R207" s="161"/>
      <c r="S207" s="161"/>
      <c r="T207" s="161"/>
      <c r="U207" s="161"/>
      <c r="V207" s="161"/>
      <c r="W207" s="161"/>
    </row>
    <row r="208" spans="1:23" s="28" customFormat="1" ht="19.5" customHeight="1">
      <c r="A208" s="113"/>
      <c r="B208" s="413"/>
      <c r="C208" s="114" t="s">
        <v>176</v>
      </c>
      <c r="D208" s="111"/>
      <c r="E208" s="111"/>
      <c r="F208" s="111">
        <v>40000</v>
      </c>
      <c r="G208" s="111"/>
      <c r="H208" s="141"/>
      <c r="I208" s="148"/>
      <c r="J208" s="37"/>
      <c r="K208" s="148"/>
      <c r="L208" s="37"/>
      <c r="M208" s="37"/>
      <c r="N208" s="15"/>
      <c r="O208" s="15"/>
      <c r="P208" s="15"/>
      <c r="Q208" s="15"/>
      <c r="R208" s="15"/>
      <c r="S208" s="15"/>
      <c r="T208" s="15"/>
      <c r="U208" s="15"/>
      <c r="V208" s="15"/>
      <c r="W208" s="15"/>
    </row>
    <row r="209" spans="1:23" s="28" customFormat="1" ht="19.5" customHeight="1">
      <c r="A209" s="113"/>
      <c r="B209" s="413"/>
      <c r="C209" s="114" t="s">
        <v>398</v>
      </c>
      <c r="D209" s="111">
        <f>3500+31000</f>
        <v>34500</v>
      </c>
      <c r="E209" s="111"/>
      <c r="F209" s="111"/>
      <c r="G209" s="111"/>
      <c r="H209" s="141"/>
      <c r="I209" s="148"/>
      <c r="J209" s="37"/>
      <c r="K209" s="148"/>
      <c r="L209" s="37"/>
      <c r="M209" s="37"/>
      <c r="N209" s="15"/>
      <c r="O209" s="15"/>
      <c r="P209" s="15"/>
      <c r="Q209" s="15"/>
      <c r="R209" s="15"/>
      <c r="S209" s="15"/>
      <c r="T209" s="15"/>
      <c r="U209" s="15"/>
      <c r="V209" s="15"/>
      <c r="W209" s="15"/>
    </row>
    <row r="210" spans="1:23" s="28" customFormat="1" ht="19.5" customHeight="1">
      <c r="A210" s="113"/>
      <c r="B210" s="413"/>
      <c r="C210" s="114" t="s">
        <v>252</v>
      </c>
      <c r="D210" s="111">
        <v>40000</v>
      </c>
      <c r="E210" s="111"/>
      <c r="F210" s="111"/>
      <c r="G210" s="111"/>
      <c r="H210" s="141"/>
      <c r="I210" s="148"/>
      <c r="J210" s="37"/>
      <c r="K210" s="148"/>
      <c r="L210" s="37"/>
      <c r="M210" s="37"/>
      <c r="N210" s="15"/>
      <c r="O210" s="15"/>
      <c r="P210" s="15"/>
      <c r="Q210" s="15"/>
      <c r="R210" s="15"/>
      <c r="S210" s="15"/>
      <c r="T210" s="15"/>
      <c r="U210" s="15"/>
      <c r="V210" s="15"/>
      <c r="W210" s="15"/>
    </row>
    <row r="211" spans="1:23" s="28" customFormat="1" ht="19.5" customHeight="1">
      <c r="A211" s="113"/>
      <c r="B211" s="413"/>
      <c r="C211" s="114" t="s">
        <v>399</v>
      </c>
      <c r="D211" s="111"/>
      <c r="E211" s="111"/>
      <c r="F211" s="111">
        <f>3500+31000</f>
        <v>34500</v>
      </c>
      <c r="G211" s="111"/>
      <c r="H211" s="141"/>
      <c r="I211" s="148"/>
      <c r="J211" s="37"/>
      <c r="K211" s="148"/>
      <c r="L211" s="37"/>
      <c r="M211" s="37"/>
      <c r="N211" s="15"/>
      <c r="O211" s="15"/>
      <c r="P211" s="15"/>
      <c r="Q211" s="15"/>
      <c r="R211" s="15"/>
      <c r="S211" s="15"/>
      <c r="T211" s="15"/>
      <c r="U211" s="15"/>
      <c r="V211" s="15"/>
      <c r="W211" s="15"/>
    </row>
    <row r="212" spans="1:23" s="29" customFormat="1" ht="19.5" customHeight="1">
      <c r="A212" s="105" t="s">
        <v>255</v>
      </c>
      <c r="B212" s="105"/>
      <c r="C212" s="109"/>
      <c r="D212" s="106">
        <f>D213+D215+D214</f>
        <v>2950</v>
      </c>
      <c r="E212" s="106"/>
      <c r="F212" s="106">
        <f>F213+F215+F214</f>
        <v>56950</v>
      </c>
      <c r="G212" s="106"/>
      <c r="H212" s="138"/>
      <c r="I212" s="135"/>
      <c r="J212" s="38"/>
      <c r="K212" s="135"/>
      <c r="L212" s="38"/>
      <c r="M212" s="38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</row>
    <row r="213" spans="1:23" s="28" customFormat="1" ht="19.5" customHeight="1">
      <c r="A213" s="113"/>
      <c r="B213" s="210" t="s">
        <v>140</v>
      </c>
      <c r="C213" s="114" t="s">
        <v>252</v>
      </c>
      <c r="D213" s="111"/>
      <c r="E213" s="111"/>
      <c r="F213" s="111">
        <v>10000</v>
      </c>
      <c r="G213" s="111"/>
      <c r="H213" s="141"/>
      <c r="I213" s="148"/>
      <c r="J213" s="37"/>
      <c r="K213" s="148"/>
      <c r="L213" s="37"/>
      <c r="M213" s="37"/>
      <c r="N213" s="15"/>
      <c r="O213" s="15"/>
      <c r="P213" s="15"/>
      <c r="Q213" s="15"/>
      <c r="R213" s="15"/>
      <c r="S213" s="15"/>
      <c r="T213" s="15"/>
      <c r="U213" s="15"/>
      <c r="V213" s="15"/>
      <c r="W213" s="15"/>
    </row>
    <row r="214" spans="1:23" s="28" customFormat="1" ht="19.5" customHeight="1">
      <c r="A214" s="113"/>
      <c r="B214" s="210" t="s">
        <v>113</v>
      </c>
      <c r="C214" s="114" t="s">
        <v>252</v>
      </c>
      <c r="D214" s="111"/>
      <c r="E214" s="111"/>
      <c r="F214" s="111">
        <v>20000</v>
      </c>
      <c r="G214" s="111"/>
      <c r="H214" s="141"/>
      <c r="I214" s="148"/>
      <c r="J214" s="37"/>
      <c r="K214" s="148"/>
      <c r="L214" s="37"/>
      <c r="M214" s="37"/>
      <c r="N214" s="15"/>
      <c r="O214" s="15"/>
      <c r="P214" s="15"/>
      <c r="Q214" s="15"/>
      <c r="R214" s="15"/>
      <c r="S214" s="15"/>
      <c r="T214" s="15"/>
      <c r="U214" s="15"/>
      <c r="V214" s="15"/>
      <c r="W214" s="15"/>
    </row>
    <row r="215" spans="1:23" s="28" customFormat="1" ht="19.5" customHeight="1">
      <c r="A215" s="113"/>
      <c r="B215" s="413" t="s">
        <v>239</v>
      </c>
      <c r="C215" s="114"/>
      <c r="D215" s="111">
        <f>SUM(D216:D218)</f>
        <v>2950</v>
      </c>
      <c r="E215" s="111"/>
      <c r="F215" s="111">
        <f>SUM(F216:F218)</f>
        <v>26950</v>
      </c>
      <c r="G215" s="111"/>
      <c r="H215" s="141"/>
      <c r="I215" s="148"/>
      <c r="J215" s="37"/>
      <c r="K215" s="148"/>
      <c r="L215" s="37"/>
      <c r="M215" s="37"/>
      <c r="N215" s="15"/>
      <c r="O215" s="15"/>
      <c r="P215" s="15"/>
      <c r="Q215" s="15"/>
      <c r="R215" s="15"/>
      <c r="S215" s="15"/>
      <c r="T215" s="15"/>
      <c r="U215" s="15"/>
      <c r="V215" s="15"/>
      <c r="W215" s="15"/>
    </row>
    <row r="216" spans="1:23" s="28" customFormat="1" ht="19.5" customHeight="1">
      <c r="A216" s="112"/>
      <c r="B216" s="412"/>
      <c r="C216" s="114" t="s">
        <v>363</v>
      </c>
      <c r="D216" s="111"/>
      <c r="E216" s="111"/>
      <c r="F216" s="111">
        <v>2950</v>
      </c>
      <c r="G216" s="111"/>
      <c r="H216" s="141"/>
      <c r="I216" s="148"/>
      <c r="J216" s="37"/>
      <c r="K216" s="148"/>
      <c r="L216" s="37"/>
      <c r="M216" s="37"/>
      <c r="N216" s="15"/>
      <c r="O216" s="15"/>
      <c r="P216" s="15"/>
      <c r="Q216" s="15"/>
      <c r="R216" s="15"/>
      <c r="S216" s="15"/>
      <c r="T216" s="15"/>
      <c r="U216" s="15"/>
      <c r="V216" s="15"/>
      <c r="W216" s="15"/>
    </row>
    <row r="217" spans="1:23" s="28" customFormat="1" ht="19.5" customHeight="1">
      <c r="A217" s="112"/>
      <c r="B217" s="113"/>
      <c r="C217" s="114" t="s">
        <v>252</v>
      </c>
      <c r="D217" s="111">
        <v>2950</v>
      </c>
      <c r="E217" s="111"/>
      <c r="F217" s="111"/>
      <c r="G217" s="111"/>
      <c r="H217" s="141"/>
      <c r="I217" s="148"/>
      <c r="J217" s="37"/>
      <c r="K217" s="148"/>
      <c r="L217" s="37"/>
      <c r="M217" s="37"/>
      <c r="N217" s="15"/>
      <c r="O217" s="15"/>
      <c r="P217" s="15"/>
      <c r="Q217" s="15"/>
      <c r="R217" s="15"/>
      <c r="S217" s="15"/>
      <c r="T217" s="15"/>
      <c r="U217" s="15"/>
      <c r="V217" s="15"/>
      <c r="W217" s="15"/>
    </row>
    <row r="218" spans="1:23" s="28" customFormat="1" ht="19.5" customHeight="1">
      <c r="A218" s="112"/>
      <c r="B218" s="113"/>
      <c r="C218" s="114" t="s">
        <v>565</v>
      </c>
      <c r="D218" s="111"/>
      <c r="E218" s="111"/>
      <c r="F218" s="111">
        <v>24000</v>
      </c>
      <c r="G218" s="111"/>
      <c r="H218" s="141"/>
      <c r="I218" s="148"/>
      <c r="J218" s="37"/>
      <c r="K218" s="148"/>
      <c r="L218" s="37"/>
      <c r="M218" s="37"/>
      <c r="N218" s="15"/>
      <c r="O218" s="15"/>
      <c r="P218" s="15"/>
      <c r="Q218" s="15"/>
      <c r="R218" s="15"/>
      <c r="S218" s="15"/>
      <c r="T218" s="15"/>
      <c r="U218" s="15"/>
      <c r="V218" s="15"/>
      <c r="W218" s="15"/>
    </row>
    <row r="219" spans="1:23" s="3" customFormat="1" ht="21.75" customHeight="1">
      <c r="A219" s="658" t="s">
        <v>282</v>
      </c>
      <c r="B219" s="659"/>
      <c r="C219" s="164"/>
      <c r="D219" s="46">
        <f>D161+D167+D171+D174+D175+D207+D212</f>
        <v>283081.08</v>
      </c>
      <c r="E219" s="46">
        <f>E161+E167+E171+E174+E175+E207+E212</f>
        <v>0</v>
      </c>
      <c r="F219" s="46">
        <f>F161+F167+F171+F174+F175+F207+F212</f>
        <v>660366</v>
      </c>
      <c r="G219" s="46">
        <f>G161+G167+G171+G174+G175+G207+G212</f>
        <v>0</v>
      </c>
      <c r="H219" s="20"/>
      <c r="I219" s="165"/>
      <c r="J219" s="40"/>
      <c r="K219" s="44"/>
      <c r="L219" s="40"/>
      <c r="M219" s="40"/>
      <c r="N219" s="25"/>
      <c r="O219" s="25"/>
      <c r="P219" s="25"/>
      <c r="Q219" s="25"/>
      <c r="R219" s="25"/>
      <c r="S219" s="25"/>
      <c r="T219" s="25"/>
      <c r="U219" s="25"/>
      <c r="V219" s="25"/>
      <c r="W219" s="25"/>
    </row>
    <row r="220" spans="1:23" s="3" customFormat="1" ht="21.75" customHeight="1">
      <c r="A220" s="166"/>
      <c r="B220" s="167"/>
      <c r="C220" s="168"/>
      <c r="D220" s="27"/>
      <c r="E220" s="27"/>
      <c r="F220" s="27"/>
      <c r="G220" s="27"/>
      <c r="H220" s="20"/>
      <c r="I220" s="165"/>
      <c r="J220" s="40"/>
      <c r="K220" s="44"/>
      <c r="L220" s="40"/>
      <c r="M220" s="40"/>
      <c r="N220" s="25"/>
      <c r="O220" s="25"/>
      <c r="P220" s="25"/>
      <c r="Q220" s="25"/>
      <c r="R220" s="25"/>
      <c r="S220" s="25"/>
      <c r="T220" s="25"/>
      <c r="U220" s="25"/>
      <c r="V220" s="25"/>
      <c r="W220" s="25"/>
    </row>
    <row r="221" spans="1:23" s="3" customFormat="1" ht="21.75" customHeight="1">
      <c r="A221" s="166"/>
      <c r="B221" s="167"/>
      <c r="C221" s="168"/>
      <c r="D221" s="27"/>
      <c r="E221" s="27"/>
      <c r="F221" s="27"/>
      <c r="G221" s="27"/>
      <c r="H221" s="20"/>
      <c r="I221" s="165"/>
      <c r="J221" s="40"/>
      <c r="K221" s="44"/>
      <c r="L221" s="40"/>
      <c r="M221" s="40"/>
      <c r="N221" s="25"/>
      <c r="O221" s="25"/>
      <c r="P221" s="25"/>
      <c r="Q221" s="25"/>
      <c r="R221" s="25"/>
      <c r="S221" s="25"/>
      <c r="T221" s="25"/>
      <c r="U221" s="25"/>
      <c r="V221" s="25"/>
      <c r="W221" s="25"/>
    </row>
    <row r="222" spans="1:23" ht="18.75">
      <c r="A222" s="151" t="s">
        <v>283</v>
      </c>
      <c r="B222" s="129"/>
      <c r="C222" s="153"/>
      <c r="D222" s="18"/>
      <c r="E222" s="18"/>
      <c r="F222" s="18"/>
      <c r="G222" s="18"/>
      <c r="H222" s="21"/>
      <c r="I222" s="139"/>
      <c r="J222" s="38"/>
      <c r="K222" s="154"/>
      <c r="L222" s="39"/>
      <c r="M222" s="36"/>
      <c r="N222" s="16"/>
      <c r="O222" s="16"/>
      <c r="P222" s="16"/>
      <c r="Q222" s="16"/>
      <c r="R222" s="16"/>
      <c r="S222" s="16"/>
      <c r="T222" s="16"/>
      <c r="U222" s="16"/>
      <c r="V222" s="16"/>
      <c r="W222" s="16"/>
    </row>
    <row r="223" spans="1:23" ht="18.75">
      <c r="A223" s="151"/>
      <c r="B223" s="129"/>
      <c r="C223" s="153"/>
      <c r="D223" s="18"/>
      <c r="E223" s="18"/>
      <c r="F223" s="18"/>
      <c r="G223" s="18"/>
      <c r="H223" s="21"/>
      <c r="I223" s="139"/>
      <c r="J223" s="38"/>
      <c r="K223" s="154"/>
      <c r="L223" s="39"/>
      <c r="M223" s="36"/>
      <c r="N223" s="16"/>
      <c r="O223" s="16"/>
      <c r="P223" s="16"/>
      <c r="Q223" s="16"/>
      <c r="R223" s="16"/>
      <c r="S223" s="16"/>
      <c r="T223" s="16"/>
      <c r="U223" s="16"/>
      <c r="V223" s="16"/>
      <c r="W223" s="16"/>
    </row>
    <row r="224" spans="1:23" ht="18.75">
      <c r="A224" s="156" t="s">
        <v>156</v>
      </c>
      <c r="B224" s="152"/>
      <c r="C224" s="157"/>
      <c r="D224" s="19"/>
      <c r="E224" s="19"/>
      <c r="F224" s="19"/>
      <c r="G224" s="19"/>
      <c r="H224" s="17"/>
      <c r="I224" s="139"/>
      <c r="J224" s="37"/>
      <c r="K224" s="132"/>
      <c r="L224" s="36"/>
      <c r="M224" s="36"/>
      <c r="N224" s="16"/>
      <c r="O224" s="16"/>
      <c r="P224" s="16"/>
      <c r="Q224" s="16"/>
      <c r="R224" s="16"/>
      <c r="S224" s="16"/>
      <c r="T224" s="16"/>
      <c r="U224" s="16"/>
      <c r="V224" s="16"/>
      <c r="W224" s="16"/>
    </row>
    <row r="225" spans="1:23" ht="18.75">
      <c r="A225" s="156"/>
      <c r="B225" s="156"/>
      <c r="C225" s="157"/>
      <c r="D225" s="19"/>
      <c r="E225" s="19"/>
      <c r="F225" s="19"/>
      <c r="G225" s="19"/>
      <c r="H225" s="17"/>
      <c r="I225" s="139"/>
      <c r="J225" s="37"/>
      <c r="K225" s="132"/>
      <c r="L225" s="36"/>
      <c r="M225" s="36"/>
      <c r="N225" s="16"/>
      <c r="O225" s="16"/>
      <c r="P225" s="16"/>
      <c r="Q225" s="16"/>
      <c r="R225" s="16"/>
      <c r="S225" s="16"/>
      <c r="T225" s="16"/>
      <c r="U225" s="16"/>
      <c r="V225" s="16"/>
      <c r="W225" s="16"/>
    </row>
    <row r="226" spans="1:23" ht="18.75">
      <c r="A226" s="169"/>
      <c r="B226" s="100"/>
      <c r="C226" s="170"/>
      <c r="D226" s="10" t="s">
        <v>273</v>
      </c>
      <c r="E226" s="11"/>
      <c r="F226" s="10" t="s">
        <v>308</v>
      </c>
      <c r="G226" s="11"/>
      <c r="H226" s="17"/>
      <c r="I226" s="139"/>
      <c r="J226" s="37"/>
      <c r="K226" s="132"/>
      <c r="L226" s="36"/>
      <c r="M226" s="36"/>
      <c r="N226" s="16"/>
      <c r="O226" s="16"/>
      <c r="P226" s="16"/>
      <c r="Q226" s="16"/>
      <c r="R226" s="16"/>
      <c r="S226" s="16"/>
      <c r="T226" s="16"/>
      <c r="U226" s="16"/>
      <c r="V226" s="16"/>
      <c r="W226" s="16"/>
    </row>
    <row r="227" spans="1:23" ht="13.5" customHeight="1">
      <c r="A227" s="171"/>
      <c r="B227" s="102"/>
      <c r="C227" s="172"/>
      <c r="D227" s="12" t="s">
        <v>276</v>
      </c>
      <c r="E227" s="11" t="s">
        <v>275</v>
      </c>
      <c r="F227" s="12" t="s">
        <v>276</v>
      </c>
      <c r="G227" s="11" t="s">
        <v>275</v>
      </c>
      <c r="H227" s="17"/>
      <c r="I227" s="154"/>
      <c r="J227" s="37"/>
      <c r="K227" s="132"/>
      <c r="L227" s="36"/>
      <c r="M227" s="36"/>
      <c r="N227" s="16"/>
      <c r="O227" s="16"/>
      <c r="P227" s="16"/>
      <c r="Q227" s="16"/>
      <c r="R227" s="16"/>
      <c r="S227" s="16"/>
      <c r="T227" s="16"/>
      <c r="U227" s="16"/>
      <c r="V227" s="16"/>
      <c r="W227" s="16"/>
    </row>
    <row r="228" spans="1:23" ht="27.75" customHeight="1">
      <c r="A228" s="173" t="s">
        <v>278</v>
      </c>
      <c r="B228" s="174" t="s">
        <v>284</v>
      </c>
      <c r="C228" s="175" t="s">
        <v>279</v>
      </c>
      <c r="D228" s="176" t="s">
        <v>280</v>
      </c>
      <c r="E228" s="177" t="s">
        <v>281</v>
      </c>
      <c r="F228" s="176" t="s">
        <v>280</v>
      </c>
      <c r="G228" s="177" t="s">
        <v>281</v>
      </c>
      <c r="H228" s="17"/>
      <c r="I228" s="139"/>
      <c r="J228" s="37"/>
      <c r="K228" s="132"/>
      <c r="L228" s="36"/>
      <c r="M228" s="36"/>
      <c r="N228" s="16"/>
      <c r="O228" s="16"/>
      <c r="P228" s="16"/>
      <c r="Q228" s="16"/>
      <c r="R228" s="16"/>
      <c r="S228" s="16"/>
      <c r="T228" s="16"/>
      <c r="U228" s="16"/>
      <c r="V228" s="16"/>
      <c r="W228" s="16"/>
    </row>
    <row r="229" spans="1:13" s="47" customFormat="1" ht="18.75" customHeight="1">
      <c r="A229" s="108" t="s">
        <v>261</v>
      </c>
      <c r="B229" s="160" t="s">
        <v>235</v>
      </c>
      <c r="C229" s="109"/>
      <c r="D229" s="762"/>
      <c r="E229" s="45"/>
      <c r="F229" s="45">
        <f>SUM(F230:F232)</f>
        <v>3336101.69</v>
      </c>
      <c r="G229" s="45"/>
      <c r="I229" s="48"/>
      <c r="J229" s="48"/>
      <c r="K229" s="48"/>
      <c r="L229" s="48"/>
      <c r="M229" s="48"/>
    </row>
    <row r="230" spans="1:13" s="414" customFormat="1" ht="18.75" customHeight="1">
      <c r="A230" s="933"/>
      <c r="B230" s="412"/>
      <c r="C230" s="110" t="s">
        <v>365</v>
      </c>
      <c r="D230" s="111"/>
      <c r="E230" s="420"/>
      <c r="F230" s="420">
        <v>180000</v>
      </c>
      <c r="G230" s="420"/>
      <c r="I230" s="421"/>
      <c r="J230" s="421"/>
      <c r="K230" s="421"/>
      <c r="L230" s="421"/>
      <c r="M230" s="421"/>
    </row>
    <row r="231" spans="1:13" s="414" customFormat="1" ht="18.75" customHeight="1">
      <c r="A231" s="112"/>
      <c r="B231" s="113"/>
      <c r="C231" s="110" t="s">
        <v>252</v>
      </c>
      <c r="D231" s="111"/>
      <c r="E231" s="420"/>
      <c r="F231" s="420">
        <v>100000</v>
      </c>
      <c r="G231" s="420"/>
      <c r="I231" s="421"/>
      <c r="J231" s="421"/>
      <c r="K231" s="421"/>
      <c r="L231" s="421"/>
      <c r="M231" s="421"/>
    </row>
    <row r="232" spans="1:13" s="414" customFormat="1" ht="18.75" customHeight="1">
      <c r="A232" s="780"/>
      <c r="B232" s="126"/>
      <c r="C232" s="110" t="s">
        <v>256</v>
      </c>
      <c r="D232" s="111"/>
      <c r="E232" s="420"/>
      <c r="F232" s="420">
        <f>3406101.69-350000</f>
        <v>3056101.69</v>
      </c>
      <c r="G232" s="420"/>
      <c r="I232" s="421"/>
      <c r="J232" s="421"/>
      <c r="K232" s="421"/>
      <c r="L232" s="421"/>
      <c r="M232" s="421"/>
    </row>
    <row r="233" spans="1:13" s="47" customFormat="1" ht="18.75" customHeight="1">
      <c r="A233" s="931" t="s">
        <v>251</v>
      </c>
      <c r="B233" s="932" t="s">
        <v>241</v>
      </c>
      <c r="C233" s="109" t="s">
        <v>242</v>
      </c>
      <c r="D233" s="106"/>
      <c r="E233" s="45"/>
      <c r="F233" s="45">
        <f>33550-10000</f>
        <v>23550</v>
      </c>
      <c r="G233" s="45"/>
      <c r="I233" s="48"/>
      <c r="J233" s="48"/>
      <c r="K233" s="48"/>
      <c r="L233" s="48"/>
      <c r="M233" s="48"/>
    </row>
    <row r="234" spans="1:13" s="47" customFormat="1" ht="18.75" customHeight="1">
      <c r="A234" s="209" t="s">
        <v>659</v>
      </c>
      <c r="B234" s="105"/>
      <c r="C234" s="109"/>
      <c r="D234" s="106">
        <f>D235+D243+D251+D260</f>
        <v>37635</v>
      </c>
      <c r="E234" s="45"/>
      <c r="F234" s="106">
        <f>F235+F243+F251+F260</f>
        <v>14919</v>
      </c>
      <c r="G234" s="45"/>
      <c r="I234" s="48"/>
      <c r="J234" s="48"/>
      <c r="K234" s="48"/>
      <c r="L234" s="48"/>
      <c r="M234" s="48"/>
    </row>
    <row r="235" spans="1:13" s="414" customFormat="1" ht="18.75" customHeight="1">
      <c r="A235" s="112"/>
      <c r="B235" s="210" t="s">
        <v>14</v>
      </c>
      <c r="C235" s="657"/>
      <c r="D235" s="111">
        <f>SUM(D236:D242)</f>
        <v>2520</v>
      </c>
      <c r="E235" s="420"/>
      <c r="F235" s="111">
        <f>SUM(F236:F242)</f>
        <v>353</v>
      </c>
      <c r="G235" s="420"/>
      <c r="I235" s="421"/>
      <c r="J235" s="421"/>
      <c r="K235" s="421"/>
      <c r="L235" s="421"/>
      <c r="M235" s="421"/>
    </row>
    <row r="236" spans="1:13" s="414" customFormat="1" ht="18.75" customHeight="1">
      <c r="A236" s="112"/>
      <c r="B236" s="113"/>
      <c r="C236" s="657" t="s">
        <v>362</v>
      </c>
      <c r="D236" s="111">
        <v>24</v>
      </c>
      <c r="E236" s="420"/>
      <c r="F236" s="420"/>
      <c r="G236" s="420"/>
      <c r="I236" s="421"/>
      <c r="J236" s="421"/>
      <c r="K236" s="421"/>
      <c r="L236" s="421"/>
      <c r="M236" s="421"/>
    </row>
    <row r="237" spans="1:13" s="414" customFormat="1" ht="18.75" customHeight="1">
      <c r="A237" s="112"/>
      <c r="B237" s="113"/>
      <c r="C237" s="657" t="s">
        <v>364</v>
      </c>
      <c r="D237" s="111">
        <v>625</v>
      </c>
      <c r="E237" s="420"/>
      <c r="F237" s="420"/>
      <c r="G237" s="420"/>
      <c r="I237" s="421"/>
      <c r="J237" s="421"/>
      <c r="K237" s="421"/>
      <c r="L237" s="421"/>
      <c r="M237" s="421"/>
    </row>
    <row r="238" spans="1:13" s="414" customFormat="1" ht="18.75" customHeight="1">
      <c r="A238" s="112"/>
      <c r="B238" s="113"/>
      <c r="C238" s="657" t="s">
        <v>370</v>
      </c>
      <c r="D238" s="111">
        <v>1649</v>
      </c>
      <c r="E238" s="420"/>
      <c r="F238" s="420"/>
      <c r="G238" s="420"/>
      <c r="I238" s="421"/>
      <c r="J238" s="421"/>
      <c r="K238" s="421"/>
      <c r="L238" s="421"/>
      <c r="M238" s="421"/>
    </row>
    <row r="239" spans="1:13" s="414" customFormat="1" ht="18.75" customHeight="1">
      <c r="A239" s="112"/>
      <c r="B239" s="113"/>
      <c r="C239" s="657" t="s">
        <v>365</v>
      </c>
      <c r="D239" s="111"/>
      <c r="E239" s="420"/>
      <c r="F239" s="420">
        <v>350</v>
      </c>
      <c r="G239" s="420"/>
      <c r="I239" s="421"/>
      <c r="J239" s="421"/>
      <c r="K239" s="421"/>
      <c r="L239" s="421"/>
      <c r="M239" s="421"/>
    </row>
    <row r="240" spans="1:13" s="414" customFormat="1" ht="18.75" customHeight="1">
      <c r="A240" s="112"/>
      <c r="B240" s="113"/>
      <c r="C240" s="657" t="s">
        <v>15</v>
      </c>
      <c r="D240" s="111"/>
      <c r="E240" s="420"/>
      <c r="F240" s="420">
        <v>3</v>
      </c>
      <c r="G240" s="420"/>
      <c r="I240" s="421"/>
      <c r="J240" s="421"/>
      <c r="K240" s="421"/>
      <c r="L240" s="421"/>
      <c r="M240" s="421"/>
    </row>
    <row r="241" spans="1:13" s="414" customFormat="1" ht="18.75" customHeight="1">
      <c r="A241" s="112"/>
      <c r="B241" s="113"/>
      <c r="C241" s="657" t="s">
        <v>16</v>
      </c>
      <c r="D241" s="111">
        <v>124</v>
      </c>
      <c r="E241" s="420"/>
      <c r="F241" s="420"/>
      <c r="G241" s="420"/>
      <c r="I241" s="421"/>
      <c r="J241" s="421"/>
      <c r="K241" s="421"/>
      <c r="L241" s="421"/>
      <c r="M241" s="421"/>
    </row>
    <row r="242" spans="1:13" s="414" customFormat="1" ht="18.75" customHeight="1">
      <c r="A242" s="112"/>
      <c r="B242" s="113"/>
      <c r="C242" s="657" t="s">
        <v>366</v>
      </c>
      <c r="D242" s="111">
        <v>98</v>
      </c>
      <c r="E242" s="420"/>
      <c r="F242" s="420"/>
      <c r="G242" s="420"/>
      <c r="I242" s="421"/>
      <c r="J242" s="421"/>
      <c r="K242" s="421"/>
      <c r="L242" s="421"/>
      <c r="M242" s="421"/>
    </row>
    <row r="243" spans="1:13" s="414" customFormat="1" ht="18.75" customHeight="1">
      <c r="A243" s="112"/>
      <c r="B243" s="210" t="s">
        <v>17</v>
      </c>
      <c r="C243" s="657"/>
      <c r="D243" s="111">
        <f>SUM(D244:D250)</f>
        <v>1005</v>
      </c>
      <c r="E243" s="420"/>
      <c r="F243" s="111">
        <f>SUM(F244:F250)</f>
        <v>2363</v>
      </c>
      <c r="G243" s="420"/>
      <c r="I243" s="421"/>
      <c r="J243" s="421"/>
      <c r="K243" s="421"/>
      <c r="L243" s="421"/>
      <c r="M243" s="421"/>
    </row>
    <row r="244" spans="1:13" s="414" customFormat="1" ht="18.75" customHeight="1">
      <c r="A244" s="112"/>
      <c r="B244" s="113"/>
      <c r="C244" s="657" t="s">
        <v>362</v>
      </c>
      <c r="D244" s="111">
        <v>564</v>
      </c>
      <c r="E244" s="420"/>
      <c r="F244" s="420"/>
      <c r="G244" s="420"/>
      <c r="I244" s="421"/>
      <c r="J244" s="421"/>
      <c r="K244" s="421"/>
      <c r="L244" s="421"/>
      <c r="M244" s="421"/>
    </row>
    <row r="245" spans="1:13" s="414" customFormat="1" ht="18.75" customHeight="1">
      <c r="A245" s="112"/>
      <c r="B245" s="113"/>
      <c r="C245" s="657" t="s">
        <v>364</v>
      </c>
      <c r="D245" s="111">
        <v>313</v>
      </c>
      <c r="E245" s="420"/>
      <c r="F245" s="420"/>
      <c r="G245" s="420"/>
      <c r="I245" s="421"/>
      <c r="J245" s="421"/>
      <c r="K245" s="421"/>
      <c r="L245" s="421"/>
      <c r="M245" s="421"/>
    </row>
    <row r="246" spans="1:13" s="414" customFormat="1" ht="18.75" customHeight="1">
      <c r="A246" s="112"/>
      <c r="B246" s="113"/>
      <c r="C246" s="657" t="s">
        <v>370</v>
      </c>
      <c r="D246" s="111"/>
      <c r="E246" s="420"/>
      <c r="F246" s="420">
        <v>2188</v>
      </c>
      <c r="G246" s="420"/>
      <c r="I246" s="421"/>
      <c r="J246" s="421"/>
      <c r="K246" s="421"/>
      <c r="L246" s="421"/>
      <c r="M246" s="421"/>
    </row>
    <row r="247" spans="1:13" s="414" customFormat="1" ht="18.75" customHeight="1">
      <c r="A247" s="112"/>
      <c r="B247" s="113"/>
      <c r="C247" s="657" t="s">
        <v>365</v>
      </c>
      <c r="D247" s="111"/>
      <c r="E247" s="420"/>
      <c r="F247" s="420">
        <v>175</v>
      </c>
      <c r="G247" s="420"/>
      <c r="I247" s="421"/>
      <c r="J247" s="421"/>
      <c r="K247" s="421"/>
      <c r="L247" s="421"/>
      <c r="M247" s="421"/>
    </row>
    <row r="248" spans="1:13" s="414" customFormat="1" ht="17.25" customHeight="1">
      <c r="A248" s="112"/>
      <c r="B248" s="113"/>
      <c r="C248" s="657" t="s">
        <v>15</v>
      </c>
      <c r="D248" s="111">
        <v>28</v>
      </c>
      <c r="E248" s="420"/>
      <c r="F248" s="420"/>
      <c r="G248" s="420"/>
      <c r="I248" s="421"/>
      <c r="J248" s="421"/>
      <c r="K248" s="421"/>
      <c r="L248" s="421"/>
      <c r="M248" s="421"/>
    </row>
    <row r="249" spans="1:13" s="414" customFormat="1" ht="17.25" customHeight="1">
      <c r="A249" s="112"/>
      <c r="B249" s="113"/>
      <c r="C249" s="657" t="s">
        <v>16</v>
      </c>
      <c r="D249" s="111">
        <v>52</v>
      </c>
      <c r="E249" s="420"/>
      <c r="F249" s="420"/>
      <c r="G249" s="420"/>
      <c r="I249" s="421"/>
      <c r="J249" s="421"/>
      <c r="K249" s="421"/>
      <c r="L249" s="421"/>
      <c r="M249" s="421"/>
    </row>
    <row r="250" spans="1:13" s="414" customFormat="1" ht="18.75" customHeight="1">
      <c r="A250" s="112"/>
      <c r="B250" s="113"/>
      <c r="C250" s="657" t="s">
        <v>366</v>
      </c>
      <c r="D250" s="111">
        <v>48</v>
      </c>
      <c r="E250" s="420"/>
      <c r="F250" s="420"/>
      <c r="G250" s="420"/>
      <c r="I250" s="421"/>
      <c r="J250" s="421"/>
      <c r="K250" s="421"/>
      <c r="L250" s="421"/>
      <c r="M250" s="421"/>
    </row>
    <row r="251" spans="1:13" s="414" customFormat="1" ht="18.75" customHeight="1">
      <c r="A251" s="112"/>
      <c r="B251" s="412" t="s">
        <v>372</v>
      </c>
      <c r="C251" s="657"/>
      <c r="D251" s="111">
        <f>SUM(D252:D259)</f>
        <v>560</v>
      </c>
      <c r="E251" s="420"/>
      <c r="F251" s="111">
        <f>SUM(F252:F259)</f>
        <v>12203</v>
      </c>
      <c r="G251" s="420"/>
      <c r="I251" s="421"/>
      <c r="J251" s="421"/>
      <c r="K251" s="421"/>
      <c r="L251" s="421"/>
      <c r="M251" s="421"/>
    </row>
    <row r="252" spans="1:13" s="414" customFormat="1" ht="18.75" customHeight="1">
      <c r="A252" s="112"/>
      <c r="B252" s="412"/>
      <c r="C252" s="657" t="s">
        <v>362</v>
      </c>
      <c r="D252" s="111"/>
      <c r="E252" s="420"/>
      <c r="F252" s="420">
        <v>616</v>
      </c>
      <c r="G252" s="420"/>
      <c r="I252" s="421"/>
      <c r="J252" s="421"/>
      <c r="K252" s="421"/>
      <c r="L252" s="421"/>
      <c r="M252" s="421"/>
    </row>
    <row r="253" spans="1:13" s="414" customFormat="1" ht="18.75" customHeight="1">
      <c r="A253" s="112"/>
      <c r="B253" s="113"/>
      <c r="C253" s="657" t="s">
        <v>364</v>
      </c>
      <c r="D253" s="111"/>
      <c r="E253" s="420"/>
      <c r="F253" s="420">
        <v>1000</v>
      </c>
      <c r="G253" s="420"/>
      <c r="I253" s="421"/>
      <c r="J253" s="421"/>
      <c r="K253" s="421"/>
      <c r="L253" s="421"/>
      <c r="M253" s="421"/>
    </row>
    <row r="254" spans="1:13" s="414" customFormat="1" ht="18.75" customHeight="1">
      <c r="A254" s="112"/>
      <c r="B254" s="113"/>
      <c r="C254" s="657" t="s">
        <v>370</v>
      </c>
      <c r="D254" s="111"/>
      <c r="E254" s="420"/>
      <c r="F254" s="420">
        <v>218</v>
      </c>
      <c r="G254" s="420"/>
      <c r="I254" s="421"/>
      <c r="J254" s="421"/>
      <c r="K254" s="421"/>
      <c r="L254" s="421"/>
      <c r="M254" s="421"/>
    </row>
    <row r="255" spans="1:13" s="414" customFormat="1" ht="18.75" customHeight="1">
      <c r="A255" s="112"/>
      <c r="B255" s="113"/>
      <c r="C255" s="657" t="s">
        <v>365</v>
      </c>
      <c r="D255" s="111">
        <v>560</v>
      </c>
      <c r="E255" s="420"/>
      <c r="F255" s="420"/>
      <c r="G255" s="420"/>
      <c r="I255" s="421"/>
      <c r="J255" s="421"/>
      <c r="K255" s="421"/>
      <c r="L255" s="421"/>
      <c r="M255" s="421"/>
    </row>
    <row r="256" spans="1:13" s="414" customFormat="1" ht="18.75" customHeight="1">
      <c r="A256" s="112"/>
      <c r="B256" s="113"/>
      <c r="C256" s="657" t="s">
        <v>252</v>
      </c>
      <c r="D256" s="111"/>
      <c r="E256" s="420"/>
      <c r="F256" s="420">
        <v>10000</v>
      </c>
      <c r="G256" s="420"/>
      <c r="I256" s="421"/>
      <c r="J256" s="421"/>
      <c r="K256" s="421"/>
      <c r="L256" s="421"/>
      <c r="M256" s="421"/>
    </row>
    <row r="257" spans="1:13" s="414" customFormat="1" ht="18.75" customHeight="1">
      <c r="A257" s="112"/>
      <c r="B257" s="113"/>
      <c r="C257" s="657" t="s">
        <v>15</v>
      </c>
      <c r="D257" s="111"/>
      <c r="E257" s="420"/>
      <c r="F257" s="420">
        <v>25</v>
      </c>
      <c r="G257" s="420"/>
      <c r="I257" s="421"/>
      <c r="J257" s="421"/>
      <c r="K257" s="421"/>
      <c r="L257" s="421"/>
      <c r="M257" s="421"/>
    </row>
    <row r="258" spans="1:13" s="414" customFormat="1" ht="18.75" customHeight="1">
      <c r="A258" s="112"/>
      <c r="B258" s="113"/>
      <c r="C258" s="657" t="s">
        <v>16</v>
      </c>
      <c r="D258" s="111"/>
      <c r="E258" s="420"/>
      <c r="F258" s="420">
        <v>188</v>
      </c>
      <c r="G258" s="420"/>
      <c r="I258" s="421"/>
      <c r="J258" s="421"/>
      <c r="K258" s="421"/>
      <c r="L258" s="421"/>
      <c r="M258" s="421"/>
    </row>
    <row r="259" spans="1:13" s="414" customFormat="1" ht="18.75" customHeight="1">
      <c r="A259" s="112"/>
      <c r="B259" s="126"/>
      <c r="C259" s="657" t="s">
        <v>366</v>
      </c>
      <c r="D259" s="111"/>
      <c r="E259" s="420"/>
      <c r="F259" s="420">
        <v>156</v>
      </c>
      <c r="G259" s="420"/>
      <c r="I259" s="421"/>
      <c r="J259" s="421"/>
      <c r="K259" s="421"/>
      <c r="L259" s="421"/>
      <c r="M259" s="421"/>
    </row>
    <row r="260" spans="1:13" s="414" customFormat="1" ht="18.75" customHeight="1">
      <c r="A260" s="112"/>
      <c r="B260" s="113" t="s">
        <v>237</v>
      </c>
      <c r="C260" s="657" t="s">
        <v>557</v>
      </c>
      <c r="D260" s="111">
        <v>33550</v>
      </c>
      <c r="E260" s="420"/>
      <c r="F260" s="420"/>
      <c r="G260" s="420"/>
      <c r="I260" s="421"/>
      <c r="J260" s="421"/>
      <c r="K260" s="421"/>
      <c r="L260" s="421"/>
      <c r="M260" s="421"/>
    </row>
    <row r="261" spans="1:13" s="414" customFormat="1" ht="18.75" customHeight="1">
      <c r="A261" s="108" t="s">
        <v>20</v>
      </c>
      <c r="B261" s="160" t="s">
        <v>21</v>
      </c>
      <c r="C261" s="109" t="s">
        <v>22</v>
      </c>
      <c r="D261" s="106"/>
      <c r="E261" s="45"/>
      <c r="F261" s="45">
        <v>53000</v>
      </c>
      <c r="G261" s="420"/>
      <c r="I261" s="421"/>
      <c r="J261" s="421"/>
      <c r="K261" s="421"/>
      <c r="L261" s="421"/>
      <c r="M261" s="421"/>
    </row>
    <row r="262" spans="1:13" s="47" customFormat="1" ht="18.75" customHeight="1">
      <c r="A262" s="209" t="s">
        <v>18</v>
      </c>
      <c r="B262" s="105" t="s">
        <v>19</v>
      </c>
      <c r="C262" s="109"/>
      <c r="D262" s="106">
        <f>SUM(D263:D268)</f>
        <v>869</v>
      </c>
      <c r="E262" s="45"/>
      <c r="F262" s="106">
        <f>SUM(F263:F268)</f>
        <v>35</v>
      </c>
      <c r="G262" s="45"/>
      <c r="I262" s="48"/>
      <c r="J262" s="48"/>
      <c r="K262" s="48"/>
      <c r="L262" s="48"/>
      <c r="M262" s="48"/>
    </row>
    <row r="263" spans="1:13" s="414" customFormat="1" ht="18.75" customHeight="1">
      <c r="A263" s="112"/>
      <c r="B263" s="113"/>
      <c r="C263" s="114" t="s">
        <v>362</v>
      </c>
      <c r="D263" s="111">
        <v>28</v>
      </c>
      <c r="E263" s="420"/>
      <c r="F263" s="420"/>
      <c r="G263" s="420"/>
      <c r="I263" s="421"/>
      <c r="J263" s="421"/>
      <c r="K263" s="421"/>
      <c r="L263" s="421"/>
      <c r="M263" s="421"/>
    </row>
    <row r="264" spans="1:13" s="414" customFormat="1" ht="18.75" customHeight="1">
      <c r="A264" s="112"/>
      <c r="B264" s="113"/>
      <c r="C264" s="114" t="s">
        <v>364</v>
      </c>
      <c r="D264" s="111">
        <v>63</v>
      </c>
      <c r="E264" s="420"/>
      <c r="F264" s="420"/>
      <c r="G264" s="420"/>
      <c r="I264" s="421"/>
      <c r="J264" s="421"/>
      <c r="K264" s="421"/>
      <c r="L264" s="421"/>
      <c r="M264" s="421"/>
    </row>
    <row r="265" spans="1:13" s="414" customFormat="1" ht="18.75" customHeight="1">
      <c r="A265" s="112"/>
      <c r="B265" s="113"/>
      <c r="C265" s="114" t="s">
        <v>370</v>
      </c>
      <c r="D265" s="111">
        <v>757</v>
      </c>
      <c r="E265" s="420"/>
      <c r="F265" s="420"/>
      <c r="G265" s="420"/>
      <c r="I265" s="421"/>
      <c r="J265" s="421"/>
      <c r="K265" s="421"/>
      <c r="L265" s="421"/>
      <c r="M265" s="421"/>
    </row>
    <row r="266" spans="1:13" s="47" customFormat="1" ht="18.75" customHeight="1">
      <c r="A266" s="777"/>
      <c r="B266" s="113"/>
      <c r="C266" s="110" t="s">
        <v>365</v>
      </c>
      <c r="D266" s="111"/>
      <c r="E266" s="45"/>
      <c r="F266" s="420">
        <v>35</v>
      </c>
      <c r="G266" s="45"/>
      <c r="I266" s="48"/>
      <c r="J266" s="48"/>
      <c r="K266" s="48"/>
      <c r="L266" s="48"/>
      <c r="M266" s="48"/>
    </row>
    <row r="267" spans="1:13" s="47" customFormat="1" ht="18.75" customHeight="1">
      <c r="A267" s="777"/>
      <c r="B267" s="113"/>
      <c r="C267" s="110" t="s">
        <v>16</v>
      </c>
      <c r="D267" s="124">
        <v>12</v>
      </c>
      <c r="E267" s="45"/>
      <c r="F267" s="420"/>
      <c r="G267" s="45"/>
      <c r="I267" s="48"/>
      <c r="J267" s="48"/>
      <c r="K267" s="48"/>
      <c r="L267" s="48"/>
      <c r="M267" s="48"/>
    </row>
    <row r="268" spans="1:13" s="47" customFormat="1" ht="18.75" customHeight="1">
      <c r="A268" s="777"/>
      <c r="B268" s="113"/>
      <c r="C268" s="657" t="s">
        <v>366</v>
      </c>
      <c r="D268" s="124">
        <v>9</v>
      </c>
      <c r="E268" s="45"/>
      <c r="F268" s="420"/>
      <c r="G268" s="45"/>
      <c r="I268" s="48"/>
      <c r="J268" s="48"/>
      <c r="K268" s="48"/>
      <c r="L268" s="48"/>
      <c r="M268" s="48"/>
    </row>
    <row r="269" spans="1:13" s="47" customFormat="1" ht="18.75" customHeight="1">
      <c r="A269" s="209" t="s">
        <v>120</v>
      </c>
      <c r="B269" s="105" t="s">
        <v>121</v>
      </c>
      <c r="C269" s="109" t="s">
        <v>122</v>
      </c>
      <c r="D269" s="121"/>
      <c r="E269" s="45"/>
      <c r="F269" s="45">
        <v>2200</v>
      </c>
      <c r="G269" s="45"/>
      <c r="I269" s="48"/>
      <c r="J269" s="48"/>
      <c r="K269" s="48"/>
      <c r="L269" s="48"/>
      <c r="M269" s="48"/>
    </row>
    <row r="270" spans="1:23" s="3" customFormat="1" ht="21.75" customHeight="1">
      <c r="A270" s="162" t="s">
        <v>282</v>
      </c>
      <c r="B270" s="163"/>
      <c r="C270" s="110"/>
      <c r="D270" s="46">
        <f>D229+D233+D234+D261+D262+D269</f>
        <v>38504</v>
      </c>
      <c r="E270" s="46">
        <f>E229+E233+E234+E261+E262+E269</f>
        <v>0</v>
      </c>
      <c r="F270" s="46">
        <f>F229+F233+F234+F261+F262+F269</f>
        <v>3429805.69</v>
      </c>
      <c r="G270" s="46">
        <f>G229+G233+G234+G261+G262+G269</f>
        <v>0</v>
      </c>
      <c r="H270" s="20"/>
      <c r="I270" s="165"/>
      <c r="J270" s="44"/>
      <c r="K270" s="44"/>
      <c r="L270" s="40"/>
      <c r="M270" s="40"/>
      <c r="N270" s="25"/>
      <c r="O270" s="25"/>
      <c r="P270" s="25"/>
      <c r="Q270" s="25"/>
      <c r="R270" s="25"/>
      <c r="S270" s="25"/>
      <c r="T270" s="25"/>
      <c r="U270" s="25"/>
      <c r="V270" s="25"/>
      <c r="W270" s="25"/>
    </row>
    <row r="271" spans="1:23" s="3" customFormat="1" ht="21.75" customHeight="1">
      <c r="A271" s="166"/>
      <c r="B271" s="167"/>
      <c r="C271" s="167"/>
      <c r="D271" s="27"/>
      <c r="E271" s="27"/>
      <c r="F271" s="27"/>
      <c r="G271" s="27"/>
      <c r="H271" s="20"/>
      <c r="I271" s="165"/>
      <c r="J271" s="44"/>
      <c r="K271" s="44"/>
      <c r="L271" s="40"/>
      <c r="M271" s="40"/>
      <c r="N271" s="25"/>
      <c r="O271" s="25"/>
      <c r="P271" s="25"/>
      <c r="Q271" s="25"/>
      <c r="R271" s="25"/>
      <c r="S271" s="25"/>
      <c r="T271" s="25"/>
      <c r="U271" s="25"/>
      <c r="V271" s="25"/>
      <c r="W271" s="25"/>
    </row>
    <row r="272" spans="1:23" s="3" customFormat="1" ht="21.75" customHeight="1">
      <c r="A272" s="166"/>
      <c r="B272" s="167"/>
      <c r="C272" s="167"/>
      <c r="D272" s="27"/>
      <c r="E272" s="27"/>
      <c r="F272" s="27"/>
      <c r="G272" s="27"/>
      <c r="H272" s="20"/>
      <c r="I272" s="165"/>
      <c r="J272" s="44"/>
      <c r="K272" s="44"/>
      <c r="L272" s="40"/>
      <c r="M272" s="40"/>
      <c r="N272" s="25"/>
      <c r="O272" s="25"/>
      <c r="P272" s="25"/>
      <c r="Q272" s="25"/>
      <c r="R272" s="25"/>
      <c r="S272" s="25"/>
      <c r="T272" s="25"/>
      <c r="U272" s="25"/>
      <c r="V272" s="25"/>
      <c r="W272" s="25"/>
    </row>
    <row r="273" spans="1:23" s="3" customFormat="1" ht="21.75" customHeight="1">
      <c r="A273" s="166"/>
      <c r="B273" s="167"/>
      <c r="C273" s="167"/>
      <c r="D273" s="27"/>
      <c r="E273" s="27"/>
      <c r="F273" s="27"/>
      <c r="G273" s="27"/>
      <c r="H273" s="20"/>
      <c r="I273" s="165"/>
      <c r="J273" s="44"/>
      <c r="K273" s="44"/>
      <c r="L273" s="40"/>
      <c r="M273" s="40"/>
      <c r="N273" s="25"/>
      <c r="O273" s="25"/>
      <c r="P273" s="25"/>
      <c r="Q273" s="25"/>
      <c r="R273" s="25"/>
      <c r="S273" s="25"/>
      <c r="T273" s="25"/>
      <c r="U273" s="25"/>
      <c r="V273" s="25"/>
      <c r="W273" s="25"/>
    </row>
    <row r="274" spans="1:23" s="3" customFormat="1" ht="21.75" customHeight="1">
      <c r="A274" s="166"/>
      <c r="B274" s="167"/>
      <c r="C274" s="167"/>
      <c r="D274" s="27"/>
      <c r="E274" s="27"/>
      <c r="F274" s="27"/>
      <c r="G274" s="27"/>
      <c r="H274" s="20"/>
      <c r="I274" s="165"/>
      <c r="J274" s="44"/>
      <c r="K274" s="44"/>
      <c r="L274" s="40"/>
      <c r="M274" s="40"/>
      <c r="N274" s="25"/>
      <c r="O274" s="25"/>
      <c r="P274" s="25"/>
      <c r="Q274" s="25"/>
      <c r="R274" s="25"/>
      <c r="S274" s="25"/>
      <c r="T274" s="25"/>
      <c r="U274" s="25"/>
      <c r="V274" s="25"/>
      <c r="W274" s="25"/>
    </row>
    <row r="275" spans="1:23" s="3" customFormat="1" ht="21.75" customHeight="1">
      <c r="A275" s="70" t="s">
        <v>667</v>
      </c>
      <c r="B275" s="167"/>
      <c r="C275" s="130"/>
      <c r="D275" s="16"/>
      <c r="E275" s="16"/>
      <c r="F275" s="27"/>
      <c r="G275" s="27"/>
      <c r="H275" s="20"/>
      <c r="I275" s="165"/>
      <c r="J275" s="40"/>
      <c r="K275" s="44"/>
      <c r="L275" s="40"/>
      <c r="M275" s="40"/>
      <c r="N275" s="25"/>
      <c r="O275" s="25"/>
      <c r="P275" s="25"/>
      <c r="Q275" s="25"/>
      <c r="R275" s="25"/>
      <c r="S275" s="25"/>
      <c r="T275" s="25"/>
      <c r="U275" s="25"/>
      <c r="V275" s="25"/>
      <c r="W275" s="25"/>
    </row>
    <row r="276" spans="1:23" s="3" customFormat="1" ht="21.75" customHeight="1">
      <c r="A276" s="70"/>
      <c r="B276" s="167"/>
      <c r="C276" s="130"/>
      <c r="D276" s="16"/>
      <c r="E276" s="16"/>
      <c r="F276" s="27"/>
      <c r="G276" s="27"/>
      <c r="H276" s="20"/>
      <c r="I276" s="165"/>
      <c r="J276" s="40"/>
      <c r="K276" s="44"/>
      <c r="L276" s="40"/>
      <c r="M276" s="40"/>
      <c r="N276" s="25"/>
      <c r="O276" s="25"/>
      <c r="P276" s="25"/>
      <c r="Q276" s="25"/>
      <c r="R276" s="25"/>
      <c r="S276" s="25"/>
      <c r="T276" s="25"/>
      <c r="U276" s="25"/>
      <c r="V276" s="25"/>
      <c r="W276" s="25"/>
    </row>
    <row r="277" spans="1:23" s="3" customFormat="1" ht="18.75" customHeight="1">
      <c r="A277" s="179" t="s">
        <v>309</v>
      </c>
      <c r="B277" s="129"/>
      <c r="C277" s="130"/>
      <c r="D277" s="16"/>
      <c r="E277" s="16"/>
      <c r="F277" s="27"/>
      <c r="G277" s="27"/>
      <c r="H277" s="20"/>
      <c r="I277" s="165"/>
      <c r="J277" s="40"/>
      <c r="K277" s="44"/>
      <c r="L277" s="40"/>
      <c r="M277" s="40"/>
      <c r="N277" s="25"/>
      <c r="O277" s="25"/>
      <c r="P277" s="25"/>
      <c r="Q277" s="25"/>
      <c r="R277" s="25"/>
      <c r="S277" s="25"/>
      <c r="T277" s="25"/>
      <c r="U277" s="25"/>
      <c r="V277" s="25"/>
      <c r="W277" s="25"/>
    </row>
    <row r="278" spans="1:23" s="3" customFormat="1" ht="21" customHeight="1">
      <c r="A278" s="180" t="s">
        <v>668</v>
      </c>
      <c r="B278" s="129"/>
      <c r="C278" s="181"/>
      <c r="D278" s="22"/>
      <c r="E278" s="16"/>
      <c r="F278" s="27"/>
      <c r="G278" s="27"/>
      <c r="H278" s="20"/>
      <c r="I278" s="165"/>
      <c r="J278" s="40"/>
      <c r="K278" s="44"/>
      <c r="L278" s="40"/>
      <c r="M278" s="40"/>
      <c r="N278" s="25"/>
      <c r="O278" s="25"/>
      <c r="P278" s="25"/>
      <c r="Q278" s="25"/>
      <c r="R278" s="25"/>
      <c r="S278" s="25"/>
      <c r="T278" s="25"/>
      <c r="U278" s="25"/>
      <c r="V278" s="25"/>
      <c r="W278" s="25"/>
    </row>
    <row r="279" spans="1:23" s="3" customFormat="1" ht="21" customHeight="1">
      <c r="A279" s="179"/>
      <c r="B279" s="129"/>
      <c r="C279" s="181"/>
      <c r="D279" s="22"/>
      <c r="E279" s="16"/>
      <c r="F279" s="27"/>
      <c r="G279" s="27"/>
      <c r="H279" s="20"/>
      <c r="I279" s="165"/>
      <c r="J279" s="40"/>
      <c r="K279" s="44"/>
      <c r="L279" s="40"/>
      <c r="M279" s="40"/>
      <c r="N279" s="25"/>
      <c r="O279" s="25"/>
      <c r="P279" s="25"/>
      <c r="Q279" s="25"/>
      <c r="R279" s="25"/>
      <c r="S279" s="25"/>
      <c r="T279" s="25"/>
      <c r="U279" s="25"/>
      <c r="V279" s="25"/>
      <c r="W279" s="25"/>
    </row>
    <row r="280" spans="1:23" s="3" customFormat="1" ht="21.75" customHeight="1">
      <c r="A280" s="182" t="s">
        <v>310</v>
      </c>
      <c r="B280" s="183"/>
      <c r="C280" s="167"/>
      <c r="D280" s="50"/>
      <c r="E280" s="50"/>
      <c r="F280" s="50"/>
      <c r="G280" s="50"/>
      <c r="H280" s="51"/>
      <c r="I280" s="165"/>
      <c r="J280" s="52"/>
      <c r="K280" s="44"/>
      <c r="L280" s="52"/>
      <c r="M280" s="52"/>
      <c r="N280" s="51"/>
      <c r="O280" s="51"/>
      <c r="P280" s="51"/>
      <c r="Q280" s="51"/>
      <c r="R280" s="51"/>
      <c r="S280" s="51"/>
      <c r="T280" s="51"/>
      <c r="U280" s="51"/>
      <c r="V280" s="51"/>
      <c r="W280" s="51"/>
    </row>
    <row r="281" spans="1:23" s="3" customFormat="1" ht="15" customHeight="1">
      <c r="A281" s="184"/>
      <c r="B281" s="183"/>
      <c r="C281" s="185"/>
      <c r="D281" s="50"/>
      <c r="E281" s="50"/>
      <c r="F281" s="50"/>
      <c r="G281" s="50"/>
      <c r="H281" s="25"/>
      <c r="I281" s="165"/>
      <c r="J281" s="52"/>
      <c r="K281" s="44"/>
      <c r="L281" s="52"/>
      <c r="M281" s="52"/>
      <c r="N281" s="51"/>
      <c r="O281" s="51"/>
      <c r="P281" s="51"/>
      <c r="Q281" s="51"/>
      <c r="R281" s="51"/>
      <c r="S281" s="51"/>
      <c r="T281" s="51"/>
      <c r="U281" s="51"/>
      <c r="V281" s="51"/>
      <c r="W281" s="51"/>
    </row>
    <row r="282" spans="1:23" s="3" customFormat="1" ht="15" customHeight="1">
      <c r="A282" s="184"/>
      <c r="B282" s="183"/>
      <c r="C282" s="185"/>
      <c r="D282" s="50"/>
      <c r="E282" s="50"/>
      <c r="F282" s="50"/>
      <c r="G282" s="50"/>
      <c r="H282" s="25"/>
      <c r="I282" s="165"/>
      <c r="J282" s="52"/>
      <c r="K282" s="44"/>
      <c r="L282" s="52"/>
      <c r="M282" s="52"/>
      <c r="N282" s="51"/>
      <c r="O282" s="51"/>
      <c r="P282" s="51"/>
      <c r="Q282" s="51"/>
      <c r="R282" s="51"/>
      <c r="S282" s="51"/>
      <c r="T282" s="51"/>
      <c r="U282" s="51"/>
      <c r="V282" s="51"/>
      <c r="W282" s="51"/>
    </row>
    <row r="283" spans="1:23" s="3" customFormat="1" ht="15" customHeight="1">
      <c r="A283" s="184" t="s">
        <v>127</v>
      </c>
      <c r="B283" s="183"/>
      <c r="C283" s="185"/>
      <c r="D283" s="50"/>
      <c r="E283" s="50"/>
      <c r="F283" s="50"/>
      <c r="G283" s="50"/>
      <c r="H283" s="25">
        <f>H285</f>
        <v>15000</v>
      </c>
      <c r="I283" s="165"/>
      <c r="J283" s="52"/>
      <c r="K283" s="44"/>
      <c r="L283" s="52"/>
      <c r="M283" s="52"/>
      <c r="N283" s="51"/>
      <c r="O283" s="51"/>
      <c r="P283" s="51"/>
      <c r="Q283" s="51"/>
      <c r="R283" s="51"/>
      <c r="S283" s="51"/>
      <c r="T283" s="51"/>
      <c r="U283" s="51"/>
      <c r="V283" s="51"/>
      <c r="W283" s="51"/>
    </row>
    <row r="284" spans="1:23" s="3" customFormat="1" ht="15" customHeight="1">
      <c r="A284" s="70" t="s">
        <v>275</v>
      </c>
      <c r="B284" s="186"/>
      <c r="C284" s="185"/>
      <c r="D284" s="50"/>
      <c r="E284" s="50"/>
      <c r="F284" s="50"/>
      <c r="G284" s="50"/>
      <c r="H284" s="25"/>
      <c r="I284" s="165"/>
      <c r="J284" s="52"/>
      <c r="K284" s="44"/>
      <c r="L284" s="52"/>
      <c r="M284" s="52"/>
      <c r="N284" s="51"/>
      <c r="O284" s="51"/>
      <c r="P284" s="51"/>
      <c r="Q284" s="51"/>
      <c r="R284" s="51"/>
      <c r="S284" s="51"/>
      <c r="T284" s="51"/>
      <c r="U284" s="51"/>
      <c r="V284" s="51"/>
      <c r="W284" s="51"/>
    </row>
    <row r="285" spans="1:23" s="3" customFormat="1" ht="15" customHeight="1">
      <c r="A285" s="136" t="s">
        <v>128</v>
      </c>
      <c r="B285" s="167"/>
      <c r="C285" s="185"/>
      <c r="D285" s="50"/>
      <c r="E285" s="50"/>
      <c r="F285" s="50"/>
      <c r="G285" s="50"/>
      <c r="H285" s="25">
        <f>H287</f>
        <v>15000</v>
      </c>
      <c r="I285" s="165"/>
      <c r="J285" s="52"/>
      <c r="K285" s="44"/>
      <c r="L285" s="52"/>
      <c r="M285" s="52"/>
      <c r="N285" s="51"/>
      <c r="O285" s="51"/>
      <c r="P285" s="51"/>
      <c r="Q285" s="51"/>
      <c r="R285" s="51"/>
      <c r="S285" s="51"/>
      <c r="T285" s="51"/>
      <c r="U285" s="51"/>
      <c r="V285" s="51"/>
      <c r="W285" s="51"/>
    </row>
    <row r="286" spans="1:23" s="3" customFormat="1" ht="15" customHeight="1">
      <c r="A286" s="934" t="s">
        <v>275</v>
      </c>
      <c r="B286" s="183"/>
      <c r="C286" s="935"/>
      <c r="D286" s="50"/>
      <c r="E286" s="50"/>
      <c r="F286" s="50"/>
      <c r="G286" s="50"/>
      <c r="H286" s="51"/>
      <c r="I286" s="739"/>
      <c r="J286" s="52"/>
      <c r="K286" s="740"/>
      <c r="L286" s="52"/>
      <c r="M286" s="52"/>
      <c r="N286" s="51"/>
      <c r="O286" s="51"/>
      <c r="P286" s="51"/>
      <c r="Q286" s="51"/>
      <c r="R286" s="51"/>
      <c r="S286" s="51"/>
      <c r="T286" s="51"/>
      <c r="U286" s="51"/>
      <c r="V286" s="51"/>
      <c r="W286" s="51"/>
    </row>
    <row r="287" spans="1:23" s="3" customFormat="1" ht="15" customHeight="1">
      <c r="A287" s="184"/>
      <c r="B287" s="179" t="s">
        <v>73</v>
      </c>
      <c r="C287" s="185"/>
      <c r="D287" s="50"/>
      <c r="E287" s="50"/>
      <c r="F287" s="50"/>
      <c r="G287" s="50"/>
      <c r="H287" s="51">
        <v>15000</v>
      </c>
      <c r="I287" s="165"/>
      <c r="J287" s="52"/>
      <c r="K287" s="44"/>
      <c r="L287" s="52"/>
      <c r="M287" s="52"/>
      <c r="N287" s="51"/>
      <c r="O287" s="51"/>
      <c r="P287" s="51"/>
      <c r="Q287" s="51"/>
      <c r="R287" s="51"/>
      <c r="S287" s="51"/>
      <c r="T287" s="51"/>
      <c r="U287" s="51"/>
      <c r="V287" s="51"/>
      <c r="W287" s="51"/>
    </row>
    <row r="288" spans="1:23" s="3" customFormat="1" ht="15" customHeight="1">
      <c r="A288" s="184"/>
      <c r="B288" s="183"/>
      <c r="C288" s="185"/>
      <c r="D288" s="50"/>
      <c r="E288" s="50"/>
      <c r="F288" s="50"/>
      <c r="G288" s="50"/>
      <c r="H288" s="25"/>
      <c r="I288" s="165"/>
      <c r="J288" s="52"/>
      <c r="K288" s="44"/>
      <c r="L288" s="52"/>
      <c r="M288" s="52"/>
      <c r="N288" s="51"/>
      <c r="O288" s="51"/>
      <c r="P288" s="51"/>
      <c r="Q288" s="51"/>
      <c r="R288" s="51"/>
      <c r="S288" s="51"/>
      <c r="T288" s="51"/>
      <c r="U288" s="51"/>
      <c r="V288" s="51"/>
      <c r="W288" s="51"/>
    </row>
    <row r="289" spans="1:23" s="3" customFormat="1" ht="15" customHeight="1">
      <c r="A289" s="70"/>
      <c r="B289" s="167"/>
      <c r="C289" s="167"/>
      <c r="D289" s="50"/>
      <c r="E289" s="50"/>
      <c r="F289" s="50"/>
      <c r="G289" s="50"/>
      <c r="H289" s="51"/>
      <c r="I289" s="165"/>
      <c r="J289" s="52"/>
      <c r="K289" s="44"/>
      <c r="L289" s="52"/>
      <c r="M289" s="52"/>
      <c r="N289" s="51"/>
      <c r="O289" s="51"/>
      <c r="P289" s="51"/>
      <c r="Q289" s="51"/>
      <c r="R289" s="51"/>
      <c r="S289" s="51"/>
      <c r="T289" s="51"/>
      <c r="U289" s="51"/>
      <c r="V289" s="51"/>
      <c r="W289" s="51"/>
    </row>
    <row r="290" spans="1:23" s="3" customFormat="1" ht="17.25" customHeight="1">
      <c r="A290" s="184" t="s">
        <v>286</v>
      </c>
      <c r="B290" s="183"/>
      <c r="C290" s="185"/>
      <c r="D290" s="50"/>
      <c r="E290" s="50"/>
      <c r="F290" s="50"/>
      <c r="G290" s="50"/>
      <c r="H290" s="53">
        <f>H292+H301+H305+H309+H313</f>
        <v>448000</v>
      </c>
      <c r="I290" s="165"/>
      <c r="J290" s="52"/>
      <c r="K290" s="44"/>
      <c r="L290" s="52"/>
      <c r="M290" s="52"/>
      <c r="N290" s="51"/>
      <c r="O290" s="51"/>
      <c r="P290" s="51"/>
      <c r="Q290" s="51"/>
      <c r="R290" s="51"/>
      <c r="S290" s="51"/>
      <c r="T290" s="51"/>
      <c r="U290" s="51"/>
      <c r="V290" s="51"/>
      <c r="W290" s="51"/>
    </row>
    <row r="291" spans="1:23" s="3" customFormat="1" ht="16.5" customHeight="1">
      <c r="A291" s="70" t="s">
        <v>275</v>
      </c>
      <c r="B291" s="186"/>
      <c r="C291" s="187"/>
      <c r="D291" s="22"/>
      <c r="E291" s="16"/>
      <c r="F291" s="27"/>
      <c r="G291" s="27"/>
      <c r="H291" s="51"/>
      <c r="I291" s="165"/>
      <c r="J291" s="40"/>
      <c r="K291" s="44"/>
      <c r="L291" s="40"/>
      <c r="M291" s="40"/>
      <c r="N291" s="25"/>
      <c r="O291" s="25"/>
      <c r="P291" s="25"/>
      <c r="Q291" s="25"/>
      <c r="R291" s="25"/>
      <c r="S291" s="25"/>
      <c r="T291" s="25"/>
      <c r="U291" s="25"/>
      <c r="V291" s="25"/>
      <c r="W291" s="25"/>
    </row>
    <row r="292" spans="1:23" s="3" customFormat="1" ht="16.5" customHeight="1">
      <c r="A292" s="136" t="s">
        <v>138</v>
      </c>
      <c r="B292" s="186"/>
      <c r="C292" s="187"/>
      <c r="D292" s="22"/>
      <c r="E292" s="16"/>
      <c r="F292" s="27"/>
      <c r="G292" s="27"/>
      <c r="H292" s="25">
        <f>H294+H297</f>
        <v>370000</v>
      </c>
      <c r="I292" s="165"/>
      <c r="J292" s="40"/>
      <c r="K292" s="44"/>
      <c r="L292" s="40"/>
      <c r="M292" s="40"/>
      <c r="N292" s="25"/>
      <c r="O292" s="25"/>
      <c r="P292" s="25"/>
      <c r="Q292" s="25"/>
      <c r="R292" s="25"/>
      <c r="S292" s="25"/>
      <c r="T292" s="25"/>
      <c r="U292" s="25"/>
      <c r="V292" s="25"/>
      <c r="W292" s="25"/>
    </row>
    <row r="293" spans="1:23" s="3" customFormat="1" ht="16.5" customHeight="1">
      <c r="A293" s="70" t="s">
        <v>275</v>
      </c>
      <c r="B293" s="186"/>
      <c r="C293" s="187"/>
      <c r="D293" s="22"/>
      <c r="E293" s="16"/>
      <c r="F293" s="27"/>
      <c r="G293" s="27"/>
      <c r="H293" s="51"/>
      <c r="I293" s="165"/>
      <c r="J293" s="40"/>
      <c r="K293" s="44"/>
      <c r="L293" s="40"/>
      <c r="M293" s="40"/>
      <c r="N293" s="25"/>
      <c r="O293" s="25"/>
      <c r="P293" s="25"/>
      <c r="Q293" s="25"/>
      <c r="R293" s="25"/>
      <c r="S293" s="25"/>
      <c r="T293" s="25"/>
      <c r="U293" s="25"/>
      <c r="V293" s="25"/>
      <c r="W293" s="25"/>
    </row>
    <row r="294" spans="1:23" s="738" customFormat="1" ht="16.5" customHeight="1">
      <c r="A294" s="781" t="s">
        <v>132</v>
      </c>
      <c r="B294" s="947"/>
      <c r="C294" s="948"/>
      <c r="D294" s="765"/>
      <c r="E294" s="681"/>
      <c r="F294" s="945"/>
      <c r="G294" s="945"/>
      <c r="H294" s="53">
        <f>H295</f>
        <v>20000</v>
      </c>
      <c r="I294" s="736"/>
      <c r="J294" s="946"/>
      <c r="K294" s="737"/>
      <c r="L294" s="946"/>
      <c r="M294" s="946"/>
      <c r="N294" s="53"/>
      <c r="O294" s="53"/>
      <c r="P294" s="53"/>
      <c r="Q294" s="53"/>
      <c r="R294" s="53"/>
      <c r="S294" s="53"/>
      <c r="T294" s="53"/>
      <c r="U294" s="53"/>
      <c r="V294" s="53"/>
      <c r="W294" s="53"/>
    </row>
    <row r="295" spans="1:23" s="3" customFormat="1" ht="16.5" customHeight="1">
      <c r="A295" s="70"/>
      <c r="B295" s="186" t="s">
        <v>129</v>
      </c>
      <c r="C295" s="187"/>
      <c r="D295" s="22"/>
      <c r="E295" s="16"/>
      <c r="F295" s="27"/>
      <c r="G295" s="27"/>
      <c r="H295" s="51">
        <v>20000</v>
      </c>
      <c r="I295" s="165"/>
      <c r="J295" s="40"/>
      <c r="K295" s="44"/>
      <c r="L295" s="40"/>
      <c r="M295" s="40"/>
      <c r="N295" s="25"/>
      <c r="O295" s="25"/>
      <c r="P295" s="25"/>
      <c r="Q295" s="25"/>
      <c r="R295" s="25"/>
      <c r="S295" s="25"/>
      <c r="T295" s="25"/>
      <c r="U295" s="25"/>
      <c r="V295" s="25"/>
      <c r="W295" s="25"/>
    </row>
    <row r="296" spans="1:23" s="3" customFormat="1" ht="16.5" customHeight="1">
      <c r="A296" s="70"/>
      <c r="B296" s="186"/>
      <c r="C296" s="187"/>
      <c r="D296" s="22"/>
      <c r="E296" s="16"/>
      <c r="F296" s="27"/>
      <c r="G296" s="27"/>
      <c r="H296" s="51"/>
      <c r="I296" s="165"/>
      <c r="J296" s="40"/>
      <c r="K296" s="44"/>
      <c r="L296" s="40"/>
      <c r="M296" s="40"/>
      <c r="N296" s="25"/>
      <c r="O296" s="25"/>
      <c r="P296" s="25"/>
      <c r="Q296" s="25"/>
      <c r="R296" s="25"/>
      <c r="S296" s="25"/>
      <c r="T296" s="25"/>
      <c r="U296" s="25"/>
      <c r="V296" s="25"/>
      <c r="W296" s="25"/>
    </row>
    <row r="297" spans="1:23" s="738" customFormat="1" ht="16.5" customHeight="1">
      <c r="A297" s="781" t="s">
        <v>139</v>
      </c>
      <c r="B297" s="782"/>
      <c r="C297" s="782"/>
      <c r="D297" s="735"/>
      <c r="E297" s="735"/>
      <c r="F297" s="945"/>
      <c r="G297" s="945"/>
      <c r="H297" s="53">
        <f>H299</f>
        <v>350000</v>
      </c>
      <c r="I297" s="736"/>
      <c r="J297" s="946"/>
      <c r="K297" s="737"/>
      <c r="L297" s="946"/>
      <c r="M297" s="946"/>
      <c r="N297" s="53"/>
      <c r="O297" s="53"/>
      <c r="P297" s="53"/>
      <c r="Q297" s="53"/>
      <c r="R297" s="53"/>
      <c r="S297" s="53"/>
      <c r="T297" s="53"/>
      <c r="U297" s="53"/>
      <c r="V297" s="53"/>
      <c r="W297" s="53"/>
    </row>
    <row r="298" spans="1:23" s="3" customFormat="1" ht="16.5" customHeight="1">
      <c r="A298" s="136"/>
      <c r="B298" s="178" t="s">
        <v>166</v>
      </c>
      <c r="C298" s="167"/>
      <c r="D298" s="50"/>
      <c r="E298" s="50"/>
      <c r="F298" s="27"/>
      <c r="G298" s="27"/>
      <c r="H298" s="51"/>
      <c r="I298" s="165"/>
      <c r="J298" s="40"/>
      <c r="K298" s="44"/>
      <c r="L298" s="40"/>
      <c r="M298" s="40"/>
      <c r="N298" s="25"/>
      <c r="O298" s="25"/>
      <c r="P298" s="25"/>
      <c r="Q298" s="25"/>
      <c r="R298" s="25"/>
      <c r="S298" s="25"/>
      <c r="T298" s="25"/>
      <c r="U298" s="25"/>
      <c r="V298" s="25"/>
      <c r="W298" s="25"/>
    </row>
    <row r="299" spans="1:23" s="3" customFormat="1" ht="16.5" customHeight="1">
      <c r="A299" s="70"/>
      <c r="B299" s="186" t="s">
        <v>167</v>
      </c>
      <c r="C299" s="187"/>
      <c r="D299" s="22"/>
      <c r="E299" s="16"/>
      <c r="F299" s="27"/>
      <c r="G299" s="27"/>
      <c r="H299" s="51">
        <v>350000</v>
      </c>
      <c r="I299" s="165"/>
      <c r="J299" s="40"/>
      <c r="K299" s="44"/>
      <c r="L299" s="40"/>
      <c r="M299" s="40"/>
      <c r="N299" s="25"/>
      <c r="O299" s="25"/>
      <c r="P299" s="25"/>
      <c r="Q299" s="25"/>
      <c r="R299" s="25"/>
      <c r="S299" s="25"/>
      <c r="T299" s="25"/>
      <c r="U299" s="25"/>
      <c r="V299" s="25"/>
      <c r="W299" s="25"/>
    </row>
    <row r="300" spans="1:23" s="3" customFormat="1" ht="16.5" customHeight="1">
      <c r="A300" s="70"/>
      <c r="B300" s="186"/>
      <c r="C300" s="187"/>
      <c r="D300" s="22"/>
      <c r="E300" s="16"/>
      <c r="F300" s="27"/>
      <c r="G300" s="27"/>
      <c r="H300" s="51"/>
      <c r="I300" s="165"/>
      <c r="J300" s="40"/>
      <c r="K300" s="44"/>
      <c r="L300" s="40"/>
      <c r="M300" s="40"/>
      <c r="N300" s="25"/>
      <c r="O300" s="25"/>
      <c r="P300" s="25"/>
      <c r="Q300" s="25"/>
      <c r="R300" s="25"/>
      <c r="S300" s="25"/>
      <c r="T300" s="25"/>
      <c r="U300" s="25"/>
      <c r="V300" s="25"/>
      <c r="W300" s="25"/>
    </row>
    <row r="301" spans="1:23" s="3" customFormat="1" ht="16.5" customHeight="1">
      <c r="A301" s="781" t="s">
        <v>125</v>
      </c>
      <c r="B301" s="186"/>
      <c r="C301" s="187"/>
      <c r="D301" s="22"/>
      <c r="E301" s="16"/>
      <c r="F301" s="27"/>
      <c r="G301" s="27"/>
      <c r="H301" s="53">
        <f>H303</f>
        <v>15000</v>
      </c>
      <c r="I301" s="165"/>
      <c r="J301" s="40"/>
      <c r="K301" s="44"/>
      <c r="L301" s="40"/>
      <c r="M301" s="40"/>
      <c r="N301" s="25"/>
      <c r="O301" s="25"/>
      <c r="P301" s="25"/>
      <c r="Q301" s="25"/>
      <c r="R301" s="25"/>
      <c r="S301" s="25"/>
      <c r="T301" s="25"/>
      <c r="U301" s="25"/>
      <c r="V301" s="25"/>
      <c r="W301" s="25"/>
    </row>
    <row r="302" spans="1:23" s="3" customFormat="1" ht="16.5" customHeight="1">
      <c r="A302" s="70" t="s">
        <v>275</v>
      </c>
      <c r="B302" s="186"/>
      <c r="C302" s="187"/>
      <c r="D302" s="22"/>
      <c r="E302" s="16"/>
      <c r="F302" s="27"/>
      <c r="G302" s="27"/>
      <c r="H302" s="51"/>
      <c r="I302" s="165"/>
      <c r="J302" s="40"/>
      <c r="K302" s="44"/>
      <c r="L302" s="40"/>
      <c r="M302" s="40"/>
      <c r="N302" s="25"/>
      <c r="O302" s="25"/>
      <c r="P302" s="25"/>
      <c r="Q302" s="25"/>
      <c r="R302" s="25"/>
      <c r="S302" s="25"/>
      <c r="T302" s="25"/>
      <c r="U302" s="25"/>
      <c r="V302" s="25"/>
      <c r="W302" s="25"/>
    </row>
    <row r="303" spans="1:23" s="3" customFormat="1" ht="16.5" customHeight="1">
      <c r="A303" s="70"/>
      <c r="B303" s="186" t="s">
        <v>126</v>
      </c>
      <c r="C303" s="187"/>
      <c r="D303" s="22"/>
      <c r="E303" s="16"/>
      <c r="F303" s="27"/>
      <c r="G303" s="27"/>
      <c r="H303" s="51">
        <v>15000</v>
      </c>
      <c r="I303" s="165"/>
      <c r="J303" s="40"/>
      <c r="K303" s="44"/>
      <c r="L303" s="40"/>
      <c r="M303" s="40"/>
      <c r="N303" s="25"/>
      <c r="O303" s="25"/>
      <c r="P303" s="25"/>
      <c r="Q303" s="25"/>
      <c r="R303" s="25"/>
      <c r="S303" s="25"/>
      <c r="T303" s="25"/>
      <c r="U303" s="25"/>
      <c r="V303" s="25"/>
      <c r="W303" s="25"/>
    </row>
    <row r="304" spans="1:23" s="3" customFormat="1" ht="16.5" customHeight="1">
      <c r="A304" s="70"/>
      <c r="B304" s="186"/>
      <c r="C304" s="187"/>
      <c r="D304" s="22"/>
      <c r="E304" s="16"/>
      <c r="F304" s="27"/>
      <c r="G304" s="27"/>
      <c r="H304" s="51"/>
      <c r="I304" s="165"/>
      <c r="J304" s="40"/>
      <c r="K304" s="44"/>
      <c r="L304" s="40"/>
      <c r="M304" s="40"/>
      <c r="N304" s="25"/>
      <c r="O304" s="25"/>
      <c r="P304" s="25"/>
      <c r="Q304" s="25"/>
      <c r="R304" s="25"/>
      <c r="S304" s="25"/>
      <c r="T304" s="25"/>
      <c r="U304" s="25"/>
      <c r="V304" s="25"/>
      <c r="W304" s="25"/>
    </row>
    <row r="305" spans="1:23" s="3" customFormat="1" ht="16.5" customHeight="1">
      <c r="A305" s="781" t="s">
        <v>371</v>
      </c>
      <c r="B305" s="782"/>
      <c r="C305" s="782"/>
      <c r="D305" s="50"/>
      <c r="E305" s="50"/>
      <c r="F305" s="50"/>
      <c r="G305" s="50"/>
      <c r="H305" s="25">
        <f>H307</f>
        <v>4500</v>
      </c>
      <c r="I305" s="165"/>
      <c r="J305" s="40"/>
      <c r="K305" s="44"/>
      <c r="L305" s="40"/>
      <c r="M305" s="40"/>
      <c r="N305" s="25"/>
      <c r="O305" s="25"/>
      <c r="P305" s="25"/>
      <c r="Q305" s="25"/>
      <c r="R305" s="25"/>
      <c r="S305" s="25"/>
      <c r="T305" s="25"/>
      <c r="U305" s="25"/>
      <c r="V305" s="25"/>
      <c r="W305" s="25"/>
    </row>
    <row r="306" spans="1:23" s="3" customFormat="1" ht="16.5" customHeight="1">
      <c r="A306" s="178" t="s">
        <v>275</v>
      </c>
      <c r="B306" s="178"/>
      <c r="C306" s="167"/>
      <c r="D306" s="50"/>
      <c r="E306" s="50"/>
      <c r="F306" s="50"/>
      <c r="G306" s="50"/>
      <c r="H306" s="51"/>
      <c r="I306" s="165"/>
      <c r="J306" s="40"/>
      <c r="K306" s="44"/>
      <c r="L306" s="40"/>
      <c r="M306" s="40"/>
      <c r="N306" s="25"/>
      <c r="O306" s="25"/>
      <c r="P306" s="25"/>
      <c r="Q306" s="25"/>
      <c r="R306" s="25"/>
      <c r="S306" s="25"/>
      <c r="T306" s="25"/>
      <c r="U306" s="25"/>
      <c r="V306" s="25"/>
      <c r="W306" s="25"/>
    </row>
    <row r="307" spans="1:23" s="3" customFormat="1" ht="16.5" customHeight="1">
      <c r="A307" s="70"/>
      <c r="B307" s="178" t="s">
        <v>183</v>
      </c>
      <c r="C307" s="167"/>
      <c r="D307" s="50"/>
      <c r="E307" s="50"/>
      <c r="F307" s="50"/>
      <c r="G307" s="50"/>
      <c r="H307" s="51">
        <v>4500</v>
      </c>
      <c r="I307" s="165"/>
      <c r="J307" s="40"/>
      <c r="K307" s="44"/>
      <c r="L307" s="40"/>
      <c r="M307" s="40"/>
      <c r="N307" s="25"/>
      <c r="O307" s="25"/>
      <c r="P307" s="25"/>
      <c r="Q307" s="25"/>
      <c r="R307" s="25"/>
      <c r="S307" s="25"/>
      <c r="T307" s="25"/>
      <c r="U307" s="25"/>
      <c r="V307" s="25"/>
      <c r="W307" s="25"/>
    </row>
    <row r="308" spans="1:23" s="3" customFormat="1" ht="16.5" customHeight="1">
      <c r="A308" s="70"/>
      <c r="B308" s="178"/>
      <c r="C308" s="167"/>
      <c r="D308" s="50"/>
      <c r="E308" s="50"/>
      <c r="F308" s="50"/>
      <c r="G308" s="50"/>
      <c r="H308" s="51"/>
      <c r="I308" s="165"/>
      <c r="J308" s="40"/>
      <c r="K308" s="44"/>
      <c r="L308" s="40"/>
      <c r="M308" s="40"/>
      <c r="N308" s="25"/>
      <c r="O308" s="25"/>
      <c r="P308" s="25"/>
      <c r="Q308" s="25"/>
      <c r="R308" s="25"/>
      <c r="S308" s="25"/>
      <c r="T308" s="25"/>
      <c r="U308" s="25"/>
      <c r="V308" s="25"/>
      <c r="W308" s="25"/>
    </row>
    <row r="309" spans="1:23" s="3" customFormat="1" ht="16.5" customHeight="1">
      <c r="A309" s="781" t="s">
        <v>373</v>
      </c>
      <c r="B309" s="186"/>
      <c r="C309" s="187"/>
      <c r="D309" s="22"/>
      <c r="E309" s="16"/>
      <c r="F309" s="27"/>
      <c r="G309" s="27"/>
      <c r="H309" s="25">
        <f>H311+H312</f>
        <v>34500</v>
      </c>
      <c r="I309" s="165"/>
      <c r="J309" s="40"/>
      <c r="K309" s="44"/>
      <c r="L309" s="40"/>
      <c r="M309" s="40"/>
      <c r="N309" s="25"/>
      <c r="O309" s="25"/>
      <c r="P309" s="25"/>
      <c r="Q309" s="25"/>
      <c r="R309" s="25"/>
      <c r="S309" s="25"/>
      <c r="T309" s="25"/>
      <c r="U309" s="25"/>
      <c r="V309" s="25"/>
      <c r="W309" s="25"/>
    </row>
    <row r="310" spans="1:23" s="3" customFormat="1" ht="16.5" customHeight="1">
      <c r="A310" s="178" t="s">
        <v>275</v>
      </c>
      <c r="B310" s="186"/>
      <c r="C310" s="187"/>
      <c r="D310" s="22"/>
      <c r="E310" s="16"/>
      <c r="F310" s="27"/>
      <c r="G310" s="27"/>
      <c r="H310" s="51"/>
      <c r="I310" s="165"/>
      <c r="J310" s="40"/>
      <c r="K310" s="44"/>
      <c r="L310" s="40"/>
      <c r="M310" s="40"/>
      <c r="N310" s="25"/>
      <c r="O310" s="25"/>
      <c r="P310" s="25"/>
      <c r="Q310" s="25"/>
      <c r="R310" s="25"/>
      <c r="S310" s="25"/>
      <c r="T310" s="25"/>
      <c r="U310" s="25"/>
      <c r="V310" s="25"/>
      <c r="W310" s="25"/>
    </row>
    <row r="311" spans="1:23" s="3" customFormat="1" ht="16.5" customHeight="1">
      <c r="A311" s="70"/>
      <c r="B311" s="186" t="s">
        <v>374</v>
      </c>
      <c r="C311" s="187"/>
      <c r="D311" s="22"/>
      <c r="E311" s="16"/>
      <c r="F311" s="27"/>
      <c r="G311" s="27"/>
      <c r="H311" s="51">
        <v>3500</v>
      </c>
      <c r="I311" s="165"/>
      <c r="J311" s="40"/>
      <c r="K311" s="44"/>
      <c r="L311" s="40"/>
      <c r="M311" s="40"/>
      <c r="N311" s="25"/>
      <c r="O311" s="25"/>
      <c r="P311" s="25"/>
      <c r="Q311" s="25"/>
      <c r="R311" s="25"/>
      <c r="S311" s="25"/>
      <c r="T311" s="25"/>
      <c r="U311" s="25"/>
      <c r="V311" s="25"/>
      <c r="W311" s="25"/>
    </row>
    <row r="312" spans="1:23" s="3" customFormat="1" ht="16.5" customHeight="1">
      <c r="A312" s="70"/>
      <c r="B312" s="186" t="s">
        <v>375</v>
      </c>
      <c r="C312" s="187"/>
      <c r="D312" s="22"/>
      <c r="E312" s="16"/>
      <c r="F312" s="27"/>
      <c r="G312" s="27"/>
      <c r="H312" s="51">
        <v>31000</v>
      </c>
      <c r="I312" s="165"/>
      <c r="J312" s="40"/>
      <c r="K312" s="44"/>
      <c r="L312" s="40"/>
      <c r="M312" s="40"/>
      <c r="N312" s="25"/>
      <c r="O312" s="25"/>
      <c r="P312" s="25"/>
      <c r="Q312" s="25"/>
      <c r="R312" s="25"/>
      <c r="S312" s="25"/>
      <c r="T312" s="25"/>
      <c r="U312" s="25"/>
      <c r="V312" s="25"/>
      <c r="W312" s="25"/>
    </row>
    <row r="313" spans="1:23" s="3" customFormat="1" ht="16.5" customHeight="1">
      <c r="A313" s="136" t="s">
        <v>560</v>
      </c>
      <c r="B313" s="186"/>
      <c r="C313" s="187"/>
      <c r="D313" s="22"/>
      <c r="E313" s="16"/>
      <c r="F313" s="27"/>
      <c r="G313" s="27"/>
      <c r="H313" s="25">
        <f>H316</f>
        <v>24000</v>
      </c>
      <c r="I313" s="165"/>
      <c r="J313" s="40"/>
      <c r="K313" s="44"/>
      <c r="L313" s="40"/>
      <c r="M313" s="40"/>
      <c r="N313" s="25"/>
      <c r="O313" s="25"/>
      <c r="P313" s="25"/>
      <c r="Q313" s="25"/>
      <c r="R313" s="25"/>
      <c r="S313" s="25"/>
      <c r="T313" s="25"/>
      <c r="U313" s="25"/>
      <c r="V313" s="25"/>
      <c r="W313" s="25"/>
    </row>
    <row r="314" spans="1:23" s="3" customFormat="1" ht="16.5" customHeight="1">
      <c r="A314" s="70" t="s">
        <v>275</v>
      </c>
      <c r="B314" s="186"/>
      <c r="C314" s="187"/>
      <c r="D314" s="22"/>
      <c r="E314" s="16"/>
      <c r="F314" s="27"/>
      <c r="G314" s="27"/>
      <c r="H314" s="51"/>
      <c r="I314" s="165"/>
      <c r="J314" s="40"/>
      <c r="K314" s="44"/>
      <c r="L314" s="40"/>
      <c r="M314" s="40"/>
      <c r="N314" s="25"/>
      <c r="O314" s="25"/>
      <c r="P314" s="25"/>
      <c r="Q314" s="25"/>
      <c r="R314" s="25"/>
      <c r="S314" s="25"/>
      <c r="T314" s="25"/>
      <c r="U314" s="25"/>
      <c r="V314" s="25"/>
      <c r="W314" s="25"/>
    </row>
    <row r="315" spans="1:23" s="3" customFormat="1" ht="16.5" customHeight="1">
      <c r="A315" s="70"/>
      <c r="B315" s="186" t="s">
        <v>561</v>
      </c>
      <c r="C315" s="187"/>
      <c r="D315" s="22"/>
      <c r="E315" s="16"/>
      <c r="F315" s="27"/>
      <c r="G315" s="27"/>
      <c r="H315" s="51"/>
      <c r="I315" s="165"/>
      <c r="J315" s="40"/>
      <c r="K315" s="44"/>
      <c r="L315" s="40"/>
      <c r="M315" s="40"/>
      <c r="N315" s="25"/>
      <c r="O315" s="25"/>
      <c r="P315" s="25"/>
      <c r="Q315" s="25"/>
      <c r="R315" s="25"/>
      <c r="S315" s="25"/>
      <c r="T315" s="25"/>
      <c r="U315" s="25"/>
      <c r="V315" s="25"/>
      <c r="W315" s="25"/>
    </row>
    <row r="316" spans="1:23" s="3" customFormat="1" ht="16.5" customHeight="1">
      <c r="A316" s="70"/>
      <c r="B316" s="186" t="s">
        <v>562</v>
      </c>
      <c r="C316" s="187"/>
      <c r="D316" s="22"/>
      <c r="E316" s="16"/>
      <c r="F316" s="27"/>
      <c r="G316" s="27"/>
      <c r="H316" s="51">
        <v>24000</v>
      </c>
      <c r="I316" s="165"/>
      <c r="J316" s="40"/>
      <c r="K316" s="44"/>
      <c r="L316" s="40"/>
      <c r="M316" s="40"/>
      <c r="N316" s="25"/>
      <c r="O316" s="25"/>
      <c r="P316" s="25"/>
      <c r="Q316" s="25"/>
      <c r="R316" s="25"/>
      <c r="S316" s="25"/>
      <c r="T316" s="25"/>
      <c r="U316" s="25"/>
      <c r="V316" s="25"/>
      <c r="W316" s="25"/>
    </row>
    <row r="317" spans="1:23" s="3" customFormat="1" ht="16.5" customHeight="1">
      <c r="A317" s="70"/>
      <c r="B317" s="186"/>
      <c r="C317" s="187"/>
      <c r="D317" s="22"/>
      <c r="E317" s="16"/>
      <c r="F317" s="27"/>
      <c r="G317" s="27"/>
      <c r="H317" s="51"/>
      <c r="I317" s="165"/>
      <c r="J317" s="40"/>
      <c r="K317" s="44"/>
      <c r="L317" s="40"/>
      <c r="M317" s="40"/>
      <c r="N317" s="25"/>
      <c r="O317" s="25"/>
      <c r="P317" s="25"/>
      <c r="Q317" s="25"/>
      <c r="R317" s="25"/>
      <c r="S317" s="25"/>
      <c r="T317" s="25"/>
      <c r="U317" s="25"/>
      <c r="V317" s="25"/>
      <c r="W317" s="25"/>
    </row>
    <row r="318" spans="1:23" s="3" customFormat="1" ht="21.75" customHeight="1">
      <c r="A318" s="182" t="s">
        <v>650</v>
      </c>
      <c r="B318" s="183"/>
      <c r="C318" s="167"/>
      <c r="D318" s="50"/>
      <c r="E318" s="50"/>
      <c r="F318" s="50"/>
      <c r="G318" s="50"/>
      <c r="H318" s="51"/>
      <c r="I318" s="165"/>
      <c r="J318" s="52"/>
      <c r="K318" s="44"/>
      <c r="L318" s="52"/>
      <c r="M318" s="52"/>
      <c r="N318" s="51"/>
      <c r="O318" s="51"/>
      <c r="P318" s="51"/>
      <c r="Q318" s="51"/>
      <c r="R318" s="51"/>
      <c r="S318" s="51"/>
      <c r="T318" s="51"/>
      <c r="U318" s="51"/>
      <c r="V318" s="51"/>
      <c r="W318" s="51"/>
    </row>
    <row r="319" spans="1:23" s="3" customFormat="1" ht="21.75" customHeight="1">
      <c r="A319" s="182"/>
      <c r="B319" s="183"/>
      <c r="C319" s="167"/>
      <c r="D319" s="50"/>
      <c r="E319" s="50"/>
      <c r="F319" s="50"/>
      <c r="G319" s="50"/>
      <c r="H319" s="51"/>
      <c r="I319" s="165"/>
      <c r="J319" s="52"/>
      <c r="K319" s="44"/>
      <c r="L319" s="52"/>
      <c r="M319" s="52"/>
      <c r="N319" s="51"/>
      <c r="O319" s="51"/>
      <c r="P319" s="51"/>
      <c r="Q319" s="51"/>
      <c r="R319" s="51"/>
      <c r="S319" s="51"/>
      <c r="T319" s="51"/>
      <c r="U319" s="51"/>
      <c r="V319" s="51"/>
      <c r="W319" s="51"/>
    </row>
    <row r="320" spans="1:23" s="3" customFormat="1" ht="15" customHeight="1">
      <c r="A320" s="70"/>
      <c r="B320" s="167"/>
      <c r="C320" s="167"/>
      <c r="D320" s="50"/>
      <c r="E320" s="50"/>
      <c r="F320" s="50"/>
      <c r="G320" s="50"/>
      <c r="H320" s="51"/>
      <c r="I320" s="165"/>
      <c r="J320" s="52"/>
      <c r="K320" s="44"/>
      <c r="L320" s="52"/>
      <c r="M320" s="52"/>
      <c r="N320" s="51"/>
      <c r="O320" s="51"/>
      <c r="P320" s="51"/>
      <c r="Q320" s="51"/>
      <c r="R320" s="51"/>
      <c r="S320" s="51"/>
      <c r="T320" s="51"/>
      <c r="U320" s="51"/>
      <c r="V320" s="51"/>
      <c r="W320" s="51"/>
    </row>
    <row r="321" spans="1:23" s="3" customFormat="1" ht="15" customHeight="1">
      <c r="A321" s="184" t="s">
        <v>127</v>
      </c>
      <c r="B321" s="183"/>
      <c r="C321" s="185"/>
      <c r="D321" s="50"/>
      <c r="E321" s="50"/>
      <c r="F321" s="50"/>
      <c r="G321" s="50"/>
      <c r="H321" s="25">
        <f>H323</f>
        <v>350000</v>
      </c>
      <c r="I321" s="165"/>
      <c r="J321" s="52"/>
      <c r="K321" s="44"/>
      <c r="L321" s="52"/>
      <c r="M321" s="52"/>
      <c r="N321" s="51"/>
      <c r="O321" s="51"/>
      <c r="P321" s="51"/>
      <c r="Q321" s="51"/>
      <c r="R321" s="51"/>
      <c r="S321" s="51"/>
      <c r="T321" s="51"/>
      <c r="U321" s="51"/>
      <c r="V321" s="51"/>
      <c r="W321" s="51"/>
    </row>
    <row r="322" spans="1:23" s="3" customFormat="1" ht="15" customHeight="1">
      <c r="A322" s="70" t="s">
        <v>275</v>
      </c>
      <c r="B322" s="186"/>
      <c r="C322" s="187"/>
      <c r="D322" s="50"/>
      <c r="E322" s="50"/>
      <c r="F322" s="50"/>
      <c r="G322" s="50"/>
      <c r="H322" s="25"/>
      <c r="I322" s="165"/>
      <c r="J322" s="52"/>
      <c r="K322" s="44"/>
      <c r="L322" s="52"/>
      <c r="M322" s="52"/>
      <c r="N322" s="51"/>
      <c r="O322" s="51"/>
      <c r="P322" s="51"/>
      <c r="Q322" s="51"/>
      <c r="R322" s="51"/>
      <c r="S322" s="51"/>
      <c r="T322" s="51"/>
      <c r="U322" s="51"/>
      <c r="V322" s="51"/>
      <c r="W322" s="51"/>
    </row>
    <row r="323" spans="1:23" s="3" customFormat="1" ht="15" customHeight="1">
      <c r="A323" s="136" t="s">
        <v>133</v>
      </c>
      <c r="B323" s="167"/>
      <c r="C323" s="167"/>
      <c r="D323" s="50"/>
      <c r="E323" s="50"/>
      <c r="F323" s="50"/>
      <c r="G323" s="50"/>
      <c r="H323" s="25">
        <f>H326</f>
        <v>350000</v>
      </c>
      <c r="I323" s="165"/>
      <c r="J323" s="52"/>
      <c r="K323" s="44"/>
      <c r="L323" s="52"/>
      <c r="M323" s="52"/>
      <c r="N323" s="51"/>
      <c r="O323" s="51"/>
      <c r="P323" s="51"/>
      <c r="Q323" s="51"/>
      <c r="R323" s="51"/>
      <c r="S323" s="51"/>
      <c r="T323" s="51"/>
      <c r="U323" s="51"/>
      <c r="V323" s="51"/>
      <c r="W323" s="51"/>
    </row>
    <row r="324" spans="1:23" s="3" customFormat="1" ht="15" customHeight="1">
      <c r="A324" s="70" t="s">
        <v>275</v>
      </c>
      <c r="B324" s="167"/>
      <c r="C324" s="167"/>
      <c r="D324" s="50"/>
      <c r="E324" s="50"/>
      <c r="F324" s="50"/>
      <c r="G324" s="50"/>
      <c r="H324" s="51"/>
      <c r="I324" s="165"/>
      <c r="J324" s="52"/>
      <c r="K324" s="44"/>
      <c r="L324" s="52"/>
      <c r="M324" s="52"/>
      <c r="N324" s="51"/>
      <c r="O324" s="51"/>
      <c r="P324" s="51"/>
      <c r="Q324" s="51"/>
      <c r="R324" s="51"/>
      <c r="S324" s="51"/>
      <c r="T324" s="51"/>
      <c r="U324" s="51"/>
      <c r="V324" s="51"/>
      <c r="W324" s="51"/>
    </row>
    <row r="325" spans="1:23" s="3" customFormat="1" ht="15" customHeight="1">
      <c r="A325" s="70"/>
      <c r="B325" s="178" t="s">
        <v>136</v>
      </c>
      <c r="C325" s="167"/>
      <c r="D325" s="50"/>
      <c r="E325" s="50"/>
      <c r="F325" s="50"/>
      <c r="G325" s="50"/>
      <c r="H325" s="51"/>
      <c r="I325" s="165"/>
      <c r="J325" s="52"/>
      <c r="K325" s="44"/>
      <c r="L325" s="52"/>
      <c r="M325" s="52"/>
      <c r="N325" s="51"/>
      <c r="O325" s="51"/>
      <c r="P325" s="51"/>
      <c r="Q325" s="51"/>
      <c r="R325" s="51"/>
      <c r="S325" s="51"/>
      <c r="T325" s="51"/>
      <c r="U325" s="51"/>
      <c r="V325" s="51"/>
      <c r="W325" s="51"/>
    </row>
    <row r="326" spans="1:23" s="3" customFormat="1" ht="15" customHeight="1">
      <c r="A326" s="70"/>
      <c r="B326" s="178" t="s">
        <v>137</v>
      </c>
      <c r="C326" s="167"/>
      <c r="D326" s="50"/>
      <c r="E326" s="50"/>
      <c r="F326" s="50"/>
      <c r="G326" s="50"/>
      <c r="H326" s="51">
        <v>350000</v>
      </c>
      <c r="I326" s="165"/>
      <c r="J326" s="52"/>
      <c r="K326" s="44"/>
      <c r="L326" s="52"/>
      <c r="M326" s="52"/>
      <c r="N326" s="51"/>
      <c r="O326" s="51"/>
      <c r="P326" s="51"/>
      <c r="Q326" s="51"/>
      <c r="R326" s="51"/>
      <c r="S326" s="51"/>
      <c r="T326" s="51"/>
      <c r="U326" s="51"/>
      <c r="V326" s="51"/>
      <c r="W326" s="51"/>
    </row>
    <row r="327" spans="1:23" s="3" customFormat="1" ht="15" customHeight="1">
      <c r="A327" s="70"/>
      <c r="B327" s="178"/>
      <c r="C327" s="167"/>
      <c r="D327" s="50"/>
      <c r="E327" s="50"/>
      <c r="F327" s="50"/>
      <c r="G327" s="50"/>
      <c r="H327" s="51"/>
      <c r="I327" s="165"/>
      <c r="J327" s="52"/>
      <c r="K327" s="44"/>
      <c r="L327" s="52"/>
      <c r="M327" s="52"/>
      <c r="N327" s="51"/>
      <c r="O327" s="51"/>
      <c r="P327" s="51"/>
      <c r="Q327" s="51"/>
      <c r="R327" s="51"/>
      <c r="S327" s="51"/>
      <c r="T327" s="51"/>
      <c r="U327" s="51"/>
      <c r="V327" s="51"/>
      <c r="W327" s="51"/>
    </row>
    <row r="328" spans="1:23" s="3" customFormat="1" ht="15" customHeight="1">
      <c r="A328" s="70"/>
      <c r="B328" s="178"/>
      <c r="C328" s="167"/>
      <c r="D328" s="50"/>
      <c r="E328" s="50"/>
      <c r="F328" s="50"/>
      <c r="G328" s="50"/>
      <c r="H328" s="51"/>
      <c r="I328" s="165"/>
      <c r="J328" s="52"/>
      <c r="K328" s="44"/>
      <c r="L328" s="52"/>
      <c r="M328" s="52"/>
      <c r="N328" s="51"/>
      <c r="O328" s="51"/>
      <c r="P328" s="51"/>
      <c r="Q328" s="51"/>
      <c r="R328" s="51"/>
      <c r="S328" s="51"/>
      <c r="T328" s="51"/>
      <c r="U328" s="51"/>
      <c r="V328" s="51"/>
      <c r="W328" s="51"/>
    </row>
    <row r="329" spans="1:23" s="3" customFormat="1" ht="15" customHeight="1">
      <c r="A329" s="70"/>
      <c r="B329" s="167"/>
      <c r="C329" s="167"/>
      <c r="D329" s="50"/>
      <c r="E329" s="50"/>
      <c r="F329" s="50"/>
      <c r="G329" s="50"/>
      <c r="H329" s="51"/>
      <c r="I329" s="165"/>
      <c r="J329" s="52"/>
      <c r="K329" s="44"/>
      <c r="L329" s="52"/>
      <c r="M329" s="52"/>
      <c r="N329" s="51"/>
      <c r="O329" s="51"/>
      <c r="P329" s="51"/>
      <c r="Q329" s="51"/>
      <c r="R329" s="51"/>
      <c r="S329" s="51"/>
      <c r="T329" s="51"/>
      <c r="U329" s="51"/>
      <c r="V329" s="51"/>
      <c r="W329" s="51"/>
    </row>
    <row r="330" spans="1:23" s="3" customFormat="1" ht="15" customHeight="1">
      <c r="A330" s="184" t="s">
        <v>286</v>
      </c>
      <c r="B330" s="183"/>
      <c r="C330" s="185"/>
      <c r="D330" s="50"/>
      <c r="E330" s="50"/>
      <c r="F330" s="50"/>
      <c r="G330" s="50"/>
      <c r="H330" s="25">
        <f>H332</f>
        <v>3406101.69</v>
      </c>
      <c r="I330" s="165"/>
      <c r="J330" s="52"/>
      <c r="K330" s="44"/>
      <c r="L330" s="52"/>
      <c r="M330" s="52"/>
      <c r="N330" s="51"/>
      <c r="O330" s="51"/>
      <c r="P330" s="51"/>
      <c r="Q330" s="51"/>
      <c r="R330" s="51"/>
      <c r="S330" s="51"/>
      <c r="T330" s="51"/>
      <c r="U330" s="51"/>
      <c r="V330" s="51"/>
      <c r="W330" s="51"/>
    </row>
    <row r="331" spans="1:23" s="3" customFormat="1" ht="15" customHeight="1">
      <c r="A331" s="70" t="s">
        <v>275</v>
      </c>
      <c r="B331" s="186"/>
      <c r="C331" s="187"/>
      <c r="D331" s="50"/>
      <c r="E331" s="50"/>
      <c r="F331" s="50"/>
      <c r="G331" s="50"/>
      <c r="H331" s="51"/>
      <c r="I331" s="165"/>
      <c r="J331" s="52"/>
      <c r="K331" s="44"/>
      <c r="L331" s="52"/>
      <c r="M331" s="52"/>
      <c r="N331" s="51"/>
      <c r="O331" s="51"/>
      <c r="P331" s="51"/>
      <c r="Q331" s="51"/>
      <c r="R331" s="51"/>
      <c r="S331" s="51"/>
      <c r="T331" s="51"/>
      <c r="U331" s="51"/>
      <c r="V331" s="51"/>
      <c r="W331" s="51"/>
    </row>
    <row r="332" spans="1:23" s="3" customFormat="1" ht="15" customHeight="1">
      <c r="A332" s="136" t="s">
        <v>185</v>
      </c>
      <c r="B332" s="167"/>
      <c r="C332" s="167"/>
      <c r="D332" s="50"/>
      <c r="E332" s="50"/>
      <c r="F332" s="50"/>
      <c r="G332" s="50"/>
      <c r="H332" s="25">
        <f>H335</f>
        <v>3406101.69</v>
      </c>
      <c r="I332" s="165"/>
      <c r="J332" s="52"/>
      <c r="K332" s="44"/>
      <c r="L332" s="52"/>
      <c r="M332" s="52"/>
      <c r="N332" s="51"/>
      <c r="O332" s="51"/>
      <c r="P332" s="51"/>
      <c r="Q332" s="51"/>
      <c r="R332" s="51"/>
      <c r="S332" s="51"/>
      <c r="T332" s="51"/>
      <c r="U332" s="51"/>
      <c r="V332" s="51"/>
      <c r="W332" s="51"/>
    </row>
    <row r="333" spans="1:23" s="3" customFormat="1" ht="15" customHeight="1">
      <c r="A333" s="70" t="s">
        <v>275</v>
      </c>
      <c r="B333" s="167"/>
      <c r="C333" s="167"/>
      <c r="D333" s="50"/>
      <c r="E333" s="50"/>
      <c r="F333" s="50"/>
      <c r="G333" s="50"/>
      <c r="H333" s="51"/>
      <c r="I333" s="739"/>
      <c r="J333" s="52"/>
      <c r="K333" s="740"/>
      <c r="L333" s="52"/>
      <c r="M333" s="52"/>
      <c r="N333" s="51"/>
      <c r="O333" s="51"/>
      <c r="P333" s="51"/>
      <c r="Q333" s="51"/>
      <c r="R333" s="51"/>
      <c r="S333" s="51"/>
      <c r="T333" s="51"/>
      <c r="U333" s="51"/>
      <c r="V333" s="51"/>
      <c r="W333" s="51"/>
    </row>
    <row r="334" spans="1:23" s="3" customFormat="1" ht="15" customHeight="1">
      <c r="A334" s="70"/>
      <c r="B334" s="178" t="s">
        <v>564</v>
      </c>
      <c r="C334" s="167"/>
      <c r="D334" s="50"/>
      <c r="E334" s="50"/>
      <c r="F334" s="50"/>
      <c r="G334" s="50"/>
      <c r="H334" s="51"/>
      <c r="I334" s="739"/>
      <c r="J334" s="52"/>
      <c r="K334" s="740"/>
      <c r="L334" s="52"/>
      <c r="M334" s="52"/>
      <c r="N334" s="51"/>
      <c r="O334" s="51"/>
      <c r="P334" s="51"/>
      <c r="Q334" s="51"/>
      <c r="R334" s="51"/>
      <c r="S334" s="51"/>
      <c r="T334" s="51"/>
      <c r="U334" s="51"/>
      <c r="V334" s="51"/>
      <c r="W334" s="51"/>
    </row>
    <row r="335" spans="1:23" s="3" customFormat="1" ht="15" customHeight="1">
      <c r="A335" s="70"/>
      <c r="B335" s="178" t="s">
        <v>563</v>
      </c>
      <c r="C335" s="167"/>
      <c r="D335" s="50"/>
      <c r="E335" s="50"/>
      <c r="F335" s="50"/>
      <c r="G335" s="50"/>
      <c r="H335" s="51">
        <v>3406101.69</v>
      </c>
      <c r="I335" s="739"/>
      <c r="J335" s="52"/>
      <c r="K335" s="740"/>
      <c r="L335" s="52"/>
      <c r="M335" s="52"/>
      <c r="N335" s="51"/>
      <c r="O335" s="51"/>
      <c r="P335" s="51"/>
      <c r="Q335" s="51"/>
      <c r="R335" s="51"/>
      <c r="S335" s="51"/>
      <c r="T335" s="51"/>
      <c r="U335" s="51"/>
      <c r="V335" s="51"/>
      <c r="W335" s="51"/>
    </row>
    <row r="336" spans="1:23" s="3" customFormat="1" ht="15" customHeight="1">
      <c r="A336" s="70"/>
      <c r="B336" s="167"/>
      <c r="C336" s="167"/>
      <c r="D336" s="50"/>
      <c r="E336" s="50"/>
      <c r="F336" s="50"/>
      <c r="G336" s="50"/>
      <c r="H336" s="51"/>
      <c r="I336" s="739"/>
      <c r="J336" s="52"/>
      <c r="K336" s="740"/>
      <c r="L336" s="52"/>
      <c r="M336" s="52"/>
      <c r="N336" s="51"/>
      <c r="O336" s="51"/>
      <c r="P336" s="51"/>
      <c r="Q336" s="51"/>
      <c r="R336" s="51"/>
      <c r="S336" s="51"/>
      <c r="T336" s="51"/>
      <c r="U336" s="51"/>
      <c r="V336" s="51"/>
      <c r="W336" s="51"/>
    </row>
    <row r="337" spans="1:23" s="3" customFormat="1" ht="16.5" customHeight="1">
      <c r="A337" s="156"/>
      <c r="B337" s="70"/>
      <c r="C337" s="168"/>
      <c r="D337" s="50"/>
      <c r="E337" s="50"/>
      <c r="F337" s="50"/>
      <c r="G337" s="50"/>
      <c r="H337" s="51"/>
      <c r="I337" s="739"/>
      <c r="J337" s="52"/>
      <c r="K337" s="740"/>
      <c r="L337" s="52"/>
      <c r="M337" s="52"/>
      <c r="N337" s="51"/>
      <c r="O337" s="51"/>
      <c r="P337" s="51"/>
      <c r="Q337" s="51"/>
      <c r="R337" s="51"/>
      <c r="S337" s="51"/>
      <c r="T337" s="51"/>
      <c r="U337" s="51"/>
      <c r="V337" s="51"/>
      <c r="W337" s="51"/>
    </row>
    <row r="338" spans="1:23" s="3" customFormat="1" ht="17.25" customHeight="1">
      <c r="A338" s="188" t="s">
        <v>311</v>
      </c>
      <c r="B338" s="188"/>
      <c r="C338" s="181"/>
      <c r="D338" s="22"/>
      <c r="E338" s="16"/>
      <c r="F338" s="50"/>
      <c r="G338" s="50"/>
      <c r="H338" s="51"/>
      <c r="I338" s="165"/>
      <c r="J338" s="52"/>
      <c r="K338" s="44"/>
      <c r="L338" s="52"/>
      <c r="M338" s="52"/>
      <c r="N338" s="51"/>
      <c r="O338" s="51"/>
      <c r="P338" s="51"/>
      <c r="Q338" s="51"/>
      <c r="R338" s="51"/>
      <c r="S338" s="51"/>
      <c r="T338" s="51"/>
      <c r="U338" s="51"/>
      <c r="V338" s="51"/>
      <c r="W338" s="51"/>
    </row>
    <row r="339" spans="1:23" s="3" customFormat="1" ht="17.25" customHeight="1">
      <c r="A339" s="188" t="s">
        <v>312</v>
      </c>
      <c r="B339" s="188"/>
      <c r="C339" s="181"/>
      <c r="D339" s="22"/>
      <c r="E339" s="16"/>
      <c r="F339" s="50"/>
      <c r="G339" s="50"/>
      <c r="H339" s="51"/>
      <c r="I339" s="165"/>
      <c r="J339" s="52"/>
      <c r="K339" s="44"/>
      <c r="L339" s="52"/>
      <c r="M339" s="52"/>
      <c r="N339" s="51"/>
      <c r="O339" s="51"/>
      <c r="P339" s="51"/>
      <c r="Q339" s="51"/>
      <c r="R339" s="51"/>
      <c r="S339" s="51"/>
      <c r="T339" s="51"/>
      <c r="U339" s="51"/>
      <c r="V339" s="51"/>
      <c r="W339" s="51"/>
    </row>
    <row r="340" spans="1:23" s="3" customFormat="1" ht="17.25" customHeight="1">
      <c r="A340" s="188"/>
      <c r="B340" s="188"/>
      <c r="C340" s="181"/>
      <c r="D340" s="22"/>
      <c r="E340" s="16"/>
      <c r="F340" s="50"/>
      <c r="G340" s="50"/>
      <c r="H340" s="51"/>
      <c r="I340" s="165"/>
      <c r="J340" s="52"/>
      <c r="K340" s="44"/>
      <c r="L340" s="52"/>
      <c r="M340" s="52"/>
      <c r="N340" s="51"/>
      <c r="O340" s="51"/>
      <c r="P340" s="51"/>
      <c r="Q340" s="51"/>
      <c r="R340" s="51"/>
      <c r="S340" s="51"/>
      <c r="T340" s="51"/>
      <c r="U340" s="51"/>
      <c r="V340" s="51"/>
      <c r="W340" s="51"/>
    </row>
    <row r="341" spans="1:23" s="3" customFormat="1" ht="17.25" customHeight="1">
      <c r="A341" s="188"/>
      <c r="B341" s="188"/>
      <c r="C341" s="181"/>
      <c r="D341" s="22"/>
      <c r="E341" s="16"/>
      <c r="F341" s="50"/>
      <c r="G341" s="50"/>
      <c r="H341" s="51"/>
      <c r="I341" s="165"/>
      <c r="J341" s="52"/>
      <c r="K341" s="44"/>
      <c r="L341" s="52"/>
      <c r="M341" s="52"/>
      <c r="N341" s="51"/>
      <c r="O341" s="51"/>
      <c r="P341" s="51"/>
      <c r="Q341" s="51"/>
      <c r="R341" s="51"/>
      <c r="S341" s="51"/>
      <c r="T341" s="51"/>
      <c r="U341" s="51"/>
      <c r="V341" s="51"/>
      <c r="W341" s="51"/>
    </row>
    <row r="342" spans="1:23" s="3" customFormat="1" ht="17.25" customHeight="1">
      <c r="A342" s="678"/>
      <c r="B342" s="679"/>
      <c r="C342" s="680"/>
      <c r="D342" s="681"/>
      <c r="E342" s="681"/>
      <c r="F342" s="681"/>
      <c r="G342" s="681"/>
      <c r="H342" s="682"/>
      <c r="I342" s="165"/>
      <c r="J342" s="52"/>
      <c r="K342" s="44"/>
      <c r="L342" s="52"/>
      <c r="M342" s="52"/>
      <c r="N342" s="51"/>
      <c r="O342" s="51"/>
      <c r="P342" s="51"/>
      <c r="Q342" s="51"/>
      <c r="R342" s="51"/>
      <c r="S342" s="51"/>
      <c r="T342" s="51"/>
      <c r="U342" s="51"/>
      <c r="V342" s="51"/>
      <c r="W342" s="51"/>
    </row>
    <row r="343" spans="1:23" s="3" customFormat="1" ht="17.25" customHeight="1">
      <c r="A343" s="188" t="s">
        <v>157</v>
      </c>
      <c r="B343" s="188"/>
      <c r="C343" s="181"/>
      <c r="D343" s="22"/>
      <c r="E343" s="16"/>
      <c r="F343" s="50"/>
      <c r="G343" s="50"/>
      <c r="H343" s="51"/>
      <c r="I343" s="165"/>
      <c r="J343" s="52"/>
      <c r="K343" s="44"/>
      <c r="L343" s="52"/>
      <c r="M343" s="52"/>
      <c r="N343" s="51"/>
      <c r="O343" s="51"/>
      <c r="P343" s="51"/>
      <c r="Q343" s="51"/>
      <c r="R343" s="51"/>
      <c r="S343" s="51"/>
      <c r="T343" s="51"/>
      <c r="U343" s="51"/>
      <c r="V343" s="51"/>
      <c r="W343" s="51"/>
    </row>
    <row r="344" spans="1:23" s="3" customFormat="1" ht="17.25" customHeight="1">
      <c r="A344" s="188"/>
      <c r="B344" s="188"/>
      <c r="C344" s="181"/>
      <c r="D344" s="22"/>
      <c r="E344" s="16"/>
      <c r="F344" s="50"/>
      <c r="G344" s="50"/>
      <c r="H344" s="51"/>
      <c r="I344" s="165"/>
      <c r="J344" s="52"/>
      <c r="K344" s="44"/>
      <c r="L344" s="52"/>
      <c r="M344" s="52"/>
      <c r="N344" s="51"/>
      <c r="O344" s="51"/>
      <c r="P344" s="51"/>
      <c r="Q344" s="51"/>
      <c r="R344" s="51"/>
      <c r="S344" s="51"/>
      <c r="T344" s="51"/>
      <c r="U344" s="51"/>
      <c r="V344" s="51"/>
      <c r="W344" s="51"/>
    </row>
    <row r="345" spans="1:23" s="3" customFormat="1" ht="17.25" customHeight="1">
      <c r="A345" s="188" t="s">
        <v>269</v>
      </c>
      <c r="B345" s="188"/>
      <c r="C345" s="181"/>
      <c r="D345" s="22"/>
      <c r="E345" s="16"/>
      <c r="F345" s="50"/>
      <c r="G345" s="50"/>
      <c r="H345" s="51"/>
      <c r="I345" s="165"/>
      <c r="J345" s="52"/>
      <c r="K345" s="44"/>
      <c r="L345" s="52"/>
      <c r="M345" s="52"/>
      <c r="N345" s="51"/>
      <c r="O345" s="51"/>
      <c r="P345" s="51"/>
      <c r="Q345" s="51"/>
      <c r="R345" s="51"/>
      <c r="S345" s="51"/>
      <c r="T345" s="51"/>
      <c r="U345" s="51"/>
      <c r="V345" s="51"/>
      <c r="W345" s="51"/>
    </row>
    <row r="346" spans="1:23" s="3" customFormat="1" ht="17.25" customHeight="1">
      <c r="A346" s="188"/>
      <c r="B346" s="188"/>
      <c r="C346" s="181"/>
      <c r="D346" s="22"/>
      <c r="E346" s="16"/>
      <c r="F346" s="50"/>
      <c r="G346" s="50"/>
      <c r="H346" s="51"/>
      <c r="I346" s="165"/>
      <c r="J346" s="52"/>
      <c r="K346" s="44"/>
      <c r="L346" s="52"/>
      <c r="M346" s="52"/>
      <c r="N346" s="51"/>
      <c r="O346" s="51"/>
      <c r="P346" s="51"/>
      <c r="Q346" s="51"/>
      <c r="R346" s="51"/>
      <c r="S346" s="51"/>
      <c r="T346" s="51"/>
      <c r="U346" s="51"/>
      <c r="V346" s="51"/>
      <c r="W346" s="51"/>
    </row>
    <row r="347" spans="1:23" s="3" customFormat="1" ht="17.25" customHeight="1">
      <c r="A347" s="188" t="s">
        <v>271</v>
      </c>
      <c r="B347" s="188"/>
      <c r="C347" s="181"/>
      <c r="D347" s="22"/>
      <c r="E347" s="16"/>
      <c r="F347" s="50"/>
      <c r="G347" s="50"/>
      <c r="H347" s="51"/>
      <c r="I347" s="165"/>
      <c r="J347" s="52"/>
      <c r="K347" s="44"/>
      <c r="L347" s="52"/>
      <c r="M347" s="52"/>
      <c r="N347" s="51"/>
      <c r="O347" s="51"/>
      <c r="P347" s="51"/>
      <c r="Q347" s="51"/>
      <c r="R347" s="51"/>
      <c r="S347" s="51"/>
      <c r="T347" s="51"/>
      <c r="U347" s="51"/>
      <c r="V347" s="51"/>
      <c r="W347" s="51"/>
    </row>
    <row r="348" spans="1:23" s="3" customFormat="1" ht="17.25" customHeight="1">
      <c r="A348" s="763" t="s">
        <v>272</v>
      </c>
      <c r="B348" s="763"/>
      <c r="C348" s="764"/>
      <c r="D348" s="765"/>
      <c r="E348" s="681"/>
      <c r="F348" s="735"/>
      <c r="G348" s="50"/>
      <c r="H348" s="51"/>
      <c r="I348" s="165"/>
      <c r="J348" s="52"/>
      <c r="K348" s="44"/>
      <c r="L348" s="52"/>
      <c r="M348" s="52"/>
      <c r="N348" s="51"/>
      <c r="O348" s="51"/>
      <c r="P348" s="51"/>
      <c r="Q348" s="51"/>
      <c r="R348" s="51"/>
      <c r="S348" s="51"/>
      <c r="T348" s="51"/>
      <c r="U348" s="51"/>
      <c r="V348" s="51"/>
      <c r="W348" s="51"/>
    </row>
    <row r="349" spans="1:23" s="3" customFormat="1" ht="17.25" customHeight="1">
      <c r="A349" s="763" t="s">
        <v>533</v>
      </c>
      <c r="B349" s="763"/>
      <c r="C349" s="764"/>
      <c r="D349" s="765"/>
      <c r="E349" s="681"/>
      <c r="F349" s="735"/>
      <c r="G349" s="50"/>
      <c r="H349" s="51"/>
      <c r="I349" s="165"/>
      <c r="J349" s="52"/>
      <c r="K349" s="44"/>
      <c r="L349" s="52"/>
      <c r="M349" s="52"/>
      <c r="N349" s="51"/>
      <c r="O349" s="51"/>
      <c r="P349" s="51"/>
      <c r="Q349" s="51"/>
      <c r="R349" s="51"/>
      <c r="S349" s="51"/>
      <c r="T349" s="51"/>
      <c r="U349" s="51"/>
      <c r="V349" s="51"/>
      <c r="W349" s="51"/>
    </row>
    <row r="350" spans="1:23" s="3" customFormat="1" ht="17.25" customHeight="1">
      <c r="A350" s="188" t="s">
        <v>170</v>
      </c>
      <c r="B350" s="188"/>
      <c r="C350" s="181"/>
      <c r="D350" s="22"/>
      <c r="E350" s="16"/>
      <c r="F350" s="50"/>
      <c r="G350" s="50"/>
      <c r="H350" s="51"/>
      <c r="I350" s="165"/>
      <c r="J350" s="52"/>
      <c r="K350" s="44"/>
      <c r="L350" s="52"/>
      <c r="M350" s="52"/>
      <c r="N350" s="51"/>
      <c r="O350" s="51"/>
      <c r="P350" s="51"/>
      <c r="Q350" s="51"/>
      <c r="R350" s="51"/>
      <c r="S350" s="51"/>
      <c r="T350" s="51"/>
      <c r="U350" s="51"/>
      <c r="V350" s="51"/>
      <c r="W350" s="51"/>
    </row>
    <row r="351" spans="1:23" s="3" customFormat="1" ht="17.25" customHeight="1">
      <c r="A351" s="188"/>
      <c r="B351" s="188"/>
      <c r="C351" s="181"/>
      <c r="D351" s="22"/>
      <c r="E351" s="16"/>
      <c r="F351" s="50"/>
      <c r="G351" s="50"/>
      <c r="H351" s="51"/>
      <c r="I351" s="165"/>
      <c r="J351" s="52"/>
      <c r="K351" s="44"/>
      <c r="L351" s="52"/>
      <c r="M351" s="52"/>
      <c r="N351" s="51"/>
      <c r="O351" s="51"/>
      <c r="P351" s="51"/>
      <c r="Q351" s="51"/>
      <c r="R351" s="51"/>
      <c r="S351" s="51"/>
      <c r="T351" s="51"/>
      <c r="U351" s="51"/>
      <c r="V351" s="51"/>
      <c r="W351" s="51"/>
    </row>
    <row r="352" spans="1:23" s="3" customFormat="1" ht="17.25" customHeight="1">
      <c r="A352" s="188"/>
      <c r="B352" s="188"/>
      <c r="C352" s="181"/>
      <c r="D352" s="22"/>
      <c r="E352" s="16"/>
      <c r="F352" s="50"/>
      <c r="G352" s="50"/>
      <c r="H352" s="51"/>
      <c r="I352" s="165"/>
      <c r="J352" s="52"/>
      <c r="K352" s="44"/>
      <c r="L352" s="52"/>
      <c r="M352" s="52"/>
      <c r="N352" s="51"/>
      <c r="O352" s="51"/>
      <c r="P352" s="51"/>
      <c r="Q352" s="51"/>
      <c r="R352" s="51"/>
      <c r="S352" s="51"/>
      <c r="T352" s="51"/>
      <c r="U352" s="51"/>
      <c r="V352" s="51"/>
      <c r="W352" s="51"/>
    </row>
    <row r="353" spans="1:23" s="3" customFormat="1" ht="17.25" customHeight="1">
      <c r="A353" s="188" t="s">
        <v>270</v>
      </c>
      <c r="B353" s="188"/>
      <c r="C353" s="181"/>
      <c r="D353" s="22"/>
      <c r="E353" s="16"/>
      <c r="F353" s="50"/>
      <c r="G353" s="50"/>
      <c r="H353" s="51"/>
      <c r="I353" s="165"/>
      <c r="J353" s="52"/>
      <c r="K353" s="44"/>
      <c r="L353" s="52"/>
      <c r="M353" s="52"/>
      <c r="N353" s="51"/>
      <c r="O353" s="51"/>
      <c r="P353" s="51"/>
      <c r="Q353" s="51"/>
      <c r="R353" s="51"/>
      <c r="S353" s="51"/>
      <c r="T353" s="51"/>
      <c r="U353" s="51"/>
      <c r="V353" s="51"/>
      <c r="W353" s="51"/>
    </row>
    <row r="354" spans="1:23" s="3" customFormat="1" ht="17.25" customHeight="1">
      <c r="A354" s="188"/>
      <c r="B354" s="188"/>
      <c r="C354" s="181"/>
      <c r="D354" s="22"/>
      <c r="E354" s="16"/>
      <c r="F354" s="50"/>
      <c r="G354" s="50"/>
      <c r="H354" s="51"/>
      <c r="I354" s="165"/>
      <c r="J354" s="52"/>
      <c r="K354" s="44"/>
      <c r="L354" s="52"/>
      <c r="M354" s="52"/>
      <c r="N354" s="51"/>
      <c r="O354" s="51"/>
      <c r="P354" s="51"/>
      <c r="Q354" s="51"/>
      <c r="R354" s="51"/>
      <c r="S354" s="51"/>
      <c r="T354" s="51"/>
      <c r="U354" s="51"/>
      <c r="V354" s="51"/>
      <c r="W354" s="51"/>
    </row>
    <row r="355" spans="1:23" s="3" customFormat="1" ht="17.25" customHeight="1">
      <c r="A355" s="188" t="s">
        <v>531</v>
      </c>
      <c r="B355" s="188"/>
      <c r="C355" s="181"/>
      <c r="D355" s="22"/>
      <c r="E355" s="16"/>
      <c r="F355" s="50"/>
      <c r="G355" s="50"/>
      <c r="H355" s="51"/>
      <c r="I355" s="165"/>
      <c r="J355" s="52"/>
      <c r="K355" s="44"/>
      <c r="L355" s="52"/>
      <c r="M355" s="52"/>
      <c r="N355" s="51"/>
      <c r="O355" s="51"/>
      <c r="P355" s="51"/>
      <c r="Q355" s="51"/>
      <c r="R355" s="51"/>
      <c r="S355" s="51"/>
      <c r="T355" s="51"/>
      <c r="U355" s="51"/>
      <c r="V355" s="51"/>
      <c r="W355" s="51"/>
    </row>
    <row r="356" spans="1:23" s="738" customFormat="1" ht="17.25" customHeight="1">
      <c r="A356" s="763" t="s">
        <v>532</v>
      </c>
      <c r="B356" s="763"/>
      <c r="C356" s="764"/>
      <c r="D356" s="765"/>
      <c r="E356" s="681"/>
      <c r="F356" s="735"/>
      <c r="G356" s="735"/>
      <c r="H356" s="741"/>
      <c r="I356" s="736"/>
      <c r="J356" s="742"/>
      <c r="K356" s="737"/>
      <c r="L356" s="742"/>
      <c r="M356" s="742"/>
      <c r="N356" s="741"/>
      <c r="O356" s="741"/>
      <c r="P356" s="741"/>
      <c r="Q356" s="741"/>
      <c r="R356" s="741"/>
      <c r="S356" s="741"/>
      <c r="T356" s="741"/>
      <c r="U356" s="741"/>
      <c r="V356" s="741"/>
      <c r="W356" s="741"/>
    </row>
    <row r="357" spans="1:23" s="3" customFormat="1" ht="17.25" customHeight="1">
      <c r="A357" s="763" t="s">
        <v>533</v>
      </c>
      <c r="B357" s="763"/>
      <c r="C357" s="764"/>
      <c r="D357" s="765"/>
      <c r="E357" s="681"/>
      <c r="F357" s="735"/>
      <c r="G357" s="50"/>
      <c r="H357" s="51"/>
      <c r="I357" s="165"/>
      <c r="J357" s="52"/>
      <c r="K357" s="44"/>
      <c r="L357" s="52"/>
      <c r="M357" s="52"/>
      <c r="N357" s="51"/>
      <c r="O357" s="51"/>
      <c r="P357" s="51"/>
      <c r="Q357" s="51"/>
      <c r="R357" s="51"/>
      <c r="S357" s="51"/>
      <c r="T357" s="51"/>
      <c r="U357" s="51"/>
      <c r="V357" s="51"/>
      <c r="W357" s="51"/>
    </row>
    <row r="358" spans="1:23" s="3" customFormat="1" ht="17.25" customHeight="1">
      <c r="A358" s="188" t="s">
        <v>537</v>
      </c>
      <c r="B358" s="188"/>
      <c r="C358" s="181"/>
      <c r="D358" s="22"/>
      <c r="E358" s="16"/>
      <c r="F358" s="50"/>
      <c r="G358" s="50"/>
      <c r="H358" s="51"/>
      <c r="I358" s="165"/>
      <c r="J358" s="52"/>
      <c r="K358" s="44"/>
      <c r="L358" s="52"/>
      <c r="M358" s="52"/>
      <c r="N358" s="51"/>
      <c r="O358" s="51"/>
      <c r="P358" s="51"/>
      <c r="Q358" s="51"/>
      <c r="R358" s="51"/>
      <c r="S358" s="51"/>
      <c r="T358" s="51"/>
      <c r="U358" s="51"/>
      <c r="V358" s="51"/>
      <c r="W358" s="51"/>
    </row>
    <row r="359" spans="1:23" s="3" customFormat="1" ht="17.25" customHeight="1">
      <c r="A359" s="188"/>
      <c r="B359" s="188"/>
      <c r="C359" s="181"/>
      <c r="D359" s="22"/>
      <c r="E359" s="16"/>
      <c r="F359" s="50"/>
      <c r="G359" s="50"/>
      <c r="H359" s="51"/>
      <c r="I359" s="165"/>
      <c r="J359" s="52"/>
      <c r="K359" s="44"/>
      <c r="L359" s="52"/>
      <c r="M359" s="52"/>
      <c r="N359" s="51"/>
      <c r="O359" s="51"/>
      <c r="P359" s="51"/>
      <c r="Q359" s="51"/>
      <c r="R359" s="51"/>
      <c r="S359" s="51"/>
      <c r="T359" s="51"/>
      <c r="U359" s="51"/>
      <c r="V359" s="51"/>
      <c r="W359" s="51"/>
    </row>
    <row r="360" spans="1:23" s="3" customFormat="1" ht="17.25" customHeight="1">
      <c r="A360" s="188"/>
      <c r="B360" s="188"/>
      <c r="C360" s="181"/>
      <c r="D360" s="22"/>
      <c r="E360" s="16"/>
      <c r="F360" s="50"/>
      <c r="G360" s="50"/>
      <c r="H360" s="51"/>
      <c r="I360" s="165"/>
      <c r="J360" s="52"/>
      <c r="K360" s="44"/>
      <c r="L360" s="52"/>
      <c r="M360" s="52"/>
      <c r="N360" s="51"/>
      <c r="O360" s="51"/>
      <c r="P360" s="51"/>
      <c r="Q360" s="51"/>
      <c r="R360" s="51"/>
      <c r="S360" s="51"/>
      <c r="T360" s="51"/>
      <c r="U360" s="51"/>
      <c r="V360" s="51"/>
      <c r="W360" s="51"/>
    </row>
    <row r="361" spans="1:23" s="3" customFormat="1" ht="17.25" customHeight="1">
      <c r="A361" s="766" t="s">
        <v>158</v>
      </c>
      <c r="B361" s="67"/>
      <c r="C361" s="67"/>
      <c r="D361" s="16"/>
      <c r="E361" s="16"/>
      <c r="F361" s="50"/>
      <c r="G361" s="50"/>
      <c r="H361" s="51"/>
      <c r="I361" s="165"/>
      <c r="J361" s="52"/>
      <c r="K361" s="44"/>
      <c r="L361" s="52"/>
      <c r="M361" s="52"/>
      <c r="N361" s="51"/>
      <c r="O361" s="51"/>
      <c r="P361" s="51"/>
      <c r="Q361" s="51"/>
      <c r="R361" s="51"/>
      <c r="S361" s="51"/>
      <c r="T361" s="51"/>
      <c r="U361" s="51"/>
      <c r="V361" s="51"/>
      <c r="W361" s="51"/>
    </row>
    <row r="362" spans="1:23" s="3" customFormat="1" ht="17.25" customHeight="1">
      <c r="A362" s="766"/>
      <c r="B362" s="67"/>
      <c r="C362" s="67"/>
      <c r="D362" s="16"/>
      <c r="E362" s="16"/>
      <c r="F362" s="50"/>
      <c r="G362" s="50"/>
      <c r="H362" s="51"/>
      <c r="I362" s="165"/>
      <c r="J362" s="52"/>
      <c r="K362" s="44"/>
      <c r="L362" s="52"/>
      <c r="M362" s="52"/>
      <c r="N362" s="51"/>
      <c r="O362" s="51"/>
      <c r="P362" s="51"/>
      <c r="Q362" s="51"/>
      <c r="R362" s="51"/>
      <c r="S362" s="51"/>
      <c r="T362" s="51"/>
      <c r="U362" s="51"/>
      <c r="V362" s="51"/>
      <c r="W362" s="51"/>
    </row>
    <row r="363" spans="1:23" s="3" customFormat="1" ht="17.25" customHeight="1">
      <c r="A363" s="766" t="s">
        <v>536</v>
      </c>
      <c r="B363" s="67"/>
      <c r="C363" s="67"/>
      <c r="D363" s="16"/>
      <c r="E363" s="16"/>
      <c r="F363" s="50"/>
      <c r="G363" s="50"/>
      <c r="H363" s="51"/>
      <c r="I363" s="165"/>
      <c r="J363" s="52"/>
      <c r="K363" s="44"/>
      <c r="L363" s="52"/>
      <c r="M363" s="52"/>
      <c r="N363" s="51"/>
      <c r="O363" s="51"/>
      <c r="P363" s="51"/>
      <c r="Q363" s="51"/>
      <c r="R363" s="51"/>
      <c r="S363" s="51"/>
      <c r="T363" s="51"/>
      <c r="U363" s="51"/>
      <c r="V363" s="51"/>
      <c r="W363" s="51"/>
    </row>
    <row r="364" spans="1:23" s="3" customFormat="1" ht="17.25" customHeight="1">
      <c r="A364" s="189"/>
      <c r="B364" s="67"/>
      <c r="C364" s="67"/>
      <c r="D364" s="16"/>
      <c r="E364" s="16"/>
      <c r="F364" s="50"/>
      <c r="G364" s="50"/>
      <c r="H364" s="51"/>
      <c r="I364" s="165"/>
      <c r="J364" s="52"/>
      <c r="K364" s="44"/>
      <c r="L364" s="52"/>
      <c r="M364" s="52"/>
      <c r="N364" s="51"/>
      <c r="O364" s="51"/>
      <c r="P364" s="51"/>
      <c r="Q364" s="51"/>
      <c r="R364" s="51"/>
      <c r="S364" s="51"/>
      <c r="T364" s="51"/>
      <c r="U364" s="51"/>
      <c r="V364" s="51"/>
      <c r="W364" s="51"/>
    </row>
    <row r="365" spans="1:23" s="3" customFormat="1" ht="17.25" customHeight="1">
      <c r="A365" s="766" t="s">
        <v>534</v>
      </c>
      <c r="B365" s="680"/>
      <c r="C365" s="680"/>
      <c r="D365" s="681"/>
      <c r="E365" s="681"/>
      <c r="F365" s="50"/>
      <c r="G365" s="50"/>
      <c r="H365" s="51"/>
      <c r="I365" s="165"/>
      <c r="J365" s="52"/>
      <c r="K365" s="44"/>
      <c r="L365" s="52"/>
      <c r="M365" s="52"/>
      <c r="N365" s="51"/>
      <c r="O365" s="51"/>
      <c r="P365" s="51"/>
      <c r="Q365" s="51"/>
      <c r="R365" s="51"/>
      <c r="S365" s="51"/>
      <c r="T365" s="51"/>
      <c r="U365" s="51"/>
      <c r="V365" s="51"/>
      <c r="W365" s="51"/>
    </row>
    <row r="366" spans="1:23" s="3" customFormat="1" ht="17.25" customHeight="1">
      <c r="A366" s="767" t="s">
        <v>535</v>
      </c>
      <c r="B366" s="680"/>
      <c r="C366" s="680"/>
      <c r="D366" s="681"/>
      <c r="E366" s="681"/>
      <c r="F366" s="50"/>
      <c r="G366" s="50"/>
      <c r="H366" s="51"/>
      <c r="I366" s="165"/>
      <c r="J366" s="52"/>
      <c r="K366" s="44"/>
      <c r="L366" s="52"/>
      <c r="M366" s="52"/>
      <c r="N366" s="51"/>
      <c r="O366" s="51"/>
      <c r="P366" s="51"/>
      <c r="Q366" s="51"/>
      <c r="R366" s="51"/>
      <c r="S366" s="51"/>
      <c r="T366" s="51"/>
      <c r="U366" s="51"/>
      <c r="V366" s="51"/>
      <c r="W366" s="51"/>
    </row>
    <row r="367" spans="1:23" s="3" customFormat="1" ht="17.25" customHeight="1">
      <c r="A367" s="766" t="s">
        <v>538</v>
      </c>
      <c r="B367" s="128"/>
      <c r="C367" s="67"/>
      <c r="D367" s="16"/>
      <c r="E367" s="16"/>
      <c r="F367" s="50"/>
      <c r="G367" s="50"/>
      <c r="H367" s="51"/>
      <c r="I367" s="165"/>
      <c r="J367" s="52"/>
      <c r="K367" s="44"/>
      <c r="L367" s="52"/>
      <c r="M367" s="52"/>
      <c r="N367" s="51"/>
      <c r="O367" s="51"/>
      <c r="P367" s="51"/>
      <c r="Q367" s="51"/>
      <c r="R367" s="51"/>
      <c r="S367" s="51"/>
      <c r="T367" s="51"/>
      <c r="U367" s="51"/>
      <c r="V367" s="51"/>
      <c r="W367" s="51"/>
    </row>
    <row r="368" spans="1:23" s="3" customFormat="1" ht="17.25" customHeight="1">
      <c r="A368" s="188"/>
      <c r="B368" s="188"/>
      <c r="C368" s="181"/>
      <c r="D368" s="22"/>
      <c r="E368" s="16"/>
      <c r="F368" s="50"/>
      <c r="G368" s="50"/>
      <c r="H368" s="51"/>
      <c r="I368" s="165"/>
      <c r="J368" s="52"/>
      <c r="K368" s="44"/>
      <c r="L368" s="52"/>
      <c r="M368" s="52"/>
      <c r="N368" s="51"/>
      <c r="O368" s="51"/>
      <c r="P368" s="51"/>
      <c r="Q368" s="51"/>
      <c r="R368" s="51"/>
      <c r="S368" s="51"/>
      <c r="T368" s="51"/>
      <c r="U368" s="51"/>
      <c r="V368" s="51"/>
      <c r="W368" s="51"/>
    </row>
    <row r="369" spans="1:23" s="3" customFormat="1" ht="17.25" customHeight="1">
      <c r="A369" s="678"/>
      <c r="B369" s="679"/>
      <c r="C369" s="680"/>
      <c r="D369" s="681"/>
      <c r="E369" s="681"/>
      <c r="F369" s="681"/>
      <c r="G369" s="681"/>
      <c r="H369" s="682"/>
      <c r="I369" s="165"/>
      <c r="J369" s="52"/>
      <c r="K369" s="44"/>
      <c r="L369" s="52"/>
      <c r="M369" s="52"/>
      <c r="N369" s="51"/>
      <c r="O369" s="51"/>
      <c r="P369" s="51"/>
      <c r="Q369" s="51"/>
      <c r="R369" s="51"/>
      <c r="S369" s="51"/>
      <c r="T369" s="51"/>
      <c r="U369" s="51"/>
      <c r="V369" s="51"/>
      <c r="W369" s="51"/>
    </row>
    <row r="370" spans="1:23" s="3" customFormat="1" ht="17.25" customHeight="1">
      <c r="A370" s="766" t="s">
        <v>568</v>
      </c>
      <c r="B370" s="67"/>
      <c r="C370" s="67"/>
      <c r="D370" s="681"/>
      <c r="E370" s="681"/>
      <c r="F370" s="681"/>
      <c r="G370" s="681"/>
      <c r="H370" s="682"/>
      <c r="I370" s="165"/>
      <c r="J370" s="52"/>
      <c r="K370" s="44"/>
      <c r="L370" s="52"/>
      <c r="M370" s="52"/>
      <c r="N370" s="51"/>
      <c r="O370" s="51"/>
      <c r="P370" s="51"/>
      <c r="Q370" s="51"/>
      <c r="R370" s="51"/>
      <c r="S370" s="51"/>
      <c r="T370" s="51"/>
      <c r="U370" s="51"/>
      <c r="V370" s="51"/>
      <c r="W370" s="51"/>
    </row>
    <row r="371" spans="1:23" s="3" customFormat="1" ht="17.25" customHeight="1">
      <c r="A371" s="189"/>
      <c r="B371" s="67"/>
      <c r="C371" s="67"/>
      <c r="D371" s="681"/>
      <c r="E371" s="681"/>
      <c r="F371" s="681"/>
      <c r="G371" s="681"/>
      <c r="H371" s="682"/>
      <c r="I371" s="165"/>
      <c r="J371" s="52"/>
      <c r="K371" s="44"/>
      <c r="L371" s="52"/>
      <c r="M371" s="52"/>
      <c r="N371" s="51"/>
      <c r="O371" s="51"/>
      <c r="P371" s="51"/>
      <c r="Q371" s="51"/>
      <c r="R371" s="51"/>
      <c r="S371" s="51"/>
      <c r="T371" s="51"/>
      <c r="U371" s="51"/>
      <c r="V371" s="51"/>
      <c r="W371" s="51"/>
    </row>
    <row r="372" spans="1:23" s="3" customFormat="1" ht="17.25" customHeight="1">
      <c r="A372" s="766" t="s">
        <v>539</v>
      </c>
      <c r="B372" s="680"/>
      <c r="C372" s="680"/>
      <c r="D372" s="681"/>
      <c r="E372" s="681"/>
      <c r="F372" s="681"/>
      <c r="G372" s="681"/>
      <c r="H372" s="682"/>
      <c r="I372" s="165"/>
      <c r="J372" s="52"/>
      <c r="K372" s="44"/>
      <c r="L372" s="52"/>
      <c r="M372" s="52"/>
      <c r="N372" s="51"/>
      <c r="O372" s="51"/>
      <c r="P372" s="51"/>
      <c r="Q372" s="51"/>
      <c r="R372" s="51"/>
      <c r="S372" s="51"/>
      <c r="T372" s="51"/>
      <c r="U372" s="51"/>
      <c r="V372" s="51"/>
      <c r="W372" s="51"/>
    </row>
    <row r="373" spans="1:23" s="3" customFormat="1" ht="17.25" customHeight="1">
      <c r="A373" s="767" t="s">
        <v>535</v>
      </c>
      <c r="B373" s="680"/>
      <c r="C373" s="680"/>
      <c r="D373" s="681"/>
      <c r="E373" s="681"/>
      <c r="F373" s="681"/>
      <c r="G373" s="681"/>
      <c r="H373" s="682"/>
      <c r="I373" s="165"/>
      <c r="J373" s="52"/>
      <c r="K373" s="44"/>
      <c r="L373" s="52"/>
      <c r="M373" s="52"/>
      <c r="N373" s="51"/>
      <c r="O373" s="51"/>
      <c r="P373" s="51"/>
      <c r="Q373" s="51"/>
      <c r="R373" s="51"/>
      <c r="S373" s="51"/>
      <c r="T373" s="51"/>
      <c r="U373" s="51"/>
      <c r="V373" s="51"/>
      <c r="W373" s="51"/>
    </row>
    <row r="374" spans="1:23" s="3" customFormat="1" ht="17.25" customHeight="1">
      <c r="A374" s="766" t="s">
        <v>540</v>
      </c>
      <c r="B374" s="128"/>
      <c r="C374" s="67"/>
      <c r="D374" s="681"/>
      <c r="E374" s="681"/>
      <c r="F374" s="681"/>
      <c r="G374" s="681"/>
      <c r="H374" s="682"/>
      <c r="I374" s="165"/>
      <c r="J374" s="52"/>
      <c r="K374" s="44"/>
      <c r="L374" s="52"/>
      <c r="M374" s="52"/>
      <c r="N374" s="51"/>
      <c r="O374" s="51"/>
      <c r="P374" s="51"/>
      <c r="Q374" s="51"/>
      <c r="R374" s="51"/>
      <c r="S374" s="51"/>
      <c r="T374" s="51"/>
      <c r="U374" s="51"/>
      <c r="V374" s="51"/>
      <c r="W374" s="51"/>
    </row>
    <row r="375" spans="1:23" s="3" customFormat="1" ht="17.25" customHeight="1">
      <c r="A375" s="678"/>
      <c r="B375" s="679"/>
      <c r="C375" s="680"/>
      <c r="D375" s="681"/>
      <c r="E375" s="681"/>
      <c r="F375" s="681"/>
      <c r="G375" s="681"/>
      <c r="H375" s="682"/>
      <c r="I375" s="165"/>
      <c r="J375" s="52"/>
      <c r="K375" s="44"/>
      <c r="L375" s="52"/>
      <c r="M375" s="52"/>
      <c r="N375" s="51"/>
      <c r="O375" s="51"/>
      <c r="P375" s="51"/>
      <c r="Q375" s="51"/>
      <c r="R375" s="51"/>
      <c r="S375" s="51"/>
      <c r="T375" s="51"/>
      <c r="U375" s="51"/>
      <c r="V375" s="51"/>
      <c r="W375" s="51"/>
    </row>
    <row r="376" spans="1:23" s="3" customFormat="1" ht="17.25" customHeight="1">
      <c r="A376" s="678"/>
      <c r="B376" s="679"/>
      <c r="C376" s="680"/>
      <c r="D376" s="681"/>
      <c r="E376" s="681"/>
      <c r="F376" s="681"/>
      <c r="G376" s="681"/>
      <c r="H376" s="682"/>
      <c r="I376" s="165"/>
      <c r="J376" s="52"/>
      <c r="K376" s="44"/>
      <c r="L376" s="52"/>
      <c r="M376" s="52"/>
      <c r="N376" s="51"/>
      <c r="O376" s="51"/>
      <c r="P376" s="51"/>
      <c r="Q376" s="51"/>
      <c r="R376" s="51"/>
      <c r="S376" s="51"/>
      <c r="T376" s="51"/>
      <c r="U376" s="51"/>
      <c r="V376" s="51"/>
      <c r="W376" s="51"/>
    </row>
    <row r="377" spans="1:23" s="3" customFormat="1" ht="17.25" customHeight="1">
      <c r="A377" s="678"/>
      <c r="B377" s="679"/>
      <c r="C377" s="680"/>
      <c r="D377" s="681"/>
      <c r="E377" s="681"/>
      <c r="F377" s="681"/>
      <c r="G377" s="681"/>
      <c r="H377" s="682"/>
      <c r="I377" s="165"/>
      <c r="J377" s="52"/>
      <c r="K377" s="44"/>
      <c r="L377" s="52"/>
      <c r="M377" s="52"/>
      <c r="N377" s="51"/>
      <c r="O377" s="51"/>
      <c r="P377" s="51"/>
      <c r="Q377" s="51"/>
      <c r="R377" s="51"/>
      <c r="S377" s="51"/>
      <c r="T377" s="51"/>
      <c r="U377" s="51"/>
      <c r="V377" s="51"/>
      <c r="W377" s="51"/>
    </row>
    <row r="378" spans="1:23" ht="18.75">
      <c r="A378" s="866" t="s">
        <v>159</v>
      </c>
      <c r="B378" s="683"/>
      <c r="C378" s="683"/>
      <c r="D378" s="19"/>
      <c r="E378" s="19"/>
      <c r="F378" s="19"/>
      <c r="G378" s="149"/>
      <c r="H378" s="17"/>
      <c r="I378" s="139"/>
      <c r="J378" s="37"/>
      <c r="K378" s="132"/>
      <c r="L378" s="36"/>
      <c r="M378" s="36"/>
      <c r="N378" s="16"/>
      <c r="O378" s="16"/>
      <c r="P378" s="16"/>
      <c r="Q378" s="133"/>
      <c r="R378" s="133"/>
      <c r="S378" s="133"/>
      <c r="T378" s="133"/>
      <c r="U378" s="133"/>
      <c r="V378" s="133"/>
      <c r="W378" s="133"/>
    </row>
    <row r="379" spans="1:23" ht="15.75">
      <c r="A379" s="189"/>
      <c r="B379" s="67"/>
      <c r="C379" s="67"/>
      <c r="D379" s="16"/>
      <c r="E379" s="16"/>
      <c r="F379" s="16"/>
      <c r="G379" s="149"/>
      <c r="H379" s="141"/>
      <c r="I379" s="139"/>
      <c r="J379" s="37"/>
      <c r="K379" s="132"/>
      <c r="L379" s="36"/>
      <c r="M379" s="36"/>
      <c r="N379" s="16"/>
      <c r="O379" s="16"/>
      <c r="P379" s="16"/>
      <c r="Q379" s="133"/>
      <c r="R379" s="133"/>
      <c r="S379" s="133"/>
      <c r="T379" s="133"/>
      <c r="U379" s="133"/>
      <c r="V379" s="133"/>
      <c r="W379" s="133"/>
    </row>
    <row r="380" spans="1:23" ht="16.5">
      <c r="A380" s="156"/>
      <c r="B380" s="156"/>
      <c r="C380" s="157"/>
      <c r="D380" s="19"/>
      <c r="E380" s="16"/>
      <c r="F380" s="16"/>
      <c r="G380" s="141"/>
      <c r="H380" s="141"/>
      <c r="I380" s="139"/>
      <c r="J380" s="37"/>
      <c r="K380" s="132"/>
      <c r="L380" s="36"/>
      <c r="M380" s="36"/>
      <c r="N380" s="16"/>
      <c r="O380" s="16"/>
      <c r="P380" s="16"/>
      <c r="Q380" s="133"/>
      <c r="R380" s="133"/>
      <c r="S380" s="133"/>
      <c r="T380" s="133"/>
      <c r="U380" s="133"/>
      <c r="V380" s="133"/>
      <c r="W380" s="133"/>
    </row>
    <row r="381" spans="1:23" ht="16.5">
      <c r="A381" s="156" t="s">
        <v>268</v>
      </c>
      <c r="B381" s="156"/>
      <c r="C381" s="157"/>
      <c r="D381" s="19"/>
      <c r="E381" s="16"/>
      <c r="F381" s="16"/>
      <c r="G381" s="141"/>
      <c r="H381" s="141">
        <f>H385+H388</f>
        <v>310511.58999999997</v>
      </c>
      <c r="I381" s="139"/>
      <c r="J381" s="37"/>
      <c r="K381" s="132"/>
      <c r="L381" s="36"/>
      <c r="M381" s="36"/>
      <c r="N381" s="16"/>
      <c r="O381" s="16"/>
      <c r="P381" s="16"/>
      <c r="Q381" s="133"/>
      <c r="R381" s="133"/>
      <c r="S381" s="133"/>
      <c r="T381" s="133"/>
      <c r="U381" s="133"/>
      <c r="V381" s="133"/>
      <c r="W381" s="133"/>
    </row>
    <row r="382" spans="1:23" ht="16.5">
      <c r="A382" s="156" t="s">
        <v>313</v>
      </c>
      <c r="B382" s="156"/>
      <c r="C382" s="157"/>
      <c r="D382" s="19"/>
      <c r="E382" s="16"/>
      <c r="F382" s="16"/>
      <c r="G382" s="141"/>
      <c r="H382" s="141">
        <f>H386+H389</f>
        <v>372632.58999999997</v>
      </c>
      <c r="I382" s="139"/>
      <c r="J382" s="37"/>
      <c r="K382" s="132"/>
      <c r="L382" s="36"/>
      <c r="M382" s="36"/>
      <c r="N382" s="16"/>
      <c r="O382" s="16"/>
      <c r="P382" s="16"/>
      <c r="Q382" s="133"/>
      <c r="R382" s="133"/>
      <c r="S382" s="133"/>
      <c r="T382" s="133"/>
      <c r="U382" s="133"/>
      <c r="V382" s="133"/>
      <c r="W382" s="133"/>
    </row>
    <row r="383" spans="1:23" ht="16.5">
      <c r="A383" s="156" t="s">
        <v>314</v>
      </c>
      <c r="B383" s="156"/>
      <c r="C383" s="157"/>
      <c r="D383" s="19"/>
      <c r="E383" s="16"/>
      <c r="F383" s="16"/>
      <c r="G383" s="141"/>
      <c r="H383" s="141"/>
      <c r="I383" s="139"/>
      <c r="J383" s="37"/>
      <c r="K383" s="132"/>
      <c r="L383" s="36"/>
      <c r="M383" s="36"/>
      <c r="N383" s="16"/>
      <c r="O383" s="16"/>
      <c r="P383" s="16"/>
      <c r="Q383" s="133"/>
      <c r="R383" s="133"/>
      <c r="S383" s="133"/>
      <c r="T383" s="133"/>
      <c r="U383" s="133"/>
      <c r="V383" s="133"/>
      <c r="W383" s="133"/>
    </row>
    <row r="384" spans="1:23" ht="16.5">
      <c r="A384" s="156"/>
      <c r="B384" s="156"/>
      <c r="C384" s="157"/>
      <c r="D384" s="19"/>
      <c r="E384" s="16"/>
      <c r="F384" s="16"/>
      <c r="G384" s="141"/>
      <c r="H384" s="141"/>
      <c r="I384" s="139"/>
      <c r="J384" s="37"/>
      <c r="K384" s="132"/>
      <c r="L384" s="36"/>
      <c r="M384" s="36"/>
      <c r="N384" s="16"/>
      <c r="O384" s="16"/>
      <c r="P384" s="16"/>
      <c r="Q384" s="133"/>
      <c r="R384" s="133"/>
      <c r="S384" s="133"/>
      <c r="T384" s="133"/>
      <c r="U384" s="133"/>
      <c r="V384" s="133"/>
      <c r="W384" s="133"/>
    </row>
    <row r="385" spans="1:23" ht="16.5">
      <c r="A385" s="156"/>
      <c r="B385" s="156" t="s">
        <v>315</v>
      </c>
      <c r="C385" s="867"/>
      <c r="D385" s="868"/>
      <c r="E385" s="16"/>
      <c r="F385" s="16"/>
      <c r="G385" s="141"/>
      <c r="H385" s="141">
        <v>118511.59</v>
      </c>
      <c r="I385" s="139"/>
      <c r="J385" s="37"/>
      <c r="K385" s="132"/>
      <c r="L385" s="36"/>
      <c r="M385" s="36"/>
      <c r="N385" s="16"/>
      <c r="O385" s="16"/>
      <c r="P385" s="16"/>
      <c r="Q385" s="133"/>
      <c r="R385" s="133"/>
      <c r="S385" s="133"/>
      <c r="T385" s="133"/>
      <c r="U385" s="133"/>
      <c r="V385" s="133"/>
      <c r="W385" s="133"/>
    </row>
    <row r="386" spans="1:23" ht="16.5">
      <c r="A386" s="156"/>
      <c r="B386" s="156" t="s">
        <v>316</v>
      </c>
      <c r="C386" s="867"/>
      <c r="D386" s="868"/>
      <c r="E386" s="16"/>
      <c r="F386" s="16"/>
      <c r="G386" s="141"/>
      <c r="H386" s="141">
        <f>H385+43071-4500</f>
        <v>157082.59</v>
      </c>
      <c r="I386" s="139"/>
      <c r="J386" s="37"/>
      <c r="K386" s="132"/>
      <c r="L386" s="36"/>
      <c r="M386" s="36"/>
      <c r="N386" s="16"/>
      <c r="O386" s="16"/>
      <c r="P386" s="16"/>
      <c r="Q386" s="133"/>
      <c r="R386" s="133"/>
      <c r="S386" s="133"/>
      <c r="T386" s="133"/>
      <c r="U386" s="133"/>
      <c r="V386" s="133"/>
      <c r="W386" s="133"/>
    </row>
    <row r="387" spans="1:23" ht="16.5">
      <c r="A387" s="156"/>
      <c r="B387" s="156"/>
      <c r="C387" s="867"/>
      <c r="D387" s="868"/>
      <c r="E387" s="16"/>
      <c r="F387" s="16"/>
      <c r="G387" s="141"/>
      <c r="H387" s="141"/>
      <c r="I387" s="139"/>
      <c r="J387" s="37"/>
      <c r="K387" s="132"/>
      <c r="L387" s="36"/>
      <c r="M387" s="36"/>
      <c r="N387" s="16"/>
      <c r="O387" s="16"/>
      <c r="P387" s="16"/>
      <c r="Q387" s="133"/>
      <c r="R387" s="133"/>
      <c r="S387" s="133"/>
      <c r="T387" s="133"/>
      <c r="U387" s="133"/>
      <c r="V387" s="133"/>
      <c r="W387" s="133"/>
    </row>
    <row r="388" spans="1:23" ht="16.5">
      <c r="A388" s="156"/>
      <c r="B388" s="156" t="s">
        <v>656</v>
      </c>
      <c r="C388" s="867"/>
      <c r="D388" s="868"/>
      <c r="E388" s="16"/>
      <c r="F388" s="16"/>
      <c r="G388" s="141"/>
      <c r="H388" s="141">
        <v>192000</v>
      </c>
      <c r="I388" s="139"/>
      <c r="J388" s="37"/>
      <c r="K388" s="132"/>
      <c r="L388" s="36"/>
      <c r="M388" s="36"/>
      <c r="N388" s="16"/>
      <c r="O388" s="16"/>
      <c r="P388" s="16"/>
      <c r="Q388" s="133"/>
      <c r="R388" s="133"/>
      <c r="S388" s="133"/>
      <c r="T388" s="133"/>
      <c r="U388" s="133"/>
      <c r="V388" s="133"/>
      <c r="W388" s="133"/>
    </row>
    <row r="389" spans="1:23" ht="16.5">
      <c r="A389" s="156"/>
      <c r="B389" s="156" t="s">
        <v>316</v>
      </c>
      <c r="C389" s="867"/>
      <c r="D389" s="868"/>
      <c r="E389" s="16"/>
      <c r="F389" s="16"/>
      <c r="G389" s="141"/>
      <c r="H389" s="141">
        <f>H388+33550-10000</f>
        <v>215550</v>
      </c>
      <c r="I389" s="139"/>
      <c r="J389" s="37"/>
      <c r="K389" s="132"/>
      <c r="L389" s="36"/>
      <c r="M389" s="36"/>
      <c r="N389" s="16"/>
      <c r="O389" s="16"/>
      <c r="P389" s="16"/>
      <c r="Q389" s="133"/>
      <c r="R389" s="133"/>
      <c r="S389" s="133"/>
      <c r="T389" s="133"/>
      <c r="U389" s="133"/>
      <c r="V389" s="133"/>
      <c r="W389" s="133"/>
    </row>
    <row r="390" spans="1:23" ht="16.5">
      <c r="A390" s="156"/>
      <c r="B390" s="156"/>
      <c r="C390" s="157"/>
      <c r="D390" s="19"/>
      <c r="E390" s="16"/>
      <c r="F390" s="16"/>
      <c r="G390" s="141"/>
      <c r="H390" s="141"/>
      <c r="I390" s="139"/>
      <c r="J390" s="37"/>
      <c r="K390" s="132"/>
      <c r="L390" s="36"/>
      <c r="M390" s="36"/>
      <c r="N390" s="16"/>
      <c r="O390" s="16"/>
      <c r="P390" s="16"/>
      <c r="Q390" s="133"/>
      <c r="R390" s="133"/>
      <c r="S390" s="133"/>
      <c r="T390" s="133"/>
      <c r="U390" s="133"/>
      <c r="V390" s="133"/>
      <c r="W390" s="133"/>
    </row>
    <row r="391" spans="1:23" ht="15.75">
      <c r="A391" s="140"/>
      <c r="B391" s="140"/>
      <c r="C391" s="190"/>
      <c r="D391" s="191"/>
      <c r="E391" s="16"/>
      <c r="F391" s="16"/>
      <c r="G391" s="141"/>
      <c r="H391" s="141"/>
      <c r="I391" s="139"/>
      <c r="J391" s="37"/>
      <c r="K391" s="132"/>
      <c r="L391" s="36"/>
      <c r="M391" s="36"/>
      <c r="N391" s="16"/>
      <c r="O391" s="16"/>
      <c r="P391" s="16"/>
      <c r="Q391" s="133"/>
      <c r="R391" s="133"/>
      <c r="S391" s="133"/>
      <c r="T391" s="133"/>
      <c r="U391" s="133"/>
      <c r="V391" s="133"/>
      <c r="W391" s="133"/>
    </row>
    <row r="392" spans="1:23" ht="15.75">
      <c r="A392" s="140"/>
      <c r="B392" s="140"/>
      <c r="C392" s="190"/>
      <c r="D392" s="191"/>
      <c r="E392" s="16"/>
      <c r="F392" s="16"/>
      <c r="G392" s="141"/>
      <c r="H392" s="141"/>
      <c r="I392" s="139"/>
      <c r="J392" s="37"/>
      <c r="K392" s="132"/>
      <c r="L392" s="36"/>
      <c r="M392" s="36"/>
      <c r="N392" s="16"/>
      <c r="O392" s="16"/>
      <c r="P392" s="16"/>
      <c r="Q392" s="133"/>
      <c r="R392" s="133"/>
      <c r="S392" s="133"/>
      <c r="T392" s="133"/>
      <c r="U392" s="133"/>
      <c r="V392" s="133"/>
      <c r="W392" s="133"/>
    </row>
    <row r="393" spans="1:23" ht="16.5">
      <c r="A393" s="156" t="s">
        <v>143</v>
      </c>
      <c r="B393" s="140"/>
      <c r="C393" s="190"/>
      <c r="D393" s="191"/>
      <c r="E393" s="16"/>
      <c r="F393" s="16"/>
      <c r="G393" s="141"/>
      <c r="H393" s="141"/>
      <c r="I393" s="139"/>
      <c r="J393" s="37"/>
      <c r="K393" s="132"/>
      <c r="L393" s="36"/>
      <c r="M393" s="36"/>
      <c r="N393" s="16"/>
      <c r="O393" s="16"/>
      <c r="P393" s="16"/>
      <c r="Q393" s="133"/>
      <c r="R393" s="133"/>
      <c r="S393" s="133"/>
      <c r="T393" s="133"/>
      <c r="U393" s="133"/>
      <c r="V393" s="133"/>
      <c r="W393" s="133"/>
    </row>
    <row r="394" spans="1:23" ht="15.75">
      <c r="A394" s="140"/>
      <c r="B394" s="140"/>
      <c r="C394" s="190"/>
      <c r="D394" s="191"/>
      <c r="E394" s="16"/>
      <c r="F394" s="16"/>
      <c r="G394" s="141"/>
      <c r="H394" s="141"/>
      <c r="I394" s="139"/>
      <c r="J394" s="37"/>
      <c r="K394" s="132"/>
      <c r="L394" s="36"/>
      <c r="M394" s="36"/>
      <c r="N394" s="16"/>
      <c r="O394" s="16"/>
      <c r="P394" s="16"/>
      <c r="Q394" s="133"/>
      <c r="R394" s="133"/>
      <c r="S394" s="133"/>
      <c r="T394" s="133"/>
      <c r="U394" s="133"/>
      <c r="V394" s="133"/>
      <c r="W394" s="133"/>
    </row>
    <row r="395" spans="1:23" ht="15.75">
      <c r="A395" s="140"/>
      <c r="B395" s="140"/>
      <c r="C395" s="190"/>
      <c r="D395" s="191"/>
      <c r="E395" s="16"/>
      <c r="F395" s="16"/>
      <c r="G395" s="141"/>
      <c r="H395" s="141"/>
      <c r="I395" s="139"/>
      <c r="J395" s="37"/>
      <c r="K395" s="132"/>
      <c r="L395" s="36"/>
      <c r="M395" s="36"/>
      <c r="N395" s="16"/>
      <c r="O395" s="16"/>
      <c r="P395" s="16"/>
      <c r="Q395" s="133"/>
      <c r="R395" s="133"/>
      <c r="S395" s="133"/>
      <c r="T395" s="133"/>
      <c r="U395" s="133"/>
      <c r="V395" s="133"/>
      <c r="W395" s="133"/>
    </row>
    <row r="396" spans="1:23" ht="16.5">
      <c r="A396" s="766" t="s">
        <v>144</v>
      </c>
      <c r="B396" s="680"/>
      <c r="C396" s="680"/>
      <c r="D396" s="681"/>
      <c r="E396" s="681"/>
      <c r="F396" s="681"/>
      <c r="G396" s="681"/>
      <c r="H396" s="141"/>
      <c r="I396" s="139"/>
      <c r="J396" s="37"/>
      <c r="K396" s="132"/>
      <c r="L396" s="36"/>
      <c r="M396" s="36"/>
      <c r="N396" s="16"/>
      <c r="O396" s="16"/>
      <c r="P396" s="16"/>
      <c r="Q396" s="133"/>
      <c r="R396" s="133"/>
      <c r="S396" s="133"/>
      <c r="T396" s="133"/>
      <c r="U396" s="133"/>
      <c r="V396" s="133"/>
      <c r="W396" s="133"/>
    </row>
    <row r="397" spans="1:23" ht="16.5">
      <c r="A397" s="767" t="s">
        <v>146</v>
      </c>
      <c r="B397" s="680"/>
      <c r="C397" s="680"/>
      <c r="D397" s="681"/>
      <c r="E397" s="681"/>
      <c r="F397" s="681"/>
      <c r="G397" s="681"/>
      <c r="H397" s="141"/>
      <c r="I397" s="139"/>
      <c r="J397" s="37"/>
      <c r="K397" s="132"/>
      <c r="L397" s="36"/>
      <c r="M397" s="36"/>
      <c r="N397" s="16"/>
      <c r="O397" s="16"/>
      <c r="P397" s="16"/>
      <c r="Q397" s="133"/>
      <c r="R397" s="133"/>
      <c r="S397" s="133"/>
      <c r="T397" s="133"/>
      <c r="U397" s="133"/>
      <c r="V397" s="133"/>
      <c r="W397" s="133"/>
    </row>
    <row r="398" spans="1:23" ht="16.5">
      <c r="A398" s="766" t="s">
        <v>145</v>
      </c>
      <c r="B398" s="128"/>
      <c r="C398" s="67"/>
      <c r="D398" s="681"/>
      <c r="E398" s="681"/>
      <c r="F398" s="681"/>
      <c r="G398" s="681"/>
      <c r="H398" s="141"/>
      <c r="I398" s="139"/>
      <c r="J398" s="37"/>
      <c r="K398" s="132"/>
      <c r="L398" s="36"/>
      <c r="M398" s="36"/>
      <c r="N398" s="16"/>
      <c r="O398" s="16"/>
      <c r="P398" s="16"/>
      <c r="Q398" s="133"/>
      <c r="R398" s="133"/>
      <c r="S398" s="133"/>
      <c r="T398" s="133"/>
      <c r="U398" s="133"/>
      <c r="V398" s="133"/>
      <c r="W398" s="133"/>
    </row>
    <row r="399" spans="1:23" ht="15.75">
      <c r="A399" s="140"/>
      <c r="B399" s="140"/>
      <c r="C399" s="190"/>
      <c r="D399" s="191"/>
      <c r="E399" s="16"/>
      <c r="F399" s="16"/>
      <c r="G399" s="141"/>
      <c r="H399" s="141"/>
      <c r="I399" s="139"/>
      <c r="J399" s="37"/>
      <c r="K399" s="132"/>
      <c r="L399" s="36"/>
      <c r="M399" s="36"/>
      <c r="N399" s="16"/>
      <c r="O399" s="16"/>
      <c r="P399" s="16"/>
      <c r="Q399" s="133"/>
      <c r="R399" s="133"/>
      <c r="S399" s="133"/>
      <c r="T399" s="133"/>
      <c r="U399" s="133"/>
      <c r="V399" s="133"/>
      <c r="W399" s="133"/>
    </row>
    <row r="400" spans="1:23" ht="15.75">
      <c r="A400" s="140"/>
      <c r="B400" s="140"/>
      <c r="C400" s="190"/>
      <c r="D400" s="191"/>
      <c r="E400" s="16"/>
      <c r="F400" s="16"/>
      <c r="G400" s="141"/>
      <c r="H400" s="141"/>
      <c r="I400" s="139"/>
      <c r="J400" s="37"/>
      <c r="K400" s="132"/>
      <c r="L400" s="36"/>
      <c r="M400" s="36"/>
      <c r="N400" s="16"/>
      <c r="O400" s="16"/>
      <c r="P400" s="16"/>
      <c r="Q400" s="133"/>
      <c r="R400" s="133"/>
      <c r="S400" s="133"/>
      <c r="T400" s="133"/>
      <c r="U400" s="133"/>
      <c r="V400" s="133"/>
      <c r="W400" s="133"/>
    </row>
    <row r="401" spans="1:23" ht="15.75">
      <c r="A401" s="140"/>
      <c r="B401" s="140"/>
      <c r="C401" s="190"/>
      <c r="D401" s="191"/>
      <c r="E401" s="16"/>
      <c r="F401" s="16"/>
      <c r="G401" s="141"/>
      <c r="H401" s="141"/>
      <c r="I401" s="139"/>
      <c r="J401" s="37"/>
      <c r="K401" s="132"/>
      <c r="L401" s="36"/>
      <c r="M401" s="36"/>
      <c r="N401" s="16"/>
      <c r="O401" s="16"/>
      <c r="P401" s="16"/>
      <c r="Q401" s="133"/>
      <c r="R401" s="133"/>
      <c r="S401" s="133"/>
      <c r="T401" s="133"/>
      <c r="U401" s="133"/>
      <c r="V401" s="133"/>
      <c r="W401" s="133"/>
    </row>
    <row r="402" spans="1:23" ht="15.75">
      <c r="A402" s="140"/>
      <c r="B402" s="140"/>
      <c r="C402" s="190"/>
      <c r="D402" s="191"/>
      <c r="E402" s="16"/>
      <c r="F402" s="16"/>
      <c r="G402" s="141"/>
      <c r="H402" s="141"/>
      <c r="I402" s="139"/>
      <c r="J402" s="37"/>
      <c r="K402" s="132"/>
      <c r="L402" s="36"/>
      <c r="M402" s="36"/>
      <c r="N402" s="16"/>
      <c r="O402" s="16"/>
      <c r="P402" s="16"/>
      <c r="Q402" s="133"/>
      <c r="R402" s="133"/>
      <c r="S402" s="133"/>
      <c r="T402" s="133"/>
      <c r="U402" s="133"/>
      <c r="V402" s="133"/>
      <c r="W402" s="133"/>
    </row>
    <row r="403" spans="1:13" ht="16.5" customHeight="1">
      <c r="A403" s="97" t="s">
        <v>317</v>
      </c>
      <c r="B403" s="97"/>
      <c r="C403" s="192"/>
      <c r="D403" s="193"/>
      <c r="E403" s="193"/>
      <c r="F403" s="194"/>
      <c r="G403" s="193"/>
      <c r="H403" s="141"/>
      <c r="I403" s="71"/>
      <c r="J403" s="1"/>
      <c r="K403" s="195"/>
      <c r="L403" s="4"/>
      <c r="M403" s="4"/>
    </row>
    <row r="404" spans="1:13" ht="16.5" customHeight="1">
      <c r="A404" s="97"/>
      <c r="B404" s="97"/>
      <c r="C404" s="192"/>
      <c r="D404" s="193"/>
      <c r="E404" s="193"/>
      <c r="F404" s="194"/>
      <c r="G404" s="193"/>
      <c r="H404" s="141"/>
      <c r="I404" s="71"/>
      <c r="J404" s="1"/>
      <c r="K404" s="195"/>
      <c r="L404" s="4"/>
      <c r="M404" s="4"/>
    </row>
    <row r="405" spans="1:13" ht="16.5" customHeight="1">
      <c r="A405" s="97"/>
      <c r="B405" s="97"/>
      <c r="C405" s="192"/>
      <c r="D405" s="193"/>
      <c r="E405" s="193"/>
      <c r="F405" s="194"/>
      <c r="G405" s="193"/>
      <c r="H405" s="141"/>
      <c r="I405" s="71"/>
      <c r="J405" s="1"/>
      <c r="K405" s="195"/>
      <c r="L405" s="4"/>
      <c r="M405" s="4"/>
    </row>
    <row r="406" spans="1:13" ht="18" customHeight="1">
      <c r="A406" s="196" t="s">
        <v>318</v>
      </c>
      <c r="B406" s="196"/>
      <c r="C406" s="197"/>
      <c r="D406" s="198"/>
      <c r="E406" s="198"/>
      <c r="F406" s="199"/>
      <c r="G406" s="198"/>
      <c r="H406" s="17"/>
      <c r="I406" s="71"/>
      <c r="J406" s="1"/>
      <c r="K406" s="195"/>
      <c r="L406" s="4"/>
      <c r="M406" s="4"/>
    </row>
    <row r="407" spans="1:13" ht="18" customHeight="1">
      <c r="A407" s="196"/>
      <c r="B407" s="196"/>
      <c r="C407" s="197"/>
      <c r="D407" s="198"/>
      <c r="E407" s="198"/>
      <c r="F407" s="199"/>
      <c r="G407" s="198"/>
      <c r="H407" s="17"/>
      <c r="I407" s="71"/>
      <c r="J407" s="1"/>
      <c r="K407" s="195"/>
      <c r="L407" s="4"/>
      <c r="M407" s="4"/>
    </row>
    <row r="408" spans="1:13" ht="18" customHeight="1">
      <c r="A408" s="80"/>
      <c r="B408" s="140"/>
      <c r="C408" s="190"/>
      <c r="D408" s="191"/>
      <c r="E408" s="15"/>
      <c r="F408" s="15"/>
      <c r="G408" s="15"/>
      <c r="H408" s="17"/>
      <c r="I408" s="71"/>
      <c r="J408" s="1"/>
      <c r="K408" s="195"/>
      <c r="L408" s="4"/>
      <c r="M408" s="4"/>
    </row>
    <row r="409" spans="1:13" ht="16.5" customHeight="1">
      <c r="A409" s="97" t="s">
        <v>319</v>
      </c>
      <c r="B409" s="97"/>
      <c r="C409" s="192"/>
      <c r="D409" s="193"/>
      <c r="E409" s="193"/>
      <c r="F409" s="194"/>
      <c r="G409" s="193"/>
      <c r="H409" s="141"/>
      <c r="I409" s="71"/>
      <c r="J409" s="1"/>
      <c r="K409" s="195"/>
      <c r="L409" s="4"/>
      <c r="M409" s="4"/>
    </row>
    <row r="410" spans="1:13" ht="18.75">
      <c r="A410" s="196"/>
      <c r="B410" s="196"/>
      <c r="C410" s="197"/>
      <c r="D410" s="198"/>
      <c r="E410" s="198"/>
      <c r="F410" s="199"/>
      <c r="G410" s="198"/>
      <c r="H410" s="17"/>
      <c r="I410" s="200"/>
      <c r="J410" s="1"/>
      <c r="K410" s="195"/>
      <c r="L410" s="2"/>
      <c r="M410" s="2"/>
    </row>
    <row r="411" spans="1:13" ht="18.75">
      <c r="A411" s="196" t="s">
        <v>320</v>
      </c>
      <c r="B411" s="196"/>
      <c r="C411" s="197"/>
      <c r="D411" s="198"/>
      <c r="E411" s="198"/>
      <c r="F411" s="199"/>
      <c r="G411" s="198"/>
      <c r="I411" s="200"/>
      <c r="J411" s="1"/>
      <c r="K411" s="195"/>
      <c r="L411" s="2"/>
      <c r="M411" s="2"/>
    </row>
    <row r="412" spans="1:13" ht="18.75">
      <c r="A412" s="196"/>
      <c r="B412" s="196"/>
      <c r="C412" s="197"/>
      <c r="D412" s="198"/>
      <c r="E412" s="198"/>
      <c r="F412" s="199"/>
      <c r="G412" s="198"/>
      <c r="I412" s="200"/>
      <c r="J412" s="1"/>
      <c r="K412" s="195"/>
      <c r="L412" s="2"/>
      <c r="M412" s="2"/>
    </row>
    <row r="413" spans="1:13" ht="18.75">
      <c r="A413" s="196"/>
      <c r="B413" s="196"/>
      <c r="C413" s="197"/>
      <c r="D413" s="198"/>
      <c r="E413" s="198"/>
      <c r="F413" s="199"/>
      <c r="G413" s="198"/>
      <c r="I413" s="200"/>
      <c r="J413" s="1"/>
      <c r="K413" s="195"/>
      <c r="L413" s="2"/>
      <c r="M413" s="2"/>
    </row>
    <row r="414" spans="1:13" ht="18.75">
      <c r="A414" s="196"/>
      <c r="B414" s="196"/>
      <c r="C414" s="197"/>
      <c r="D414" s="198"/>
      <c r="E414" s="198"/>
      <c r="F414" s="199"/>
      <c r="G414" s="198"/>
      <c r="I414" s="200"/>
      <c r="J414" s="1"/>
      <c r="K414" s="195"/>
      <c r="L414" s="2"/>
      <c r="M414" s="2"/>
    </row>
    <row r="415" spans="1:11" ht="18.75">
      <c r="A415" s="94"/>
      <c r="B415" s="94"/>
      <c r="C415" s="95"/>
      <c r="D415" s="201"/>
      <c r="E415" s="201"/>
      <c r="F415" s="202" t="s">
        <v>321</v>
      </c>
      <c r="G415" s="201"/>
      <c r="I415" s="71"/>
      <c r="K415" s="73"/>
    </row>
    <row r="416" spans="1:11" ht="18.75">
      <c r="A416" s="94"/>
      <c r="B416" s="94"/>
      <c r="C416" s="95"/>
      <c r="D416" s="201"/>
      <c r="E416" s="201"/>
      <c r="F416" s="202" t="s">
        <v>322</v>
      </c>
      <c r="G416" s="201"/>
      <c r="I416" s="71"/>
      <c r="K416" s="73"/>
    </row>
    <row r="417" spans="1:11" ht="18.75">
      <c r="A417" s="94"/>
      <c r="B417" s="94"/>
      <c r="C417" s="95"/>
      <c r="D417" s="201"/>
      <c r="E417" s="201"/>
      <c r="F417" s="202"/>
      <c r="G417" s="201"/>
      <c r="I417" s="71"/>
      <c r="K417" s="73"/>
    </row>
    <row r="418" spans="1:11" ht="19.5">
      <c r="A418" s="94"/>
      <c r="B418" s="94"/>
      <c r="C418" s="95"/>
      <c r="D418" s="201"/>
      <c r="E418" s="201"/>
      <c r="F418" s="203" t="s">
        <v>651</v>
      </c>
      <c r="G418" s="201"/>
      <c r="I418" s="71"/>
      <c r="K418" s="73"/>
    </row>
    <row r="419" spans="1:11" ht="18.75">
      <c r="A419" s="67"/>
      <c r="B419" s="67"/>
      <c r="C419" s="67"/>
      <c r="I419" s="71"/>
      <c r="K419" s="73"/>
    </row>
    <row r="420" spans="1:11" ht="18.75">
      <c r="A420" s="67"/>
      <c r="B420" s="67"/>
      <c r="C420" s="67"/>
      <c r="I420" s="71"/>
      <c r="K420" s="73"/>
    </row>
    <row r="421" spans="1:11" ht="18.75">
      <c r="A421" s="67"/>
      <c r="B421" s="67"/>
      <c r="C421" s="67"/>
      <c r="I421" s="71"/>
      <c r="K421" s="73"/>
    </row>
  </sheetData>
  <sheetProtection/>
  <printOptions/>
  <pageMargins left="0.1968503937007874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93"/>
  <sheetViews>
    <sheetView zoomScalePageLayoutView="0" workbookViewId="0" topLeftCell="A7">
      <selection activeCell="S16" sqref="S16"/>
    </sheetView>
  </sheetViews>
  <sheetFormatPr defaultColWidth="9.140625" defaultRowHeight="12.75"/>
  <cols>
    <col min="1" max="1" width="3.57421875" style="62" customWidth="1"/>
    <col min="2" max="2" width="5.140625" style="62" customWidth="1"/>
    <col min="3" max="3" width="6.57421875" style="62" customWidth="1"/>
    <col min="4" max="4" width="5.28125" style="62" customWidth="1"/>
    <col min="5" max="5" width="26.28125" style="62" customWidth="1"/>
    <col min="6" max="6" width="14.7109375" style="62" customWidth="1"/>
    <col min="7" max="7" width="13.421875" style="62" customWidth="1"/>
    <col min="8" max="8" width="23.28125" style="62" customWidth="1"/>
    <col min="9" max="9" width="12.421875" style="62" customWidth="1"/>
    <col min="10" max="10" width="12.28125" style="62" customWidth="1"/>
    <col min="11" max="11" width="8.421875" style="62" customWidth="1"/>
    <col min="12" max="12" width="8.140625" style="62" customWidth="1"/>
    <col min="13" max="13" width="15.140625" style="62" customWidth="1"/>
    <col min="14" max="14" width="20.8515625" style="62" customWidth="1"/>
    <col min="15" max="15" width="14.7109375" style="62" customWidth="1"/>
    <col min="16" max="16384" width="9.140625" style="62" customWidth="1"/>
  </cols>
  <sheetData>
    <row r="1" spans="1:12" ht="20.25">
      <c r="A1" s="211"/>
      <c r="B1" s="212"/>
      <c r="C1" s="212"/>
      <c r="D1" s="211"/>
      <c r="E1" s="213"/>
      <c r="F1" s="213"/>
      <c r="G1" s="213"/>
      <c r="H1" s="214" t="s">
        <v>330</v>
      </c>
      <c r="I1" s="2"/>
      <c r="J1" s="2"/>
      <c r="K1" s="215"/>
      <c r="L1" s="215"/>
    </row>
    <row r="2" spans="1:12" ht="18.75">
      <c r="A2" s="211"/>
      <c r="B2" s="212"/>
      <c r="C2" s="212"/>
      <c r="D2" s="211"/>
      <c r="E2" s="213"/>
      <c r="F2" s="213"/>
      <c r="G2" s="213"/>
      <c r="H2" s="216" t="s">
        <v>377</v>
      </c>
      <c r="I2" s="2"/>
      <c r="J2" s="2"/>
      <c r="K2" s="215"/>
      <c r="L2" s="215"/>
    </row>
    <row r="3" spans="1:12" ht="18.75">
      <c r="A3" s="211"/>
      <c r="B3" s="212"/>
      <c r="C3" s="212"/>
      <c r="D3" s="211"/>
      <c r="E3" s="213"/>
      <c r="F3" s="213"/>
      <c r="G3" s="213"/>
      <c r="H3" s="216" t="s">
        <v>322</v>
      </c>
      <c r="I3" s="2"/>
      <c r="J3" s="217"/>
      <c r="K3" s="215"/>
      <c r="L3" s="215"/>
    </row>
    <row r="4" spans="1:12" ht="18.75">
      <c r="A4" s="211"/>
      <c r="B4" s="212"/>
      <c r="C4" s="212"/>
      <c r="D4" s="211"/>
      <c r="E4" s="213"/>
      <c r="F4" s="213"/>
      <c r="G4" s="213"/>
      <c r="H4" s="216" t="s">
        <v>376</v>
      </c>
      <c r="I4" s="2"/>
      <c r="J4" s="218"/>
      <c r="K4" s="215"/>
      <c r="L4" s="215"/>
    </row>
    <row r="5" spans="1:12" ht="12.75">
      <c r="A5" s="211"/>
      <c r="B5" s="212"/>
      <c r="C5" s="212"/>
      <c r="D5" s="211"/>
      <c r="E5" s="213"/>
      <c r="F5" s="213"/>
      <c r="G5" s="213"/>
      <c r="H5" s="219"/>
      <c r="I5" s="2"/>
      <c r="J5" s="2"/>
      <c r="K5" s="215"/>
      <c r="L5" s="215"/>
    </row>
    <row r="6" spans="1:12" ht="19.5">
      <c r="A6" s="211"/>
      <c r="B6" s="220"/>
      <c r="C6" s="221" t="s">
        <v>331</v>
      </c>
      <c r="D6" s="222"/>
      <c r="E6" s="223"/>
      <c r="F6" s="223"/>
      <c r="G6" s="223"/>
      <c r="H6" s="224"/>
      <c r="I6" s="225"/>
      <c r="J6" s="225"/>
      <c r="K6" s="226"/>
      <c r="L6" s="226"/>
    </row>
    <row r="7" spans="1:12" ht="19.5">
      <c r="A7" s="211"/>
      <c r="B7" s="220"/>
      <c r="C7" s="221"/>
      <c r="D7" s="222"/>
      <c r="E7" s="223"/>
      <c r="F7" s="223"/>
      <c r="G7" s="223"/>
      <c r="H7" s="224"/>
      <c r="I7" s="225"/>
      <c r="J7" s="227"/>
      <c r="K7" s="226"/>
      <c r="L7" s="226"/>
    </row>
    <row r="8" spans="1:12" ht="18.75">
      <c r="A8" s="211"/>
      <c r="B8" s="220"/>
      <c r="C8" s="228"/>
      <c r="D8" s="222"/>
      <c r="E8" s="223"/>
      <c r="F8" s="223"/>
      <c r="G8" s="223"/>
      <c r="H8" s="224"/>
      <c r="I8" s="225"/>
      <c r="J8" s="225"/>
      <c r="K8" s="226"/>
      <c r="L8" s="226"/>
    </row>
    <row r="9" spans="1:12" ht="12.75">
      <c r="A9" s="211"/>
      <c r="B9" s="220" t="s">
        <v>276</v>
      </c>
      <c r="C9" s="229"/>
      <c r="D9" s="230"/>
      <c r="E9" s="223"/>
      <c r="F9" s="223"/>
      <c r="G9" s="223"/>
      <c r="H9" s="231"/>
      <c r="I9" s="232" t="s">
        <v>332</v>
      </c>
      <c r="J9" s="232"/>
      <c r="K9" s="233"/>
      <c r="L9" s="233"/>
    </row>
    <row r="10" spans="1:12" ht="18.75" customHeight="1">
      <c r="A10" s="234"/>
      <c r="B10" s="235"/>
      <c r="C10" s="236"/>
      <c r="D10" s="236"/>
      <c r="E10" s="237"/>
      <c r="F10" s="238"/>
      <c r="G10" s="239"/>
      <c r="H10" s="237"/>
      <c r="I10" s="240" t="s">
        <v>333</v>
      </c>
      <c r="J10" s="239"/>
      <c r="K10" s="241" t="s">
        <v>276</v>
      </c>
      <c r="L10" s="241"/>
    </row>
    <row r="11" spans="1:12" ht="48" customHeight="1">
      <c r="A11" s="242" t="s">
        <v>334</v>
      </c>
      <c r="B11" s="243" t="s">
        <v>335</v>
      </c>
      <c r="C11" s="244" t="s">
        <v>284</v>
      </c>
      <c r="D11" s="244" t="s">
        <v>279</v>
      </c>
      <c r="E11" s="245" t="s">
        <v>336</v>
      </c>
      <c r="F11" s="246" t="s">
        <v>337</v>
      </c>
      <c r="G11" s="247" t="s">
        <v>338</v>
      </c>
      <c r="H11" s="248" t="s">
        <v>339</v>
      </c>
      <c r="I11" s="249"/>
      <c r="J11" s="250" t="s">
        <v>275</v>
      </c>
      <c r="K11" s="251" t="s">
        <v>340</v>
      </c>
      <c r="L11" s="251" t="s">
        <v>341</v>
      </c>
    </row>
    <row r="12" spans="1:15" ht="36.75" customHeight="1">
      <c r="A12" s="252"/>
      <c r="B12" s="253"/>
      <c r="C12" s="254"/>
      <c r="D12" s="254"/>
      <c r="E12" s="255"/>
      <c r="F12" s="256"/>
      <c r="G12" s="257" t="s">
        <v>342</v>
      </c>
      <c r="H12" s="256"/>
      <c r="I12" s="258" t="s">
        <v>342</v>
      </c>
      <c r="J12" s="259" t="s">
        <v>343</v>
      </c>
      <c r="K12" s="260"/>
      <c r="L12" s="260"/>
      <c r="N12" s="789"/>
      <c r="O12" s="789"/>
    </row>
    <row r="13" spans="1:15" ht="21" customHeight="1">
      <c r="A13" s="261"/>
      <c r="B13" s="262" t="s">
        <v>344</v>
      </c>
      <c r="C13" s="263"/>
      <c r="D13" s="264"/>
      <c r="E13" s="265"/>
      <c r="F13" s="266">
        <f>F14+F41+F50+F58+F63+F66+F93+F98+F111+F133+F136</f>
        <v>46930240.85000001</v>
      </c>
      <c r="G13" s="266">
        <f>G14+G41+G50+G58+G63+G66+G93+G98+G111+G133+G136</f>
        <v>5516826.97</v>
      </c>
      <c r="H13" s="266"/>
      <c r="I13" s="266">
        <f>I14+I41+I50+I58+I63+I66+I93+I98+I111+I133+I136</f>
        <v>29779997.080000002</v>
      </c>
      <c r="J13" s="266">
        <f>J14+J41+J50+J58+J63+J66+J93+J98+J111+J133+J136</f>
        <v>4349997.48</v>
      </c>
      <c r="K13" s="267"/>
      <c r="L13" s="268"/>
      <c r="N13" s="790"/>
      <c r="O13" s="790"/>
    </row>
    <row r="14" spans="1:15" ht="19.5" customHeight="1">
      <c r="A14" s="234"/>
      <c r="B14" s="270">
        <v>600</v>
      </c>
      <c r="C14" s="271"/>
      <c r="D14" s="272"/>
      <c r="E14" s="273" t="s">
        <v>345</v>
      </c>
      <c r="F14" s="274">
        <f>F15+F17</f>
        <v>19888857.05</v>
      </c>
      <c r="G14" s="274">
        <f>G15+G17</f>
        <v>1248500</v>
      </c>
      <c r="H14" s="274"/>
      <c r="I14" s="274">
        <f>I15+I17</f>
        <v>12288532.030000001</v>
      </c>
      <c r="J14" s="274">
        <f>J15+J17</f>
        <v>3396997.48</v>
      </c>
      <c r="K14" s="268"/>
      <c r="L14" s="268"/>
      <c r="N14" s="791"/>
      <c r="O14" s="791"/>
    </row>
    <row r="15" spans="1:15" s="403" customFormat="1" ht="19.5" customHeight="1">
      <c r="A15" s="311"/>
      <c r="B15" s="312"/>
      <c r="C15" s="277">
        <v>60004</v>
      </c>
      <c r="D15" s="278"/>
      <c r="E15" s="939" t="s">
        <v>130</v>
      </c>
      <c r="F15" s="940">
        <f>F16</f>
        <v>20000</v>
      </c>
      <c r="G15" s="940">
        <f>G16</f>
        <v>0</v>
      </c>
      <c r="H15" s="940"/>
      <c r="I15" s="940">
        <f>I16</f>
        <v>20000</v>
      </c>
      <c r="J15" s="940">
        <f>J16</f>
        <v>0</v>
      </c>
      <c r="K15" s="281"/>
      <c r="L15" s="281"/>
      <c r="N15" s="941"/>
      <c r="O15" s="941"/>
    </row>
    <row r="16" spans="1:15" s="938" customFormat="1" ht="29.25" customHeight="1">
      <c r="A16" s="242"/>
      <c r="B16" s="308"/>
      <c r="C16" s="252"/>
      <c r="D16" s="942">
        <v>6050</v>
      </c>
      <c r="E16" s="943" t="s">
        <v>129</v>
      </c>
      <c r="F16" s="944">
        <v>20000</v>
      </c>
      <c r="G16" s="944"/>
      <c r="H16" s="944" t="s">
        <v>131</v>
      </c>
      <c r="I16" s="944">
        <v>20000</v>
      </c>
      <c r="J16" s="944"/>
      <c r="K16" s="788" t="s">
        <v>425</v>
      </c>
      <c r="L16" s="788">
        <v>2013</v>
      </c>
      <c r="M16" s="936"/>
      <c r="N16" s="937"/>
      <c r="O16" s="937"/>
    </row>
    <row r="17" spans="1:12" ht="18" customHeight="1">
      <c r="A17" s="252"/>
      <c r="B17" s="276"/>
      <c r="C17" s="277">
        <v>60016</v>
      </c>
      <c r="D17" s="278"/>
      <c r="E17" s="279" t="s">
        <v>346</v>
      </c>
      <c r="F17" s="280">
        <f>SUM(F18:F40)</f>
        <v>19868857.05</v>
      </c>
      <c r="G17" s="280">
        <f>SUM(G18:G40)</f>
        <v>1248500</v>
      </c>
      <c r="H17" s="280"/>
      <c r="I17" s="280">
        <f>SUM(I18:I40)</f>
        <v>12268532.030000001</v>
      </c>
      <c r="J17" s="280">
        <f>SUM(J18:J40)</f>
        <v>3396997.48</v>
      </c>
      <c r="K17" s="281"/>
      <c r="L17" s="281"/>
    </row>
    <row r="18" spans="1:13" s="290" customFormat="1" ht="30" customHeight="1">
      <c r="A18" s="282">
        <v>1</v>
      </c>
      <c r="B18" s="283"/>
      <c r="C18" s="284"/>
      <c r="D18" s="285">
        <v>6050</v>
      </c>
      <c r="E18" s="286" t="s">
        <v>347</v>
      </c>
      <c r="F18" s="287">
        <v>1530000</v>
      </c>
      <c r="G18" s="287">
        <v>220000</v>
      </c>
      <c r="H18" s="288" t="s">
        <v>404</v>
      </c>
      <c r="I18" s="287">
        <v>1310000</v>
      </c>
      <c r="J18" s="287">
        <f>585000-288000-88150</f>
        <v>208850</v>
      </c>
      <c r="K18" s="268" t="s">
        <v>405</v>
      </c>
      <c r="L18" s="268" t="s">
        <v>406</v>
      </c>
      <c r="M18" s="289"/>
    </row>
    <row r="19" spans="1:14" s="290" customFormat="1" ht="27.75" customHeight="1">
      <c r="A19" s="282">
        <v>2</v>
      </c>
      <c r="B19" s="283"/>
      <c r="C19" s="284"/>
      <c r="D19" s="285">
        <v>6050</v>
      </c>
      <c r="E19" s="286" t="s">
        <v>407</v>
      </c>
      <c r="F19" s="287">
        <f>1500000-100000-13000</f>
        <v>1387000</v>
      </c>
      <c r="G19" s="287">
        <f>1000000-13000</f>
        <v>987000</v>
      </c>
      <c r="H19" s="288" t="s">
        <v>408</v>
      </c>
      <c r="I19" s="287">
        <f>500000-100000+163032.03</f>
        <v>563032.03</v>
      </c>
      <c r="J19" s="287">
        <f>480000-100000-314456.05</f>
        <v>65543.95000000001</v>
      </c>
      <c r="K19" s="268" t="s">
        <v>405</v>
      </c>
      <c r="L19" s="268" t="s">
        <v>406</v>
      </c>
      <c r="M19" s="289"/>
      <c r="N19" s="289"/>
    </row>
    <row r="20" spans="1:13" s="290" customFormat="1" ht="24" customHeight="1">
      <c r="A20" s="282">
        <v>3</v>
      </c>
      <c r="B20" s="283"/>
      <c r="C20" s="284"/>
      <c r="D20" s="285">
        <v>6050</v>
      </c>
      <c r="E20" s="286" t="s">
        <v>409</v>
      </c>
      <c r="F20" s="287">
        <f>1500000+601000</f>
        <v>2101000</v>
      </c>
      <c r="G20" s="287">
        <v>0</v>
      </c>
      <c r="H20" s="288" t="s">
        <v>410</v>
      </c>
      <c r="I20" s="287">
        <f>601000+1500000</f>
        <v>2101000</v>
      </c>
      <c r="J20" s="287">
        <f>120000+119110</f>
        <v>239110</v>
      </c>
      <c r="K20" s="268" t="s">
        <v>405</v>
      </c>
      <c r="L20" s="268" t="s">
        <v>406</v>
      </c>
      <c r="M20" s="289"/>
    </row>
    <row r="21" spans="1:14" s="290" customFormat="1" ht="26.25" customHeight="1">
      <c r="A21" s="282">
        <v>4</v>
      </c>
      <c r="B21" s="283"/>
      <c r="C21" s="284"/>
      <c r="D21" s="285">
        <v>6050</v>
      </c>
      <c r="E21" s="286" t="s">
        <v>411</v>
      </c>
      <c r="F21" s="287">
        <v>4500000</v>
      </c>
      <c r="G21" s="287">
        <v>0</v>
      </c>
      <c r="H21" s="288" t="s">
        <v>410</v>
      </c>
      <c r="I21" s="287">
        <f>1500000-1400000-13000+1400000</f>
        <v>1487000</v>
      </c>
      <c r="J21" s="287">
        <f>200000+683800-6500-23500-753800-13000+753800-182000</f>
        <v>658800</v>
      </c>
      <c r="K21" s="268" t="s">
        <v>405</v>
      </c>
      <c r="L21" s="268" t="s">
        <v>412</v>
      </c>
      <c r="M21" s="289"/>
      <c r="N21" s="289"/>
    </row>
    <row r="22" spans="1:13" s="290" customFormat="1" ht="28.5" customHeight="1">
      <c r="A22" s="282">
        <v>5</v>
      </c>
      <c r="B22" s="283"/>
      <c r="C22" s="284"/>
      <c r="D22" s="285">
        <v>6050</v>
      </c>
      <c r="E22" s="286" t="s">
        <v>413</v>
      </c>
      <c r="F22" s="287">
        <v>150000</v>
      </c>
      <c r="G22" s="287">
        <v>26500</v>
      </c>
      <c r="H22" s="288" t="s">
        <v>414</v>
      </c>
      <c r="I22" s="287">
        <v>123500</v>
      </c>
      <c r="J22" s="287">
        <v>23500</v>
      </c>
      <c r="K22" s="268" t="s">
        <v>405</v>
      </c>
      <c r="L22" s="268" t="s">
        <v>406</v>
      </c>
      <c r="M22" s="289"/>
    </row>
    <row r="23" spans="1:13" s="290" customFormat="1" ht="37.5" customHeight="1">
      <c r="A23" s="282">
        <v>6</v>
      </c>
      <c r="B23" s="283"/>
      <c r="C23" s="284"/>
      <c r="D23" s="285">
        <v>6050</v>
      </c>
      <c r="E23" s="286" t="s">
        <v>415</v>
      </c>
      <c r="F23" s="287">
        <f>100000-3000</f>
        <v>97000</v>
      </c>
      <c r="G23" s="287">
        <v>10000</v>
      </c>
      <c r="H23" s="288" t="s">
        <v>416</v>
      </c>
      <c r="I23" s="287">
        <f>90000-3000</f>
        <v>87000</v>
      </c>
      <c r="J23" s="287">
        <v>0</v>
      </c>
      <c r="K23" s="268" t="s">
        <v>405</v>
      </c>
      <c r="L23" s="268" t="s">
        <v>406</v>
      </c>
      <c r="M23" s="289"/>
    </row>
    <row r="24" spans="1:13" s="290" customFormat="1" ht="49.5" customHeight="1">
      <c r="A24" s="282">
        <v>7</v>
      </c>
      <c r="B24" s="283"/>
      <c r="C24" s="284"/>
      <c r="D24" s="285">
        <v>6050</v>
      </c>
      <c r="E24" s="291" t="s">
        <v>417</v>
      </c>
      <c r="F24" s="287">
        <f>30000+3000</f>
        <v>33000</v>
      </c>
      <c r="G24" s="287">
        <v>5000</v>
      </c>
      <c r="H24" s="288" t="s">
        <v>418</v>
      </c>
      <c r="I24" s="287">
        <f>25000+3000</f>
        <v>28000</v>
      </c>
      <c r="J24" s="287">
        <v>0</v>
      </c>
      <c r="K24" s="268" t="s">
        <v>405</v>
      </c>
      <c r="L24" s="268" t="s">
        <v>406</v>
      </c>
      <c r="M24" s="289"/>
    </row>
    <row r="25" spans="1:13" s="290" customFormat="1" ht="31.5" customHeight="1">
      <c r="A25" s="282">
        <v>8</v>
      </c>
      <c r="B25" s="283"/>
      <c r="C25" s="284"/>
      <c r="D25" s="285">
        <v>6050</v>
      </c>
      <c r="E25" s="292" t="s">
        <v>419</v>
      </c>
      <c r="F25" s="293">
        <f>570000-106000</f>
        <v>464000</v>
      </c>
      <c r="G25" s="293">
        <v>0</v>
      </c>
      <c r="H25" s="294" t="s">
        <v>420</v>
      </c>
      <c r="I25" s="293">
        <f>570000-106000</f>
        <v>464000</v>
      </c>
      <c r="J25" s="293">
        <f>100000-30960</f>
        <v>69040</v>
      </c>
      <c r="K25" s="268" t="s">
        <v>405</v>
      </c>
      <c r="L25" s="268">
        <v>2013</v>
      </c>
      <c r="M25" s="289"/>
    </row>
    <row r="26" spans="1:13" s="290" customFormat="1" ht="66" customHeight="1">
      <c r="A26" s="282">
        <v>9</v>
      </c>
      <c r="B26" s="283"/>
      <c r="C26" s="284"/>
      <c r="D26" s="285">
        <v>6050</v>
      </c>
      <c r="E26" s="292" t="s">
        <v>421</v>
      </c>
      <c r="F26" s="293">
        <f>1500000+1857.05</f>
        <v>1501857.05</v>
      </c>
      <c r="G26" s="293">
        <v>0</v>
      </c>
      <c r="H26" s="294" t="s">
        <v>422</v>
      </c>
      <c r="I26" s="293">
        <f>1500000-600000+600000</f>
        <v>1500000</v>
      </c>
      <c r="J26" s="293">
        <v>200000</v>
      </c>
      <c r="K26" s="268" t="s">
        <v>405</v>
      </c>
      <c r="L26" s="268" t="s">
        <v>646</v>
      </c>
      <c r="M26" s="289"/>
    </row>
    <row r="27" spans="1:13" s="290" customFormat="1" ht="39" customHeight="1">
      <c r="A27" s="282">
        <v>10</v>
      </c>
      <c r="B27" s="295"/>
      <c r="C27" s="296"/>
      <c r="D27" s="285">
        <v>6050</v>
      </c>
      <c r="E27" s="297" t="s">
        <v>423</v>
      </c>
      <c r="F27" s="298">
        <v>100000</v>
      </c>
      <c r="G27" s="298">
        <v>0</v>
      </c>
      <c r="H27" s="294" t="s">
        <v>424</v>
      </c>
      <c r="I27" s="293">
        <v>100000</v>
      </c>
      <c r="J27" s="293">
        <v>0</v>
      </c>
      <c r="K27" s="268" t="s">
        <v>425</v>
      </c>
      <c r="L27" s="268">
        <v>2013</v>
      </c>
      <c r="M27" s="289"/>
    </row>
    <row r="28" spans="1:13" s="290" customFormat="1" ht="35.25" customHeight="1">
      <c r="A28" s="282">
        <v>11</v>
      </c>
      <c r="B28" s="295"/>
      <c r="C28" s="296"/>
      <c r="D28" s="285">
        <v>6050</v>
      </c>
      <c r="E28" s="297" t="s">
        <v>426</v>
      </c>
      <c r="F28" s="298">
        <v>800000</v>
      </c>
      <c r="G28" s="298"/>
      <c r="H28" s="294" t="s">
        <v>427</v>
      </c>
      <c r="I28" s="293">
        <v>800000</v>
      </c>
      <c r="J28" s="293">
        <v>500000</v>
      </c>
      <c r="K28" s="268" t="s">
        <v>405</v>
      </c>
      <c r="L28" s="268">
        <v>2013</v>
      </c>
      <c r="M28" s="289"/>
    </row>
    <row r="29" spans="1:12" s="290" customFormat="1" ht="42.75" customHeight="1">
      <c r="A29" s="282">
        <v>12</v>
      </c>
      <c r="B29" s="295"/>
      <c r="C29" s="296"/>
      <c r="D29" s="285">
        <v>6050</v>
      </c>
      <c r="E29" s="297" t="s">
        <v>428</v>
      </c>
      <c r="F29" s="298">
        <f>100000-50000</f>
        <v>50000</v>
      </c>
      <c r="G29" s="298"/>
      <c r="H29" s="294" t="s">
        <v>429</v>
      </c>
      <c r="I29" s="293">
        <f>100000-50000</f>
        <v>50000</v>
      </c>
      <c r="J29" s="293"/>
      <c r="K29" s="268" t="s">
        <v>405</v>
      </c>
      <c r="L29" s="268">
        <v>2013</v>
      </c>
    </row>
    <row r="30" spans="1:12" s="290" customFormat="1" ht="53.25" customHeight="1">
      <c r="A30" s="282">
        <v>13</v>
      </c>
      <c r="B30" s="295"/>
      <c r="C30" s="296"/>
      <c r="D30" s="285">
        <v>6050</v>
      </c>
      <c r="E30" s="297" t="s">
        <v>430</v>
      </c>
      <c r="F30" s="298">
        <v>50000</v>
      </c>
      <c r="G30" s="298"/>
      <c r="H30" s="294" t="s">
        <v>429</v>
      </c>
      <c r="I30" s="293">
        <v>50000</v>
      </c>
      <c r="J30" s="293"/>
      <c r="K30" s="268" t="s">
        <v>405</v>
      </c>
      <c r="L30" s="268">
        <v>2013</v>
      </c>
    </row>
    <row r="31" spans="1:12" s="290" customFormat="1" ht="42" customHeight="1">
      <c r="A31" s="282">
        <v>14</v>
      </c>
      <c r="B31" s="295"/>
      <c r="C31" s="296"/>
      <c r="D31" s="285">
        <v>6050</v>
      </c>
      <c r="E31" s="297" t="s">
        <v>174</v>
      </c>
      <c r="F31" s="298">
        <v>2500000</v>
      </c>
      <c r="G31" s="298"/>
      <c r="H31" s="294"/>
      <c r="I31" s="293">
        <v>1000000</v>
      </c>
      <c r="J31" s="293">
        <v>500000</v>
      </c>
      <c r="K31" s="268" t="s">
        <v>405</v>
      </c>
      <c r="L31" s="268" t="s">
        <v>646</v>
      </c>
    </row>
    <row r="32" spans="1:12" s="290" customFormat="1" ht="37.5" customHeight="1">
      <c r="A32" s="282">
        <v>15</v>
      </c>
      <c r="B32" s="295"/>
      <c r="C32" s="296"/>
      <c r="D32" s="285">
        <v>6050</v>
      </c>
      <c r="E32" s="297" t="s">
        <v>177</v>
      </c>
      <c r="F32" s="298">
        <v>100000</v>
      </c>
      <c r="G32" s="298"/>
      <c r="H32" s="294"/>
      <c r="I32" s="293">
        <v>100000</v>
      </c>
      <c r="J32" s="293"/>
      <c r="K32" s="268" t="s">
        <v>405</v>
      </c>
      <c r="L32" s="268">
        <v>2013</v>
      </c>
    </row>
    <row r="33" spans="1:12" s="290" customFormat="1" ht="27.75" customHeight="1">
      <c r="A33" s="282">
        <v>16</v>
      </c>
      <c r="B33" s="295"/>
      <c r="C33" s="296"/>
      <c r="D33" s="285">
        <v>6050</v>
      </c>
      <c r="E33" s="297" t="s">
        <v>178</v>
      </c>
      <c r="F33" s="298">
        <v>50000</v>
      </c>
      <c r="G33" s="298"/>
      <c r="H33" s="294"/>
      <c r="I33" s="293">
        <v>50000</v>
      </c>
      <c r="J33" s="293"/>
      <c r="K33" s="268" t="s">
        <v>405</v>
      </c>
      <c r="L33" s="268">
        <v>2013</v>
      </c>
    </row>
    <row r="34" spans="1:12" s="290" customFormat="1" ht="33" customHeight="1">
      <c r="A34" s="282">
        <v>17</v>
      </c>
      <c r="B34" s="295"/>
      <c r="C34" s="296"/>
      <c r="D34" s="285">
        <v>6050</v>
      </c>
      <c r="E34" s="297" t="s">
        <v>179</v>
      </c>
      <c r="F34" s="298">
        <v>2900000</v>
      </c>
      <c r="G34" s="298"/>
      <c r="H34" s="294"/>
      <c r="I34" s="293">
        <v>900000</v>
      </c>
      <c r="J34" s="293">
        <v>500000</v>
      </c>
      <c r="K34" s="268" t="s">
        <v>405</v>
      </c>
      <c r="L34" s="268" t="s">
        <v>646</v>
      </c>
    </row>
    <row r="35" spans="1:12" s="290" customFormat="1" ht="57.75" customHeight="1">
      <c r="A35" s="282">
        <v>18</v>
      </c>
      <c r="B35" s="295"/>
      <c r="C35" s="296"/>
      <c r="D35" s="285">
        <v>6050</v>
      </c>
      <c r="E35" s="297" t="s">
        <v>65</v>
      </c>
      <c r="F35" s="298">
        <v>20000</v>
      </c>
      <c r="G35" s="298"/>
      <c r="H35" s="294" t="s">
        <v>429</v>
      </c>
      <c r="I35" s="293">
        <v>20000</v>
      </c>
      <c r="J35" s="293"/>
      <c r="K35" s="268" t="s">
        <v>405</v>
      </c>
      <c r="L35" s="268">
        <v>2013</v>
      </c>
    </row>
    <row r="36" spans="1:12" s="290" customFormat="1" ht="61.5" customHeight="1">
      <c r="A36" s="282">
        <v>19</v>
      </c>
      <c r="B36" s="295"/>
      <c r="C36" s="296"/>
      <c r="D36" s="285">
        <v>6050</v>
      </c>
      <c r="E36" s="297" t="s">
        <v>66</v>
      </c>
      <c r="F36" s="298">
        <v>85000</v>
      </c>
      <c r="G36" s="298"/>
      <c r="H36" s="294" t="s">
        <v>429</v>
      </c>
      <c r="I36" s="293">
        <v>85000</v>
      </c>
      <c r="J36" s="293"/>
      <c r="K36" s="268" t="s">
        <v>425</v>
      </c>
      <c r="L36" s="268">
        <v>2013</v>
      </c>
    </row>
    <row r="37" spans="1:12" s="290" customFormat="1" ht="33.75" customHeight="1">
      <c r="A37" s="282">
        <v>20</v>
      </c>
      <c r="B37" s="295"/>
      <c r="C37" s="296"/>
      <c r="D37" s="285">
        <v>6050</v>
      </c>
      <c r="E37" s="297" t="s">
        <v>64</v>
      </c>
      <c r="F37" s="298">
        <v>900000</v>
      </c>
      <c r="G37" s="298"/>
      <c r="H37" s="294"/>
      <c r="I37" s="293">
        <v>900000</v>
      </c>
      <c r="J37" s="293">
        <f>432154.48-0.95</f>
        <v>432153.52999999997</v>
      </c>
      <c r="K37" s="268" t="s">
        <v>425</v>
      </c>
      <c r="L37" s="268">
        <v>2013</v>
      </c>
    </row>
    <row r="38" spans="1:12" s="290" customFormat="1" ht="41.25" customHeight="1">
      <c r="A38" s="282">
        <v>21</v>
      </c>
      <c r="B38" s="295"/>
      <c r="C38" s="296"/>
      <c r="D38" s="285">
        <v>6050</v>
      </c>
      <c r="E38" s="297" t="s">
        <v>543</v>
      </c>
      <c r="F38" s="298">
        <v>50000</v>
      </c>
      <c r="G38" s="298"/>
      <c r="H38" s="294" t="s">
        <v>429</v>
      </c>
      <c r="I38" s="293">
        <v>50000</v>
      </c>
      <c r="J38" s="293"/>
      <c r="K38" s="268"/>
      <c r="L38" s="268"/>
    </row>
    <row r="39" spans="1:12" s="290" customFormat="1" ht="58.5" customHeight="1">
      <c r="A39" s="282"/>
      <c r="B39" s="295"/>
      <c r="C39" s="296"/>
      <c r="D39" s="949">
        <v>6050</v>
      </c>
      <c r="E39" s="928" t="s">
        <v>168</v>
      </c>
      <c r="F39" s="743">
        <v>350000</v>
      </c>
      <c r="G39" s="743"/>
      <c r="H39" s="950" t="s">
        <v>429</v>
      </c>
      <c r="I39" s="944">
        <v>350000</v>
      </c>
      <c r="J39" s="944"/>
      <c r="K39" s="788" t="s">
        <v>141</v>
      </c>
      <c r="L39" s="788">
        <v>2013</v>
      </c>
    </row>
    <row r="40" spans="1:12" ht="38.25" customHeight="1">
      <c r="A40" s="299">
        <v>22</v>
      </c>
      <c r="B40" s="300"/>
      <c r="C40" s="242"/>
      <c r="D40" s="301">
        <v>6050</v>
      </c>
      <c r="E40" s="297" t="s">
        <v>431</v>
      </c>
      <c r="F40" s="298">
        <f>85000+65000</f>
        <v>150000</v>
      </c>
      <c r="G40" s="298">
        <v>0</v>
      </c>
      <c r="H40" s="294" t="s">
        <v>432</v>
      </c>
      <c r="I40" s="302">
        <f>65000+85000</f>
        <v>150000</v>
      </c>
      <c r="J40" s="302">
        <v>0</v>
      </c>
      <c r="K40" s="268" t="s">
        <v>425</v>
      </c>
      <c r="L40" s="268">
        <v>2013</v>
      </c>
    </row>
    <row r="41" spans="1:12" ht="21.75" customHeight="1">
      <c r="A41" s="303"/>
      <c r="B41" s="271">
        <v>700</v>
      </c>
      <c r="C41" s="271"/>
      <c r="D41" s="272"/>
      <c r="E41" s="304" t="s">
        <v>433</v>
      </c>
      <c r="F41" s="305">
        <f>F42+F45</f>
        <v>2593682.1</v>
      </c>
      <c r="G41" s="305">
        <f>G42+G45</f>
        <v>190433.05</v>
      </c>
      <c r="H41" s="305"/>
      <c r="I41" s="305">
        <f>I42+I45</f>
        <v>2073249.05</v>
      </c>
      <c r="J41" s="305">
        <f>J42+J45</f>
        <v>155000</v>
      </c>
      <c r="K41" s="268"/>
      <c r="L41" s="268"/>
    </row>
    <row r="42" spans="1:12" ht="27" customHeight="1">
      <c r="A42" s="299"/>
      <c r="B42" s="306"/>
      <c r="C42" s="307">
        <v>70005</v>
      </c>
      <c r="D42" s="278"/>
      <c r="E42" s="279" t="s">
        <v>434</v>
      </c>
      <c r="F42" s="280">
        <f>SUM(F43:F44)</f>
        <v>1680982.1</v>
      </c>
      <c r="G42" s="280">
        <f>SUM(G43:G44)</f>
        <v>190433.05</v>
      </c>
      <c r="H42" s="280"/>
      <c r="I42" s="280">
        <f>SUM(I43:I44)</f>
        <v>1160549.05</v>
      </c>
      <c r="J42" s="280">
        <f>SUM(J43:J44)</f>
        <v>0</v>
      </c>
      <c r="K42" s="281"/>
      <c r="L42" s="281"/>
    </row>
    <row r="43" spans="1:12" s="936" customFormat="1" ht="32.25" customHeight="1">
      <c r="A43" s="299"/>
      <c r="B43" s="242"/>
      <c r="C43" s="308"/>
      <c r="D43" s="942">
        <v>6050</v>
      </c>
      <c r="E43" s="928" t="s">
        <v>126</v>
      </c>
      <c r="F43" s="743">
        <v>15000</v>
      </c>
      <c r="G43" s="743"/>
      <c r="H43" s="743" t="s">
        <v>135</v>
      </c>
      <c r="I43" s="743">
        <v>15000</v>
      </c>
      <c r="J43" s="743"/>
      <c r="K43" s="788" t="s">
        <v>134</v>
      </c>
      <c r="L43" s="788">
        <v>2013</v>
      </c>
    </row>
    <row r="44" spans="1:12" ht="109.5" customHeight="1">
      <c r="A44" s="299">
        <v>23</v>
      </c>
      <c r="B44" s="242"/>
      <c r="C44" s="308"/>
      <c r="D44" s="301">
        <v>6060</v>
      </c>
      <c r="E44" s="297" t="s">
        <v>435</v>
      </c>
      <c r="F44" s="298">
        <f>1611982.1+550000+4000-500000</f>
        <v>1665982.1</v>
      </c>
      <c r="G44" s="298">
        <v>190433.05</v>
      </c>
      <c r="H44" s="288" t="s">
        <v>544</v>
      </c>
      <c r="I44" s="309">
        <f>1091549.05+550000+4000-500000</f>
        <v>1145549.05</v>
      </c>
      <c r="J44" s="309">
        <v>0</v>
      </c>
      <c r="K44" s="310" t="s">
        <v>436</v>
      </c>
      <c r="L44" s="310" t="s">
        <v>437</v>
      </c>
    </row>
    <row r="45" spans="1:12" ht="24.75" customHeight="1">
      <c r="A45" s="299"/>
      <c r="B45" s="311"/>
      <c r="C45" s="312">
        <v>70095</v>
      </c>
      <c r="D45" s="313"/>
      <c r="E45" s="279" t="s">
        <v>438</v>
      </c>
      <c r="F45" s="280">
        <f>SUM(F46:F49)</f>
        <v>912700</v>
      </c>
      <c r="G45" s="280">
        <f>SUM(G46:G49)</f>
        <v>0</v>
      </c>
      <c r="H45" s="280"/>
      <c r="I45" s="280">
        <f>SUM(I46:I49)</f>
        <v>912700</v>
      </c>
      <c r="J45" s="280">
        <f>SUM(J46:J49)</f>
        <v>155000</v>
      </c>
      <c r="K45" s="281"/>
      <c r="L45" s="281"/>
    </row>
    <row r="46" spans="1:12" s="383" customFormat="1" ht="42.75" customHeight="1">
      <c r="A46" s="299">
        <v>24</v>
      </c>
      <c r="B46" s="242"/>
      <c r="C46" s="308"/>
      <c r="D46" s="299">
        <v>6050</v>
      </c>
      <c r="E46" s="286" t="s">
        <v>439</v>
      </c>
      <c r="F46" s="298">
        <v>65000</v>
      </c>
      <c r="G46" s="298">
        <v>0</v>
      </c>
      <c r="H46" s="288" t="s">
        <v>440</v>
      </c>
      <c r="I46" s="309">
        <v>65000</v>
      </c>
      <c r="J46" s="309">
        <v>0</v>
      </c>
      <c r="K46" s="310" t="s">
        <v>329</v>
      </c>
      <c r="L46" s="310">
        <v>2013</v>
      </c>
    </row>
    <row r="47" spans="1:12" s="383" customFormat="1" ht="64.5" customHeight="1">
      <c r="A47" s="252">
        <v>25</v>
      </c>
      <c r="B47" s="242"/>
      <c r="C47" s="308"/>
      <c r="D47" s="299">
        <v>6050</v>
      </c>
      <c r="E47" s="338" t="s">
        <v>647</v>
      </c>
      <c r="F47" s="339">
        <v>155000</v>
      </c>
      <c r="G47" s="339"/>
      <c r="H47" s="338" t="s">
        <v>649</v>
      </c>
      <c r="I47" s="394">
        <v>155000</v>
      </c>
      <c r="J47" s="394">
        <v>155000</v>
      </c>
      <c r="K47" s="310" t="s">
        <v>329</v>
      </c>
      <c r="L47" s="310">
        <v>2013</v>
      </c>
    </row>
    <row r="48" spans="1:12" s="383" customFormat="1" ht="45" customHeight="1">
      <c r="A48" s="252">
        <v>26</v>
      </c>
      <c r="B48" s="242"/>
      <c r="C48" s="308"/>
      <c r="D48" s="299">
        <v>6050</v>
      </c>
      <c r="E48" s="338" t="s">
        <v>660</v>
      </c>
      <c r="F48" s="339">
        <v>550000</v>
      </c>
      <c r="G48" s="339"/>
      <c r="H48" s="393"/>
      <c r="I48" s="394">
        <v>550000</v>
      </c>
      <c r="J48" s="394"/>
      <c r="K48" s="310" t="s">
        <v>405</v>
      </c>
      <c r="L48" s="310">
        <v>2013</v>
      </c>
    </row>
    <row r="49" spans="1:12" s="383" customFormat="1" ht="57" customHeight="1">
      <c r="A49" s="242">
        <v>27</v>
      </c>
      <c r="B49" s="242"/>
      <c r="C49" s="308"/>
      <c r="D49" s="234">
        <v>6050</v>
      </c>
      <c r="E49" s="422" t="s">
        <v>648</v>
      </c>
      <c r="F49" s="339">
        <v>142700</v>
      </c>
      <c r="G49" s="339"/>
      <c r="H49" s="294" t="s">
        <v>429</v>
      </c>
      <c r="I49" s="394">
        <v>142700</v>
      </c>
      <c r="J49" s="394"/>
      <c r="K49" s="310" t="s">
        <v>405</v>
      </c>
      <c r="L49" s="310">
        <v>2013</v>
      </c>
    </row>
    <row r="50" spans="1:12" ht="23.25" customHeight="1">
      <c r="A50" s="328"/>
      <c r="B50" s="271">
        <v>750</v>
      </c>
      <c r="C50" s="271"/>
      <c r="D50" s="272"/>
      <c r="E50" s="349" t="s">
        <v>441</v>
      </c>
      <c r="F50" s="316">
        <f>F51+F55</f>
        <v>4440600</v>
      </c>
      <c r="G50" s="316">
        <f>G51+G55</f>
        <v>540000</v>
      </c>
      <c r="H50" s="316"/>
      <c r="I50" s="316">
        <f>I51+I55</f>
        <v>2950600</v>
      </c>
      <c r="J50" s="316">
        <f>J51+J55</f>
        <v>0</v>
      </c>
      <c r="K50" s="268"/>
      <c r="L50" s="268"/>
    </row>
    <row r="51" spans="1:12" ht="30.75" customHeight="1">
      <c r="A51" s="317"/>
      <c r="B51" s="306"/>
      <c r="C51" s="318">
        <v>75023</v>
      </c>
      <c r="D51" s="313"/>
      <c r="E51" s="319" t="s">
        <v>442</v>
      </c>
      <c r="F51" s="320">
        <f>SUM(F52:F54)</f>
        <v>330600</v>
      </c>
      <c r="G51" s="320">
        <f>SUM(G52:G54)</f>
        <v>0</v>
      </c>
      <c r="H51" s="320"/>
      <c r="I51" s="320">
        <f>SUM(I52:I54)</f>
        <v>330600</v>
      </c>
      <c r="J51" s="320">
        <f>SUM(J52:J54)</f>
        <v>0</v>
      </c>
      <c r="K51" s="281"/>
      <c r="L51" s="281"/>
    </row>
    <row r="52" spans="1:12" s="769" customFormat="1" ht="42.75" customHeight="1">
      <c r="A52" s="317">
        <v>28</v>
      </c>
      <c r="B52" s="366"/>
      <c r="C52" s="299"/>
      <c r="D52" s="299">
        <v>6050</v>
      </c>
      <c r="E52" s="286" t="s">
        <v>180</v>
      </c>
      <c r="F52" s="400">
        <v>50000</v>
      </c>
      <c r="G52" s="400"/>
      <c r="H52" s="400" t="s">
        <v>67</v>
      </c>
      <c r="I52" s="400">
        <v>50000</v>
      </c>
      <c r="J52" s="400"/>
      <c r="K52" s="268" t="s">
        <v>68</v>
      </c>
      <c r="L52" s="268">
        <v>2013</v>
      </c>
    </row>
    <row r="53" spans="1:12" s="769" customFormat="1" ht="115.5" customHeight="1">
      <c r="A53" s="242">
        <v>29</v>
      </c>
      <c r="C53" s="299"/>
      <c r="D53" s="299">
        <v>6050</v>
      </c>
      <c r="E53" s="286" t="s">
        <v>181</v>
      </c>
      <c r="F53" s="400">
        <v>165000</v>
      </c>
      <c r="G53" s="400"/>
      <c r="H53" s="400" t="s">
        <v>358</v>
      </c>
      <c r="I53" s="400">
        <v>165000</v>
      </c>
      <c r="J53" s="400"/>
      <c r="K53" s="268" t="s">
        <v>445</v>
      </c>
      <c r="L53" s="268">
        <v>2013</v>
      </c>
    </row>
    <row r="54" spans="1:12" ht="38.25" customHeight="1">
      <c r="A54" s="317">
        <v>30</v>
      </c>
      <c r="B54" s="745"/>
      <c r="C54" s="515"/>
      <c r="D54" s="299">
        <v>6060</v>
      </c>
      <c r="E54" s="323" t="s">
        <v>443</v>
      </c>
      <c r="F54" s="326">
        <f>175000+3800+4800-80000+12000</f>
        <v>115600</v>
      </c>
      <c r="G54" s="324">
        <v>0</v>
      </c>
      <c r="H54" s="325" t="s">
        <v>444</v>
      </c>
      <c r="I54" s="326">
        <f>175000+3800+4800-80000+12000</f>
        <v>115600</v>
      </c>
      <c r="J54" s="326">
        <v>0</v>
      </c>
      <c r="K54" s="268" t="s">
        <v>445</v>
      </c>
      <c r="L54" s="268">
        <v>2013</v>
      </c>
    </row>
    <row r="55" spans="1:12" ht="26.25" customHeight="1">
      <c r="A55" s="317"/>
      <c r="B55" s="321"/>
      <c r="C55" s="312">
        <v>75095</v>
      </c>
      <c r="D55" s="313"/>
      <c r="E55" s="319" t="s">
        <v>438</v>
      </c>
      <c r="F55" s="320">
        <f>SUM(F56:F57)</f>
        <v>4110000</v>
      </c>
      <c r="G55" s="320">
        <f>SUM(G56:G57)</f>
        <v>540000</v>
      </c>
      <c r="H55" s="320"/>
      <c r="I55" s="320">
        <f>SUM(I56:I57)</f>
        <v>2620000</v>
      </c>
      <c r="J55" s="320">
        <f>SUM(J56:J57)</f>
        <v>0</v>
      </c>
      <c r="K55" s="281"/>
      <c r="L55" s="281"/>
    </row>
    <row r="56" spans="1:12" ht="38.25" customHeight="1">
      <c r="A56" s="317">
        <v>31</v>
      </c>
      <c r="B56" s="321"/>
      <c r="C56" s="276"/>
      <c r="D56" s="327">
        <v>6050</v>
      </c>
      <c r="E56" s="314" t="s">
        <v>446</v>
      </c>
      <c r="F56" s="298">
        <v>2440000</v>
      </c>
      <c r="G56" s="298">
        <v>540000</v>
      </c>
      <c r="H56" s="288" t="s">
        <v>447</v>
      </c>
      <c r="I56" s="309">
        <v>950000</v>
      </c>
      <c r="J56" s="309">
        <v>0</v>
      </c>
      <c r="K56" s="310" t="s">
        <v>405</v>
      </c>
      <c r="L56" s="310" t="s">
        <v>448</v>
      </c>
    </row>
    <row r="57" spans="1:12" ht="41.25" customHeight="1">
      <c r="A57" s="317">
        <v>32</v>
      </c>
      <c r="B57" s="321"/>
      <c r="C57" s="276"/>
      <c r="D57" s="327">
        <v>6050</v>
      </c>
      <c r="E57" s="314" t="s">
        <v>449</v>
      </c>
      <c r="F57" s="298">
        <f>1500000+170000</f>
        <v>1670000</v>
      </c>
      <c r="G57" s="298">
        <v>0</v>
      </c>
      <c r="H57" s="288" t="s">
        <v>450</v>
      </c>
      <c r="I57" s="309">
        <f>500000+1000000+170000</f>
        <v>1670000</v>
      </c>
      <c r="J57" s="309">
        <v>0</v>
      </c>
      <c r="K57" s="310" t="s">
        <v>405</v>
      </c>
      <c r="L57" s="310">
        <v>2013</v>
      </c>
    </row>
    <row r="58" spans="1:12" ht="33.75" customHeight="1">
      <c r="A58" s="328"/>
      <c r="B58" s="271">
        <v>754</v>
      </c>
      <c r="C58" s="271"/>
      <c r="D58" s="271"/>
      <c r="E58" s="329" t="s">
        <v>451</v>
      </c>
      <c r="F58" s="330">
        <f>F59+F61</f>
        <v>21000</v>
      </c>
      <c r="G58" s="330">
        <f>G59+G61</f>
        <v>0</v>
      </c>
      <c r="H58" s="330"/>
      <c r="I58" s="330">
        <f>I59+I61</f>
        <v>21000</v>
      </c>
      <c r="J58" s="330">
        <f>J59+J61</f>
        <v>0</v>
      </c>
      <c r="K58" s="268"/>
      <c r="L58" s="268"/>
    </row>
    <row r="59" spans="1:12" ht="21.75" customHeight="1">
      <c r="A59" s="317"/>
      <c r="B59" s="331"/>
      <c r="C59" s="312">
        <v>75412</v>
      </c>
      <c r="D59" s="312"/>
      <c r="E59" s="332" t="s">
        <v>452</v>
      </c>
      <c r="F59" s="333">
        <f>SUM(F60)</f>
        <v>5000</v>
      </c>
      <c r="G59" s="333">
        <f>SUM(G60)</f>
        <v>0</v>
      </c>
      <c r="H59" s="333"/>
      <c r="I59" s="333">
        <f>SUM(I60)</f>
        <v>5000</v>
      </c>
      <c r="J59" s="333">
        <f>SUM(J60)</f>
        <v>0</v>
      </c>
      <c r="K59" s="281"/>
      <c r="L59" s="281"/>
    </row>
    <row r="60" spans="1:12" ht="31.5" customHeight="1">
      <c r="A60" s="317">
        <v>33</v>
      </c>
      <c r="B60" s="334"/>
      <c r="C60" s="335"/>
      <c r="D60" s="327">
        <v>6060</v>
      </c>
      <c r="E60" s="297" t="s">
        <v>453</v>
      </c>
      <c r="F60" s="298">
        <v>5000</v>
      </c>
      <c r="G60" s="298"/>
      <c r="H60" s="294" t="s">
        <v>454</v>
      </c>
      <c r="I60" s="309">
        <v>5000</v>
      </c>
      <c r="J60" s="309"/>
      <c r="K60" s="268" t="s">
        <v>455</v>
      </c>
      <c r="L60" s="268">
        <v>2013</v>
      </c>
    </row>
    <row r="61" spans="1:12" ht="22.5" customHeight="1">
      <c r="A61" s="317"/>
      <c r="B61" s="331"/>
      <c r="C61" s="312">
        <v>75414</v>
      </c>
      <c r="D61" s="312"/>
      <c r="E61" s="332" t="s">
        <v>456</v>
      </c>
      <c r="F61" s="320">
        <f>SUM(F62)</f>
        <v>16000</v>
      </c>
      <c r="G61" s="320">
        <f>SUM(G62)</f>
        <v>0</v>
      </c>
      <c r="H61" s="320"/>
      <c r="I61" s="320">
        <f>SUM(I62)</f>
        <v>16000</v>
      </c>
      <c r="J61" s="320">
        <f>SUM(J62)</f>
        <v>0</v>
      </c>
      <c r="K61" s="281"/>
      <c r="L61" s="281"/>
    </row>
    <row r="62" spans="1:12" ht="48.75" customHeight="1">
      <c r="A62" s="317">
        <v>34</v>
      </c>
      <c r="B62" s="242"/>
      <c r="C62" s="335"/>
      <c r="D62" s="327">
        <v>6060</v>
      </c>
      <c r="E62" s="297" t="s">
        <v>453</v>
      </c>
      <c r="F62" s="298">
        <v>16000</v>
      </c>
      <c r="G62" s="298">
        <v>0</v>
      </c>
      <c r="H62" s="288" t="s">
        <v>457</v>
      </c>
      <c r="I62" s="336">
        <v>16000</v>
      </c>
      <c r="J62" s="336">
        <v>0</v>
      </c>
      <c r="K62" s="268" t="s">
        <v>455</v>
      </c>
      <c r="L62" s="268">
        <v>2013</v>
      </c>
    </row>
    <row r="63" spans="1:12" ht="21.75" customHeight="1">
      <c r="A63" s="746"/>
      <c r="B63" s="271">
        <v>758</v>
      </c>
      <c r="C63" s="271"/>
      <c r="D63" s="272"/>
      <c r="E63" s="304" t="s">
        <v>69</v>
      </c>
      <c r="F63" s="305">
        <f>F64</f>
        <v>115000</v>
      </c>
      <c r="G63" s="305">
        <f aca="true" t="shared" si="0" ref="G63:J64">G64</f>
        <v>0</v>
      </c>
      <c r="H63" s="305"/>
      <c r="I63" s="305">
        <f t="shared" si="0"/>
        <v>115000</v>
      </c>
      <c r="J63" s="305">
        <f t="shared" si="0"/>
        <v>0</v>
      </c>
      <c r="K63" s="268"/>
      <c r="L63" s="268"/>
    </row>
    <row r="64" spans="1:12" ht="22.5" customHeight="1">
      <c r="A64" s="747"/>
      <c r="B64" s="337"/>
      <c r="C64" s="318">
        <v>75818</v>
      </c>
      <c r="D64" s="313"/>
      <c r="E64" s="319" t="s">
        <v>70</v>
      </c>
      <c r="F64" s="320">
        <f>F65</f>
        <v>115000</v>
      </c>
      <c r="G64" s="320">
        <f t="shared" si="0"/>
        <v>0</v>
      </c>
      <c r="H64" s="320"/>
      <c r="I64" s="320">
        <f t="shared" si="0"/>
        <v>115000</v>
      </c>
      <c r="J64" s="320">
        <f t="shared" si="0"/>
        <v>0</v>
      </c>
      <c r="K64" s="281"/>
      <c r="L64" s="281"/>
    </row>
    <row r="65" spans="1:12" ht="32.25" customHeight="1">
      <c r="A65" s="747"/>
      <c r="B65" s="334"/>
      <c r="C65" s="335"/>
      <c r="D65" s="327">
        <v>6800</v>
      </c>
      <c r="E65" s="338" t="s">
        <v>458</v>
      </c>
      <c r="F65" s="339">
        <f>200000-85000</f>
        <v>115000</v>
      </c>
      <c r="G65" s="339"/>
      <c r="H65" s="288"/>
      <c r="I65" s="336">
        <f>200000-85000</f>
        <v>115000</v>
      </c>
      <c r="J65" s="336">
        <f>500000-500000</f>
        <v>0</v>
      </c>
      <c r="K65" s="268"/>
      <c r="L65" s="268"/>
    </row>
    <row r="66" spans="1:12" ht="24.75" customHeight="1">
      <c r="A66" s="340"/>
      <c r="B66" s="271">
        <v>801</v>
      </c>
      <c r="C66" s="335"/>
      <c r="D66" s="327"/>
      <c r="E66" s="315" t="s">
        <v>459</v>
      </c>
      <c r="F66" s="316">
        <f>F67+F76+F86+F89+F91</f>
        <v>7604541</v>
      </c>
      <c r="G66" s="316">
        <f>G67+G76+G86+G89+G91</f>
        <v>143284</v>
      </c>
      <c r="H66" s="316"/>
      <c r="I66" s="316">
        <f>I67+I76+I86+I89+I91</f>
        <v>7461257</v>
      </c>
      <c r="J66" s="316">
        <f>J67+J76+J86+J89+J91</f>
        <v>193000</v>
      </c>
      <c r="K66" s="268"/>
      <c r="L66" s="268"/>
    </row>
    <row r="67" spans="1:12" ht="28.5" customHeight="1">
      <c r="A67" s="317"/>
      <c r="B67" s="331"/>
      <c r="C67" s="276">
        <v>80101</v>
      </c>
      <c r="D67" s="313"/>
      <c r="E67" s="319" t="s">
        <v>460</v>
      </c>
      <c r="F67" s="320">
        <f>SUM(F68:F75)</f>
        <v>642800</v>
      </c>
      <c r="G67" s="320">
        <f>SUM(G68:G75)</f>
        <v>0</v>
      </c>
      <c r="H67" s="320"/>
      <c r="I67" s="320">
        <f>SUM(I68:I75)</f>
        <v>642800</v>
      </c>
      <c r="J67" s="320">
        <f>SUM(J68:J75)</f>
        <v>0</v>
      </c>
      <c r="K67" s="281"/>
      <c r="L67" s="281"/>
    </row>
    <row r="68" spans="1:12" ht="61.5" customHeight="1">
      <c r="A68" s="317">
        <v>35</v>
      </c>
      <c r="B68" s="341"/>
      <c r="C68" s="234"/>
      <c r="D68" s="301">
        <v>6050</v>
      </c>
      <c r="E68" s="297" t="s">
        <v>461</v>
      </c>
      <c r="F68" s="298">
        <f>114000+1450</f>
        <v>115450</v>
      </c>
      <c r="G68" s="298">
        <v>0</v>
      </c>
      <c r="H68" s="288" t="s">
        <v>462</v>
      </c>
      <c r="I68" s="298">
        <f>114000+1450</f>
        <v>115450</v>
      </c>
      <c r="J68" s="336">
        <v>0</v>
      </c>
      <c r="K68" s="342" t="s">
        <v>463</v>
      </c>
      <c r="L68" s="310">
        <v>2013</v>
      </c>
    </row>
    <row r="69" spans="1:12" ht="61.5" customHeight="1">
      <c r="A69" s="317">
        <v>36</v>
      </c>
      <c r="B69" s="341"/>
      <c r="C69" s="242"/>
      <c r="D69" s="301">
        <v>6050</v>
      </c>
      <c r="E69" s="297" t="s">
        <v>224</v>
      </c>
      <c r="F69" s="298">
        <f>114000+1450</f>
        <v>115450</v>
      </c>
      <c r="G69" s="298"/>
      <c r="H69" s="288" t="s">
        <v>462</v>
      </c>
      <c r="I69" s="298">
        <f>114000+1450</f>
        <v>115450</v>
      </c>
      <c r="J69" s="302"/>
      <c r="K69" s="342" t="s">
        <v>225</v>
      </c>
      <c r="L69" s="310">
        <v>2013</v>
      </c>
    </row>
    <row r="70" spans="1:12" ht="61.5" customHeight="1">
      <c r="A70" s="317">
        <v>37</v>
      </c>
      <c r="B70" s="341"/>
      <c r="C70" s="242"/>
      <c r="D70" s="301">
        <v>6050</v>
      </c>
      <c r="E70" s="297" t="s">
        <v>226</v>
      </c>
      <c r="F70" s="298">
        <f>114000+1450</f>
        <v>115450</v>
      </c>
      <c r="G70" s="298"/>
      <c r="H70" s="288" t="s">
        <v>462</v>
      </c>
      <c r="I70" s="298">
        <f>114000+1450</f>
        <v>115450</v>
      </c>
      <c r="J70" s="302"/>
      <c r="K70" s="342" t="s">
        <v>225</v>
      </c>
      <c r="L70" s="310">
        <v>2013</v>
      </c>
    </row>
    <row r="71" spans="1:12" ht="61.5" customHeight="1">
      <c r="A71" s="317">
        <v>38</v>
      </c>
      <c r="B71" s="341"/>
      <c r="C71" s="242"/>
      <c r="D71" s="301">
        <v>6050</v>
      </c>
      <c r="E71" s="297" t="s">
        <v>227</v>
      </c>
      <c r="F71" s="298">
        <f>114000+1450</f>
        <v>115450</v>
      </c>
      <c r="G71" s="298"/>
      <c r="H71" s="288" t="s">
        <v>462</v>
      </c>
      <c r="I71" s="298">
        <f>114000+1450</f>
        <v>115450</v>
      </c>
      <c r="J71" s="302"/>
      <c r="K71" s="342" t="s">
        <v>228</v>
      </c>
      <c r="L71" s="310">
        <v>2013</v>
      </c>
    </row>
    <row r="72" spans="1:12" ht="44.25" customHeight="1">
      <c r="A72" s="317">
        <v>39</v>
      </c>
      <c r="B72" s="341"/>
      <c r="C72" s="242"/>
      <c r="D72" s="301">
        <v>6050</v>
      </c>
      <c r="E72" s="297" t="s">
        <v>464</v>
      </c>
      <c r="F72" s="298">
        <v>60000</v>
      </c>
      <c r="G72" s="298"/>
      <c r="H72" s="294" t="s">
        <v>465</v>
      </c>
      <c r="I72" s="298">
        <v>60000</v>
      </c>
      <c r="J72" s="302"/>
      <c r="K72" s="342" t="s">
        <v>405</v>
      </c>
      <c r="L72" s="310">
        <v>2013</v>
      </c>
    </row>
    <row r="73" spans="1:12" ht="44.25" customHeight="1">
      <c r="A73" s="317">
        <v>40</v>
      </c>
      <c r="B73" s="341"/>
      <c r="C73" s="242"/>
      <c r="D73" s="301">
        <v>6050</v>
      </c>
      <c r="E73" s="297" t="s">
        <v>545</v>
      </c>
      <c r="F73" s="298">
        <v>60000</v>
      </c>
      <c r="G73" s="298"/>
      <c r="H73" s="294" t="s">
        <v>546</v>
      </c>
      <c r="I73" s="298">
        <v>60000</v>
      </c>
      <c r="J73" s="302"/>
      <c r="K73" s="342" t="s">
        <v>492</v>
      </c>
      <c r="L73" s="310">
        <v>2013</v>
      </c>
    </row>
    <row r="74" spans="1:12" ht="52.5" customHeight="1">
      <c r="A74" s="317">
        <v>41</v>
      </c>
      <c r="B74" s="341"/>
      <c r="C74" s="242"/>
      <c r="D74" s="301">
        <v>6060</v>
      </c>
      <c r="E74" s="297" t="s">
        <v>71</v>
      </c>
      <c r="F74" s="298">
        <v>51000</v>
      </c>
      <c r="G74" s="298"/>
      <c r="H74" s="294" t="s">
        <v>348</v>
      </c>
      <c r="I74" s="298">
        <v>51000</v>
      </c>
      <c r="J74" s="302"/>
      <c r="K74" s="342" t="s">
        <v>72</v>
      </c>
      <c r="L74" s="310">
        <v>2013</v>
      </c>
    </row>
    <row r="75" spans="1:12" ht="30.75" customHeight="1">
      <c r="A75" s="317">
        <v>42</v>
      </c>
      <c r="B75" s="341"/>
      <c r="C75" s="252"/>
      <c r="D75" s="301">
        <v>6060</v>
      </c>
      <c r="E75" s="297" t="s">
        <v>466</v>
      </c>
      <c r="F75" s="298">
        <v>10000</v>
      </c>
      <c r="G75" s="298">
        <v>0</v>
      </c>
      <c r="H75" s="294" t="s">
        <v>467</v>
      </c>
      <c r="I75" s="298">
        <v>10000</v>
      </c>
      <c r="J75" s="302">
        <v>0</v>
      </c>
      <c r="K75" s="342" t="s">
        <v>468</v>
      </c>
      <c r="L75" s="310">
        <v>2013</v>
      </c>
    </row>
    <row r="76" spans="1:12" ht="25.5" customHeight="1">
      <c r="A76" s="317"/>
      <c r="B76" s="343"/>
      <c r="C76" s="277">
        <v>80104</v>
      </c>
      <c r="D76" s="278"/>
      <c r="E76" s="279" t="s">
        <v>469</v>
      </c>
      <c r="F76" s="280">
        <f>SUM(F77:F85)</f>
        <v>1205041</v>
      </c>
      <c r="G76" s="280">
        <f>SUM(G77:G85)</f>
        <v>130000</v>
      </c>
      <c r="H76" s="280"/>
      <c r="I76" s="280">
        <f>SUM(I77:I85)</f>
        <v>1075041</v>
      </c>
      <c r="J76" s="280">
        <f>SUM(J77:J85)</f>
        <v>180000</v>
      </c>
      <c r="K76" s="281"/>
      <c r="L76" s="281"/>
    </row>
    <row r="77" spans="1:12" ht="35.25" customHeight="1">
      <c r="A77" s="317">
        <v>43</v>
      </c>
      <c r="B77" s="343"/>
      <c r="C77" s="311"/>
      <c r="D77" s="301">
        <v>6050</v>
      </c>
      <c r="E77" s="297" t="s">
        <v>470</v>
      </c>
      <c r="F77" s="927">
        <f>660000+9041+9000+20000+40400</f>
        <v>738441</v>
      </c>
      <c r="G77" s="298">
        <v>130000</v>
      </c>
      <c r="H77" s="344" t="s">
        <v>471</v>
      </c>
      <c r="I77" s="927">
        <f>530000+9041+9000+20000+40400</f>
        <v>608441</v>
      </c>
      <c r="J77" s="298">
        <v>0</v>
      </c>
      <c r="K77" s="268" t="s">
        <v>405</v>
      </c>
      <c r="L77" s="268" t="s">
        <v>406</v>
      </c>
    </row>
    <row r="78" spans="1:12" ht="32.25" customHeight="1">
      <c r="A78" s="317">
        <v>44</v>
      </c>
      <c r="B78" s="341"/>
      <c r="C78" s="242"/>
      <c r="D78" s="301">
        <v>6050</v>
      </c>
      <c r="E78" s="297" t="s">
        <v>472</v>
      </c>
      <c r="F78" s="298">
        <v>50000</v>
      </c>
      <c r="G78" s="298">
        <v>0</v>
      </c>
      <c r="H78" s="294" t="s">
        <v>473</v>
      </c>
      <c r="I78" s="293">
        <v>50000</v>
      </c>
      <c r="J78" s="302">
        <v>0</v>
      </c>
      <c r="K78" s="268" t="s">
        <v>474</v>
      </c>
      <c r="L78" s="268">
        <v>2013</v>
      </c>
    </row>
    <row r="79" spans="1:12" ht="40.5" customHeight="1">
      <c r="A79" s="317">
        <v>45</v>
      </c>
      <c r="B79" s="341"/>
      <c r="C79" s="242"/>
      <c r="D79" s="301">
        <v>6050</v>
      </c>
      <c r="E79" s="928" t="s">
        <v>402</v>
      </c>
      <c r="F79" s="298">
        <v>11500</v>
      </c>
      <c r="G79" s="298">
        <v>0</v>
      </c>
      <c r="H79" s="294" t="s">
        <v>403</v>
      </c>
      <c r="I79" s="293">
        <v>11500</v>
      </c>
      <c r="J79" s="302">
        <v>0</v>
      </c>
      <c r="K79" s="268" t="s">
        <v>476</v>
      </c>
      <c r="L79" s="268">
        <v>2013</v>
      </c>
    </row>
    <row r="80" spans="1:12" ht="34.5" customHeight="1">
      <c r="A80" s="317">
        <v>46</v>
      </c>
      <c r="B80" s="341"/>
      <c r="C80" s="242"/>
      <c r="D80" s="301">
        <v>6050</v>
      </c>
      <c r="E80" s="297" t="s">
        <v>477</v>
      </c>
      <c r="F80" s="298">
        <v>11500</v>
      </c>
      <c r="G80" s="298">
        <v>0</v>
      </c>
      <c r="H80" s="294" t="s">
        <v>475</v>
      </c>
      <c r="I80" s="293">
        <v>11500</v>
      </c>
      <c r="J80" s="302">
        <v>0</v>
      </c>
      <c r="K80" s="268" t="s">
        <v>474</v>
      </c>
      <c r="L80" s="268">
        <v>2013</v>
      </c>
    </row>
    <row r="81" spans="1:12" ht="34.5" customHeight="1">
      <c r="A81" s="317">
        <v>47</v>
      </c>
      <c r="B81" s="341"/>
      <c r="C81" s="242"/>
      <c r="D81" s="301">
        <v>6050</v>
      </c>
      <c r="E81" s="286" t="s">
        <v>478</v>
      </c>
      <c r="F81" s="298">
        <v>180000</v>
      </c>
      <c r="G81" s="298"/>
      <c r="H81" s="294" t="s">
        <v>479</v>
      </c>
      <c r="I81" s="293">
        <v>180000</v>
      </c>
      <c r="J81" s="302">
        <v>180000</v>
      </c>
      <c r="K81" s="268" t="s">
        <v>480</v>
      </c>
      <c r="L81" s="268">
        <v>2013</v>
      </c>
    </row>
    <row r="82" spans="1:12" ht="34.5" customHeight="1">
      <c r="A82" s="317">
        <v>48</v>
      </c>
      <c r="B82" s="341"/>
      <c r="C82" s="242"/>
      <c r="D82" s="301">
        <v>6050</v>
      </c>
      <c r="E82" s="297" t="s">
        <v>481</v>
      </c>
      <c r="F82" s="927">
        <f>4674+185326-40400</f>
        <v>149600</v>
      </c>
      <c r="G82" s="298"/>
      <c r="H82" s="294" t="s">
        <v>482</v>
      </c>
      <c r="I82" s="927">
        <f>185326+4674-40400</f>
        <v>149600</v>
      </c>
      <c r="J82" s="302"/>
      <c r="K82" s="268" t="s">
        <v>405</v>
      </c>
      <c r="L82" s="268">
        <v>2013</v>
      </c>
    </row>
    <row r="83" spans="1:12" ht="44.25" customHeight="1">
      <c r="A83" s="317">
        <v>49</v>
      </c>
      <c r="B83" s="341"/>
      <c r="C83" s="242"/>
      <c r="D83" s="301">
        <v>6050</v>
      </c>
      <c r="E83" s="297" t="s">
        <v>182</v>
      </c>
      <c r="F83" s="298">
        <v>42000</v>
      </c>
      <c r="G83" s="298"/>
      <c r="H83" s="294" t="s">
        <v>349</v>
      </c>
      <c r="I83" s="298">
        <v>42000</v>
      </c>
      <c r="J83" s="302"/>
      <c r="K83" s="268" t="s">
        <v>504</v>
      </c>
      <c r="L83" s="268">
        <v>2013</v>
      </c>
    </row>
    <row r="84" spans="1:12" ht="41.25" customHeight="1">
      <c r="A84" s="317">
        <v>50</v>
      </c>
      <c r="B84" s="341"/>
      <c r="C84" s="242"/>
      <c r="D84" s="301">
        <v>6050</v>
      </c>
      <c r="E84" s="297" t="s">
        <v>183</v>
      </c>
      <c r="F84" s="743">
        <f>12000+4500</f>
        <v>16500</v>
      </c>
      <c r="G84" s="298"/>
      <c r="H84" s="294" t="s">
        <v>350</v>
      </c>
      <c r="I84" s="743">
        <f>12000+4500</f>
        <v>16500</v>
      </c>
      <c r="J84" s="302"/>
      <c r="K84" s="268" t="s">
        <v>504</v>
      </c>
      <c r="L84" s="268">
        <v>2013</v>
      </c>
    </row>
    <row r="85" spans="1:12" ht="34.5" customHeight="1">
      <c r="A85" s="317">
        <v>51</v>
      </c>
      <c r="B85" s="341"/>
      <c r="C85" s="242"/>
      <c r="D85" s="301">
        <v>6060</v>
      </c>
      <c r="E85" s="297" t="s">
        <v>483</v>
      </c>
      <c r="F85" s="298">
        <v>5500</v>
      </c>
      <c r="G85" s="298">
        <v>0</v>
      </c>
      <c r="H85" s="294" t="s">
        <v>484</v>
      </c>
      <c r="I85" s="293">
        <v>5500</v>
      </c>
      <c r="J85" s="302">
        <v>0</v>
      </c>
      <c r="K85" s="268" t="s">
        <v>485</v>
      </c>
      <c r="L85" s="268">
        <v>2013</v>
      </c>
    </row>
    <row r="86" spans="1:12" ht="27" customHeight="1">
      <c r="A86" s="317"/>
      <c r="B86" s="341"/>
      <c r="C86" s="312">
        <v>80110</v>
      </c>
      <c r="D86" s="278"/>
      <c r="E86" s="279" t="s">
        <v>486</v>
      </c>
      <c r="F86" s="280">
        <f>SUM(F87+F88)</f>
        <v>61000</v>
      </c>
      <c r="G86" s="280">
        <f>SUM(G87+G88)</f>
        <v>0</v>
      </c>
      <c r="H86" s="280"/>
      <c r="I86" s="280">
        <f>SUM(I87+I88)</f>
        <v>61000</v>
      </c>
      <c r="J86" s="280">
        <f>SUM(J87+J88)</f>
        <v>0</v>
      </c>
      <c r="K86" s="281"/>
      <c r="L86" s="281"/>
    </row>
    <row r="87" spans="1:12" s="769" customFormat="1" ht="34.5" customHeight="1">
      <c r="A87" s="317">
        <v>52</v>
      </c>
      <c r="B87" s="341"/>
      <c r="C87" s="242"/>
      <c r="D87" s="345">
        <v>6050</v>
      </c>
      <c r="E87" s="297" t="s">
        <v>73</v>
      </c>
      <c r="F87" s="743">
        <f>70000-15000</f>
        <v>55000</v>
      </c>
      <c r="G87" s="298"/>
      <c r="H87" s="298" t="s">
        <v>351</v>
      </c>
      <c r="I87" s="743">
        <f>70000-15000</f>
        <v>55000</v>
      </c>
      <c r="J87" s="298"/>
      <c r="K87" s="268" t="s">
        <v>405</v>
      </c>
      <c r="L87" s="268">
        <v>2013</v>
      </c>
    </row>
    <row r="88" spans="1:12" ht="34.5" customHeight="1">
      <c r="A88" s="317">
        <v>53</v>
      </c>
      <c r="B88" s="341"/>
      <c r="C88" s="242"/>
      <c r="D88" s="345">
        <v>6060</v>
      </c>
      <c r="E88" s="297" t="s">
        <v>487</v>
      </c>
      <c r="F88" s="298">
        <v>6000</v>
      </c>
      <c r="G88" s="298">
        <v>0</v>
      </c>
      <c r="H88" s="294" t="s">
        <v>467</v>
      </c>
      <c r="I88" s="293">
        <v>6000</v>
      </c>
      <c r="J88" s="302">
        <v>0</v>
      </c>
      <c r="K88" s="268" t="s">
        <v>488</v>
      </c>
      <c r="L88" s="268">
        <v>2013</v>
      </c>
    </row>
    <row r="89" spans="1:12" ht="27" customHeight="1">
      <c r="A89" s="317"/>
      <c r="B89" s="272"/>
      <c r="C89" s="312">
        <v>80148</v>
      </c>
      <c r="D89" s="278"/>
      <c r="E89" s="279" t="s">
        <v>489</v>
      </c>
      <c r="F89" s="298">
        <f>F90</f>
        <v>6500</v>
      </c>
      <c r="G89" s="298">
        <f>G90</f>
        <v>0</v>
      </c>
      <c r="H89" s="298"/>
      <c r="I89" s="298">
        <f>I90</f>
        <v>6500</v>
      </c>
      <c r="J89" s="298">
        <f>J90</f>
        <v>0</v>
      </c>
      <c r="K89" s="268"/>
      <c r="L89" s="268"/>
    </row>
    <row r="90" spans="1:12" ht="27.75" customHeight="1">
      <c r="A90" s="317">
        <v>54</v>
      </c>
      <c r="B90" s="341"/>
      <c r="C90" s="242"/>
      <c r="D90" s="301">
        <v>6060</v>
      </c>
      <c r="E90" s="297" t="s">
        <v>490</v>
      </c>
      <c r="F90" s="298">
        <v>6500</v>
      </c>
      <c r="G90" s="298"/>
      <c r="H90" s="297" t="s">
        <v>491</v>
      </c>
      <c r="I90" s="298">
        <v>6500</v>
      </c>
      <c r="J90" s="302"/>
      <c r="K90" s="342" t="s">
        <v>492</v>
      </c>
      <c r="L90" s="310">
        <v>2013</v>
      </c>
    </row>
    <row r="91" spans="1:12" ht="23.25" customHeight="1">
      <c r="A91" s="317"/>
      <c r="B91" s="341"/>
      <c r="C91" s="312">
        <v>80195</v>
      </c>
      <c r="D91" s="278"/>
      <c r="E91" s="279" t="s">
        <v>438</v>
      </c>
      <c r="F91" s="280">
        <f>SUM(F92)</f>
        <v>5689200</v>
      </c>
      <c r="G91" s="280">
        <f>SUM(G92:G92)</f>
        <v>13284</v>
      </c>
      <c r="H91" s="346"/>
      <c r="I91" s="280">
        <f>SUM(I92)</f>
        <v>5675916</v>
      </c>
      <c r="J91" s="280">
        <f>SUM(J92:J92)</f>
        <v>13000</v>
      </c>
      <c r="K91" s="268"/>
      <c r="L91" s="268"/>
    </row>
    <row r="92" spans="1:12" ht="33.75" customHeight="1">
      <c r="A92" s="317">
        <v>55</v>
      </c>
      <c r="B92" s="341"/>
      <c r="C92" s="242"/>
      <c r="D92" s="345">
        <v>6050</v>
      </c>
      <c r="E92" s="286" t="s">
        <v>493</v>
      </c>
      <c r="F92" s="298">
        <f>5676200+13000</f>
        <v>5689200</v>
      </c>
      <c r="G92" s="298">
        <f>5034600-5021316</f>
        <v>13284</v>
      </c>
      <c r="H92" s="288" t="s">
        <v>494</v>
      </c>
      <c r="I92" s="302">
        <f>641600+5021316+13000</f>
        <v>5675916</v>
      </c>
      <c r="J92" s="302">
        <v>13000</v>
      </c>
      <c r="K92" s="268" t="s">
        <v>405</v>
      </c>
      <c r="L92" s="268" t="s">
        <v>406</v>
      </c>
    </row>
    <row r="93" spans="1:12" s="352" customFormat="1" ht="24.75" customHeight="1">
      <c r="A93" s="347"/>
      <c r="B93" s="272">
        <v>851</v>
      </c>
      <c r="C93" s="271"/>
      <c r="D93" s="348"/>
      <c r="E93" s="349" t="s">
        <v>495</v>
      </c>
      <c r="F93" s="305">
        <f>F94+F96</f>
        <v>106099</v>
      </c>
      <c r="G93" s="305">
        <f>G94+G96</f>
        <v>0</v>
      </c>
      <c r="H93" s="305"/>
      <c r="I93" s="305">
        <f>I94+I96</f>
        <v>106099</v>
      </c>
      <c r="J93" s="305">
        <f>J94+J96</f>
        <v>0</v>
      </c>
      <c r="K93" s="351"/>
      <c r="L93" s="351"/>
    </row>
    <row r="94" spans="1:12" s="769" customFormat="1" ht="24.75" customHeight="1">
      <c r="A94" s="353"/>
      <c r="B94" s="366"/>
      <c r="C94" s="299">
        <v>85111</v>
      </c>
      <c r="D94" s="300"/>
      <c r="E94" s="286" t="s">
        <v>74</v>
      </c>
      <c r="F94" s="298">
        <f>F95</f>
        <v>100000</v>
      </c>
      <c r="G94" s="298">
        <f>G95</f>
        <v>0</v>
      </c>
      <c r="H94" s="298"/>
      <c r="I94" s="298">
        <f>I95</f>
        <v>100000</v>
      </c>
      <c r="J94" s="298">
        <f>J95</f>
        <v>0</v>
      </c>
      <c r="K94" s="268"/>
      <c r="L94" s="268"/>
    </row>
    <row r="95" spans="1:12" s="769" customFormat="1" ht="68.25" customHeight="1">
      <c r="A95" s="353">
        <v>56</v>
      </c>
      <c r="B95" s="366"/>
      <c r="C95" s="299"/>
      <c r="D95" s="300">
        <v>6220</v>
      </c>
      <c r="E95" s="286" t="s">
        <v>173</v>
      </c>
      <c r="F95" s="298">
        <v>100000</v>
      </c>
      <c r="G95" s="298"/>
      <c r="H95" s="294" t="s">
        <v>352</v>
      </c>
      <c r="I95" s="298">
        <v>100000</v>
      </c>
      <c r="J95" s="302"/>
      <c r="K95" s="268" t="s">
        <v>75</v>
      </c>
      <c r="L95" s="268">
        <v>2013</v>
      </c>
    </row>
    <row r="96" spans="1:12" ht="29.25" customHeight="1">
      <c r="A96" s="353"/>
      <c r="B96" s="341"/>
      <c r="C96" s="299">
        <v>85158</v>
      </c>
      <c r="D96" s="299"/>
      <c r="E96" s="354" t="s">
        <v>496</v>
      </c>
      <c r="F96" s="298">
        <f>F97</f>
        <v>6099</v>
      </c>
      <c r="G96" s="298"/>
      <c r="H96" s="294"/>
      <c r="I96" s="298">
        <f>I97</f>
        <v>6099</v>
      </c>
      <c r="J96" s="302"/>
      <c r="K96" s="268"/>
      <c r="L96" s="268"/>
    </row>
    <row r="97" spans="1:12" ht="29.25" customHeight="1">
      <c r="A97" s="353">
        <v>57</v>
      </c>
      <c r="B97" s="341"/>
      <c r="C97" s="242"/>
      <c r="D97" s="301">
        <v>6060</v>
      </c>
      <c r="E97" s="297" t="s">
        <v>497</v>
      </c>
      <c r="F97" s="298">
        <f>20000-13901</f>
        <v>6099</v>
      </c>
      <c r="G97" s="298"/>
      <c r="H97" s="294" t="s">
        <v>498</v>
      </c>
      <c r="I97" s="302">
        <f>20000-13901</f>
        <v>6099</v>
      </c>
      <c r="J97" s="302"/>
      <c r="K97" s="268" t="s">
        <v>499</v>
      </c>
      <c r="L97" s="268">
        <v>2013</v>
      </c>
    </row>
    <row r="98" spans="1:12" ht="31.5" customHeight="1">
      <c r="A98" s="317"/>
      <c r="B98" s="271">
        <v>853</v>
      </c>
      <c r="C98" s="299"/>
      <c r="D98" s="345"/>
      <c r="E98" s="350" t="s">
        <v>500</v>
      </c>
      <c r="F98" s="305">
        <f>F99</f>
        <v>3466669.92</v>
      </c>
      <c r="G98" s="305">
        <f>G99</f>
        <v>3163369.92</v>
      </c>
      <c r="H98" s="305"/>
      <c r="I98" s="305">
        <f>I99</f>
        <v>1903300</v>
      </c>
      <c r="J98" s="305">
        <f>J99</f>
        <v>0</v>
      </c>
      <c r="K98" s="351"/>
      <c r="L98" s="351"/>
    </row>
    <row r="99" spans="1:12" ht="27" customHeight="1">
      <c r="A99" s="317"/>
      <c r="B99" s="271"/>
      <c r="C99" s="312">
        <v>85395</v>
      </c>
      <c r="D99" s="355"/>
      <c r="E99" s="279" t="s">
        <v>501</v>
      </c>
      <c r="F99" s="280">
        <f>SUM(F100:F110)</f>
        <v>3466669.92</v>
      </c>
      <c r="G99" s="280">
        <f>SUM(G100:G110)</f>
        <v>3163369.92</v>
      </c>
      <c r="H99" s="280"/>
      <c r="I99" s="280">
        <f>SUM(I100:I110)</f>
        <v>1903300</v>
      </c>
      <c r="J99" s="280">
        <f>SUM(J100:J110)</f>
        <v>0</v>
      </c>
      <c r="K99" s="281"/>
      <c r="L99" s="281"/>
    </row>
    <row r="100" spans="1:12" ht="38.25" customHeight="1">
      <c r="A100" s="317">
        <v>58</v>
      </c>
      <c r="B100" s="271"/>
      <c r="C100" s="276"/>
      <c r="D100" s="345">
        <v>6067</v>
      </c>
      <c r="E100" s="356" t="s">
        <v>502</v>
      </c>
      <c r="F100" s="358">
        <v>18000</v>
      </c>
      <c r="G100" s="280"/>
      <c r="H100" s="357" t="s">
        <v>503</v>
      </c>
      <c r="I100" s="358">
        <v>18000</v>
      </c>
      <c r="J100" s="280"/>
      <c r="K100" s="268" t="s">
        <v>504</v>
      </c>
      <c r="L100" s="268">
        <v>2013</v>
      </c>
    </row>
    <row r="101" spans="1:12" ht="40.5" customHeight="1">
      <c r="A101" s="317">
        <v>59</v>
      </c>
      <c r="B101" s="271"/>
      <c r="C101" s="276"/>
      <c r="D101" s="345">
        <v>6067</v>
      </c>
      <c r="E101" s="356" t="s">
        <v>505</v>
      </c>
      <c r="F101" s="358">
        <v>16000</v>
      </c>
      <c r="G101" s="280"/>
      <c r="H101" s="357" t="s">
        <v>506</v>
      </c>
      <c r="I101" s="358">
        <v>16000</v>
      </c>
      <c r="J101" s="280"/>
      <c r="K101" s="268" t="s">
        <v>504</v>
      </c>
      <c r="L101" s="268">
        <v>2013</v>
      </c>
    </row>
    <row r="102" spans="1:12" ht="29.25" customHeight="1">
      <c r="A102" s="317">
        <v>60</v>
      </c>
      <c r="B102" s="271"/>
      <c r="C102" s="276"/>
      <c r="D102" s="345">
        <v>6067</v>
      </c>
      <c r="E102" s="356" t="s">
        <v>507</v>
      </c>
      <c r="F102" s="358">
        <v>4000</v>
      </c>
      <c r="G102" s="280"/>
      <c r="H102" s="357" t="s">
        <v>508</v>
      </c>
      <c r="I102" s="358">
        <v>4000</v>
      </c>
      <c r="J102" s="280"/>
      <c r="K102" s="268" t="s">
        <v>504</v>
      </c>
      <c r="L102" s="268">
        <v>2013</v>
      </c>
    </row>
    <row r="103" spans="1:12" ht="30.75" customHeight="1">
      <c r="A103" s="261">
        <v>61</v>
      </c>
      <c r="B103" s="359"/>
      <c r="C103" s="276"/>
      <c r="D103" s="345">
        <v>6067</v>
      </c>
      <c r="E103" s="356" t="s">
        <v>229</v>
      </c>
      <c r="F103" s="358">
        <v>6300</v>
      </c>
      <c r="G103" s="280"/>
      <c r="H103" s="357" t="s">
        <v>232</v>
      </c>
      <c r="I103" s="358">
        <v>6300</v>
      </c>
      <c r="J103" s="280"/>
      <c r="K103" s="268" t="s">
        <v>233</v>
      </c>
      <c r="L103" s="268">
        <v>2013</v>
      </c>
    </row>
    <row r="104" spans="1:12" ht="31.5" customHeight="1">
      <c r="A104" s="261">
        <v>62</v>
      </c>
      <c r="B104" s="359"/>
      <c r="C104" s="276"/>
      <c r="D104" s="345">
        <v>6067</v>
      </c>
      <c r="E104" s="356" t="s">
        <v>230</v>
      </c>
      <c r="F104" s="358">
        <v>3500</v>
      </c>
      <c r="G104" s="280"/>
      <c r="H104" s="357" t="s">
        <v>231</v>
      </c>
      <c r="I104" s="358">
        <v>3500</v>
      </c>
      <c r="J104" s="280"/>
      <c r="K104" s="268" t="s">
        <v>233</v>
      </c>
      <c r="L104" s="268">
        <v>2013</v>
      </c>
    </row>
    <row r="105" spans="1:12" ht="31.5" customHeight="1">
      <c r="A105" s="261"/>
      <c r="B105" s="359"/>
      <c r="C105" s="276"/>
      <c r="D105" s="783">
        <v>6067</v>
      </c>
      <c r="E105" s="784" t="s">
        <v>374</v>
      </c>
      <c r="F105" s="785">
        <v>3500</v>
      </c>
      <c r="G105" s="786"/>
      <c r="H105" s="787" t="s">
        <v>400</v>
      </c>
      <c r="I105" s="785">
        <v>3500</v>
      </c>
      <c r="J105" s="786"/>
      <c r="K105" s="788" t="s">
        <v>480</v>
      </c>
      <c r="L105" s="788">
        <v>2013</v>
      </c>
    </row>
    <row r="106" spans="1:12" ht="31.5" customHeight="1">
      <c r="A106" s="261"/>
      <c r="B106" s="359"/>
      <c r="C106" s="276"/>
      <c r="D106" s="783">
        <v>6067</v>
      </c>
      <c r="E106" s="784" t="s">
        <v>375</v>
      </c>
      <c r="F106" s="785">
        <v>31000</v>
      </c>
      <c r="G106" s="786"/>
      <c r="H106" s="787" t="s">
        <v>401</v>
      </c>
      <c r="I106" s="785">
        <v>31000</v>
      </c>
      <c r="J106" s="786"/>
      <c r="K106" s="788" t="s">
        <v>480</v>
      </c>
      <c r="L106" s="788">
        <v>2013</v>
      </c>
    </row>
    <row r="107" spans="1:12" ht="66.75" customHeight="1">
      <c r="A107" s="972">
        <v>63</v>
      </c>
      <c r="B107" s="359"/>
      <c r="C107" s="276"/>
      <c r="D107" s="345">
        <v>6237</v>
      </c>
      <c r="E107" s="297" t="s">
        <v>509</v>
      </c>
      <c r="F107" s="298">
        <v>1360000</v>
      </c>
      <c r="G107" s="298">
        <v>1360000</v>
      </c>
      <c r="H107" s="360" t="s">
        <v>510</v>
      </c>
      <c r="I107" s="302">
        <v>1360000</v>
      </c>
      <c r="J107" s="302">
        <v>0</v>
      </c>
      <c r="K107" s="268" t="s">
        <v>511</v>
      </c>
      <c r="L107" s="268" t="s">
        <v>412</v>
      </c>
    </row>
    <row r="108" spans="1:12" ht="75" customHeight="1">
      <c r="A108" s="973"/>
      <c r="B108" s="359"/>
      <c r="C108" s="308"/>
      <c r="D108" s="345">
        <v>6239</v>
      </c>
      <c r="E108" s="297" t="s">
        <v>512</v>
      </c>
      <c r="F108" s="298">
        <v>240000</v>
      </c>
      <c r="G108" s="298">
        <v>240000</v>
      </c>
      <c r="H108" s="360" t="s">
        <v>510</v>
      </c>
      <c r="I108" s="302">
        <v>240000</v>
      </c>
      <c r="J108" s="302">
        <v>0</v>
      </c>
      <c r="K108" s="268" t="s">
        <v>511</v>
      </c>
      <c r="L108" s="268" t="s">
        <v>412</v>
      </c>
    </row>
    <row r="109" spans="1:14" ht="62.25" customHeight="1">
      <c r="A109" s="974">
        <v>64</v>
      </c>
      <c r="B109" s="359"/>
      <c r="C109" s="308"/>
      <c r="D109" s="345">
        <v>6237</v>
      </c>
      <c r="E109" s="297" t="s">
        <v>513</v>
      </c>
      <c r="F109" s="302">
        <f>G109+I109</f>
        <v>1516714.43</v>
      </c>
      <c r="G109" s="298">
        <v>1328864.43</v>
      </c>
      <c r="H109" s="294" t="s">
        <v>514</v>
      </c>
      <c r="I109" s="302">
        <v>187850</v>
      </c>
      <c r="J109" s="302"/>
      <c r="K109" s="268" t="s">
        <v>511</v>
      </c>
      <c r="L109" s="268" t="s">
        <v>406</v>
      </c>
      <c r="N109" s="269"/>
    </row>
    <row r="110" spans="1:12" ht="65.25" customHeight="1">
      <c r="A110" s="975"/>
      <c r="B110" s="359"/>
      <c r="C110" s="308"/>
      <c r="D110" s="345">
        <v>6239</v>
      </c>
      <c r="E110" s="297" t="s">
        <v>513</v>
      </c>
      <c r="F110" s="302">
        <f>G110+I110</f>
        <v>267655.49</v>
      </c>
      <c r="G110" s="298">
        <v>234505.49</v>
      </c>
      <c r="H110" s="294" t="s">
        <v>514</v>
      </c>
      <c r="I110" s="302">
        <v>33150</v>
      </c>
      <c r="J110" s="302"/>
      <c r="K110" s="268" t="s">
        <v>511</v>
      </c>
      <c r="L110" s="268" t="s">
        <v>406</v>
      </c>
    </row>
    <row r="111" spans="1:12" ht="30" customHeight="1">
      <c r="A111" s="334"/>
      <c r="B111" s="271">
        <v>900</v>
      </c>
      <c r="C111" s="271"/>
      <c r="D111" s="272"/>
      <c r="E111" s="304" t="s">
        <v>515</v>
      </c>
      <c r="F111" s="305">
        <f>F112+F115+F117+F126</f>
        <v>7119491.78</v>
      </c>
      <c r="G111" s="305">
        <f>G112+G115+G117+G126</f>
        <v>231240</v>
      </c>
      <c r="H111" s="305"/>
      <c r="I111" s="305">
        <f>I112+I115+I117+I126</f>
        <v>2386660</v>
      </c>
      <c r="J111" s="305">
        <f>J112+J115+J117+J126</f>
        <v>605000</v>
      </c>
      <c r="K111" s="305"/>
      <c r="L111" s="268"/>
    </row>
    <row r="112" spans="1:12" ht="30" customHeight="1">
      <c r="A112" s="334"/>
      <c r="B112" s="334"/>
      <c r="C112" s="311">
        <v>90002</v>
      </c>
      <c r="D112" s="313"/>
      <c r="E112" s="279" t="s">
        <v>516</v>
      </c>
      <c r="F112" s="280">
        <f>SUM(F113:F114)</f>
        <v>42000</v>
      </c>
      <c r="G112" s="280">
        <f>SUM(G113:G114)</f>
        <v>0</v>
      </c>
      <c r="H112" s="280"/>
      <c r="I112" s="280">
        <f>SUM(I113:I114)</f>
        <v>42000</v>
      </c>
      <c r="J112" s="280">
        <f>SUM(J113:J114)</f>
        <v>42000</v>
      </c>
      <c r="K112" s="268"/>
      <c r="L112" s="268"/>
    </row>
    <row r="113" spans="1:12" ht="42" customHeight="1">
      <c r="A113" s="242">
        <v>66</v>
      </c>
      <c r="B113" s="341"/>
      <c r="C113" s="361"/>
      <c r="D113" s="301">
        <v>6220</v>
      </c>
      <c r="E113" s="362" t="s">
        <v>517</v>
      </c>
      <c r="F113" s="363">
        <v>12000</v>
      </c>
      <c r="G113" s="364">
        <v>0</v>
      </c>
      <c r="H113" s="365" t="s">
        <v>518</v>
      </c>
      <c r="I113" s="363">
        <v>12000</v>
      </c>
      <c r="J113" s="363">
        <v>12000</v>
      </c>
      <c r="K113" s="268" t="s">
        <v>519</v>
      </c>
      <c r="L113" s="268">
        <v>2013</v>
      </c>
    </row>
    <row r="114" spans="1:12" ht="51.75" customHeight="1">
      <c r="A114" s="242">
        <v>67</v>
      </c>
      <c r="B114" s="341"/>
      <c r="C114" s="303"/>
      <c r="D114" s="301">
        <v>6230</v>
      </c>
      <c r="E114" s="356" t="s">
        <v>517</v>
      </c>
      <c r="F114" s="363">
        <v>30000</v>
      </c>
      <c r="G114" s="364">
        <v>0</v>
      </c>
      <c r="H114" s="365" t="s">
        <v>518</v>
      </c>
      <c r="I114" s="363">
        <v>30000</v>
      </c>
      <c r="J114" s="363">
        <v>30000</v>
      </c>
      <c r="K114" s="268" t="s">
        <v>519</v>
      </c>
      <c r="L114" s="268">
        <v>2013</v>
      </c>
    </row>
    <row r="115" spans="1:12" s="403" customFormat="1" ht="29.25" customHeight="1">
      <c r="A115" s="311"/>
      <c r="B115" s="343"/>
      <c r="C115" s="312">
        <v>90004</v>
      </c>
      <c r="D115" s="278"/>
      <c r="E115" s="755" t="s">
        <v>547</v>
      </c>
      <c r="F115" s="770">
        <f>F116</f>
        <v>50000</v>
      </c>
      <c r="G115" s="770">
        <f>G116</f>
        <v>0</v>
      </c>
      <c r="H115" s="770"/>
      <c r="I115" s="770">
        <f>I116</f>
        <v>50000</v>
      </c>
      <c r="J115" s="770">
        <f>J116</f>
        <v>0</v>
      </c>
      <c r="K115" s="281"/>
      <c r="L115" s="281"/>
    </row>
    <row r="116" spans="1:12" ht="42.75" customHeight="1">
      <c r="A116" s="242">
        <v>67</v>
      </c>
      <c r="B116" s="341"/>
      <c r="C116" s="334"/>
      <c r="D116" s="301">
        <v>6050</v>
      </c>
      <c r="E116" s="297" t="s">
        <v>76</v>
      </c>
      <c r="F116" s="298">
        <v>50000</v>
      </c>
      <c r="G116" s="298"/>
      <c r="H116" s="298" t="s">
        <v>353</v>
      </c>
      <c r="I116" s="298">
        <v>50000</v>
      </c>
      <c r="J116" s="298"/>
      <c r="K116" s="268" t="s">
        <v>579</v>
      </c>
      <c r="L116" s="268">
        <v>2013</v>
      </c>
    </row>
    <row r="117" spans="1:12" ht="27.75" customHeight="1">
      <c r="A117" s="252"/>
      <c r="B117" s="311"/>
      <c r="C117" s="312">
        <v>90015</v>
      </c>
      <c r="D117" s="313"/>
      <c r="E117" s="279" t="s">
        <v>520</v>
      </c>
      <c r="F117" s="280">
        <f>SUM(F118:F125)</f>
        <v>5034591.78</v>
      </c>
      <c r="G117" s="280">
        <f>SUM(G118:G125)</f>
        <v>0</v>
      </c>
      <c r="H117" s="280"/>
      <c r="I117" s="280">
        <f>SUM(I118:I125)</f>
        <v>1033000</v>
      </c>
      <c r="J117" s="280">
        <f>SUM(J118:J125)</f>
        <v>338000</v>
      </c>
      <c r="K117" s="281"/>
      <c r="L117" s="281"/>
    </row>
    <row r="118" spans="1:12" ht="34.5" customHeight="1">
      <c r="A118" s="299">
        <v>68</v>
      </c>
      <c r="B118" s="366"/>
      <c r="C118" s="234"/>
      <c r="D118" s="367">
        <v>6050</v>
      </c>
      <c r="E118" s="362" t="s">
        <v>521</v>
      </c>
      <c r="F118" s="368">
        <f>100000+160000</f>
        <v>260000</v>
      </c>
      <c r="G118" s="369">
        <v>0</v>
      </c>
      <c r="H118" s="370" t="s">
        <v>661</v>
      </c>
      <c r="I118" s="371">
        <f>100000+160000-240000+240000</f>
        <v>260000</v>
      </c>
      <c r="J118" s="371">
        <f>100000+160000-240000+240000</f>
        <v>260000</v>
      </c>
      <c r="K118" s="310" t="s">
        <v>425</v>
      </c>
      <c r="L118" s="310">
        <v>2013</v>
      </c>
    </row>
    <row r="119" spans="1:12" ht="50.25" customHeight="1">
      <c r="A119" s="299">
        <v>69</v>
      </c>
      <c r="B119" s="366"/>
      <c r="C119" s="242"/>
      <c r="D119" s="367">
        <v>6050</v>
      </c>
      <c r="E119" s="771" t="s">
        <v>522</v>
      </c>
      <c r="F119" s="363">
        <f>200000-95000+1149.61</f>
        <v>106149.61</v>
      </c>
      <c r="G119" s="372"/>
      <c r="H119" s="772" t="s">
        <v>523</v>
      </c>
      <c r="I119" s="363">
        <f>200000-95000</f>
        <v>105000</v>
      </c>
      <c r="J119" s="363"/>
      <c r="K119" s="310" t="s">
        <v>405</v>
      </c>
      <c r="L119" s="310" t="s">
        <v>646</v>
      </c>
    </row>
    <row r="120" spans="1:12" ht="39" customHeight="1">
      <c r="A120" s="299">
        <v>70</v>
      </c>
      <c r="B120" s="366"/>
      <c r="C120" s="242"/>
      <c r="D120" s="367">
        <v>6050</v>
      </c>
      <c r="E120" s="771" t="s">
        <v>524</v>
      </c>
      <c r="F120" s="363">
        <v>175000</v>
      </c>
      <c r="G120" s="372"/>
      <c r="H120" s="373" t="s">
        <v>525</v>
      </c>
      <c r="I120" s="363">
        <f>175000-150000+150000</f>
        <v>175000</v>
      </c>
      <c r="J120" s="363"/>
      <c r="K120" s="310" t="s">
        <v>425</v>
      </c>
      <c r="L120" s="310">
        <v>2013</v>
      </c>
    </row>
    <row r="121" spans="1:12" ht="72.75" customHeight="1">
      <c r="A121" s="299">
        <v>71</v>
      </c>
      <c r="B121" s="366"/>
      <c r="C121" s="242"/>
      <c r="D121" s="367">
        <v>6050</v>
      </c>
      <c r="E121" s="356" t="s">
        <v>526</v>
      </c>
      <c r="F121" s="363">
        <f>270000-120000+442.17</f>
        <v>150442.17</v>
      </c>
      <c r="G121" s="372"/>
      <c r="H121" s="773" t="s">
        <v>569</v>
      </c>
      <c r="I121" s="363">
        <f>270000-120000</f>
        <v>150000</v>
      </c>
      <c r="J121" s="363"/>
      <c r="K121" s="310" t="s">
        <v>405</v>
      </c>
      <c r="L121" s="310" t="s">
        <v>646</v>
      </c>
    </row>
    <row r="122" spans="1:12" ht="42" customHeight="1">
      <c r="A122" s="299">
        <v>72</v>
      </c>
      <c r="B122" s="366"/>
      <c r="C122" s="242"/>
      <c r="D122" s="367">
        <v>6050</v>
      </c>
      <c r="E122" s="356" t="s">
        <v>654</v>
      </c>
      <c r="F122" s="363">
        <v>25000</v>
      </c>
      <c r="G122" s="372"/>
      <c r="H122" s="373" t="s">
        <v>571</v>
      </c>
      <c r="I122" s="363">
        <v>25000</v>
      </c>
      <c r="J122" s="363"/>
      <c r="K122" s="310" t="s">
        <v>425</v>
      </c>
      <c r="L122" s="310">
        <v>2013</v>
      </c>
    </row>
    <row r="123" spans="1:12" ht="39.75" customHeight="1">
      <c r="A123" s="299">
        <v>73</v>
      </c>
      <c r="B123" s="366"/>
      <c r="C123" s="242"/>
      <c r="D123" s="367">
        <v>6050</v>
      </c>
      <c r="E123" s="356" t="s">
        <v>548</v>
      </c>
      <c r="F123" s="363">
        <v>4078000</v>
      </c>
      <c r="G123" s="372"/>
      <c r="H123" s="373" t="s">
        <v>658</v>
      </c>
      <c r="I123" s="363">
        <v>78000</v>
      </c>
      <c r="J123" s="363">
        <v>78000</v>
      </c>
      <c r="K123" s="310" t="s">
        <v>425</v>
      </c>
      <c r="L123" s="310" t="s">
        <v>549</v>
      </c>
    </row>
    <row r="124" spans="1:12" ht="39.75" customHeight="1">
      <c r="A124" s="299">
        <v>74</v>
      </c>
      <c r="B124" s="366"/>
      <c r="C124" s="242"/>
      <c r="D124" s="367">
        <v>6050</v>
      </c>
      <c r="E124" s="356" t="s">
        <v>257</v>
      </c>
      <c r="F124" s="363">
        <v>50000</v>
      </c>
      <c r="G124" s="372"/>
      <c r="H124" s="373" t="s">
        <v>354</v>
      </c>
      <c r="I124" s="363">
        <v>50000</v>
      </c>
      <c r="J124" s="363"/>
      <c r="K124" s="310" t="s">
        <v>425</v>
      </c>
      <c r="L124" s="310">
        <v>2013</v>
      </c>
    </row>
    <row r="125" spans="1:12" ht="52.5" customHeight="1">
      <c r="A125" s="299">
        <v>75</v>
      </c>
      <c r="B125" s="366"/>
      <c r="C125" s="242"/>
      <c r="D125" s="367">
        <v>6050</v>
      </c>
      <c r="E125" s="374" t="s">
        <v>570</v>
      </c>
      <c r="F125" s="363">
        <f>300000-110000</f>
        <v>190000</v>
      </c>
      <c r="G125" s="372"/>
      <c r="H125" s="373" t="s">
        <v>571</v>
      </c>
      <c r="I125" s="363">
        <f>300000-110000</f>
        <v>190000</v>
      </c>
      <c r="J125" s="363"/>
      <c r="K125" s="310" t="s">
        <v>405</v>
      </c>
      <c r="L125" s="310">
        <v>2013</v>
      </c>
    </row>
    <row r="126" spans="1:12" ht="25.5" customHeight="1">
      <c r="A126" s="299"/>
      <c r="B126" s="311"/>
      <c r="C126" s="312">
        <v>90095</v>
      </c>
      <c r="D126" s="313"/>
      <c r="E126" s="279" t="s">
        <v>438</v>
      </c>
      <c r="F126" s="280">
        <f>SUM(F127:F132)</f>
        <v>1992900</v>
      </c>
      <c r="G126" s="280">
        <f>SUM(G127:G132)</f>
        <v>231240</v>
      </c>
      <c r="H126" s="280"/>
      <c r="I126" s="280">
        <f>SUM(I127:I132)</f>
        <v>1261660</v>
      </c>
      <c r="J126" s="280">
        <f>SUM(J127:J132)</f>
        <v>225000</v>
      </c>
      <c r="K126" s="281"/>
      <c r="L126" s="281"/>
    </row>
    <row r="127" spans="1:12" ht="25.5" customHeight="1">
      <c r="A127" s="234">
        <v>76</v>
      </c>
      <c r="B127" s="375"/>
      <c r="C127" s="311"/>
      <c r="D127" s="301">
        <v>6050</v>
      </c>
      <c r="E127" s="286" t="s">
        <v>572</v>
      </c>
      <c r="F127" s="298">
        <f>1375000-1300000+500000</f>
        <v>575000</v>
      </c>
      <c r="G127" s="298">
        <v>0</v>
      </c>
      <c r="H127" s="376" t="s">
        <v>573</v>
      </c>
      <c r="I127" s="298">
        <f>1375000-1300000</f>
        <v>75000</v>
      </c>
      <c r="J127" s="298">
        <f>1375000-1300000</f>
        <v>75000</v>
      </c>
      <c r="K127" s="377" t="s">
        <v>405</v>
      </c>
      <c r="L127" s="377" t="s">
        <v>646</v>
      </c>
    </row>
    <row r="128" spans="1:12" ht="25.5" customHeight="1">
      <c r="A128" s="234">
        <v>77</v>
      </c>
      <c r="B128" s="375"/>
      <c r="C128" s="311"/>
      <c r="D128" s="301">
        <v>6050</v>
      </c>
      <c r="E128" s="297" t="s">
        <v>184</v>
      </c>
      <c r="F128" s="298">
        <v>100000</v>
      </c>
      <c r="G128" s="298"/>
      <c r="H128" s="376" t="s">
        <v>355</v>
      </c>
      <c r="I128" s="298">
        <v>100000</v>
      </c>
      <c r="J128" s="298"/>
      <c r="K128" s="310" t="s">
        <v>579</v>
      </c>
      <c r="L128" s="310">
        <v>2013</v>
      </c>
    </row>
    <row r="129" spans="1:12" ht="72" customHeight="1">
      <c r="A129" s="234"/>
      <c r="B129" s="375"/>
      <c r="C129" s="311"/>
      <c r="D129" s="744">
        <v>6010</v>
      </c>
      <c r="E129" s="778" t="s">
        <v>559</v>
      </c>
      <c r="F129" s="743">
        <v>24000</v>
      </c>
      <c r="G129" s="743"/>
      <c r="H129" s="748" t="s">
        <v>585</v>
      </c>
      <c r="I129" s="743">
        <v>24000</v>
      </c>
      <c r="J129" s="743"/>
      <c r="K129" s="779" t="s">
        <v>405</v>
      </c>
      <c r="L129" s="779">
        <v>2013</v>
      </c>
    </row>
    <row r="130" spans="1:14" ht="39" customHeight="1">
      <c r="A130" s="970">
        <v>78</v>
      </c>
      <c r="B130" s="375"/>
      <c r="C130" s="311"/>
      <c r="D130" s="301">
        <v>6057</v>
      </c>
      <c r="E130" s="356" t="s">
        <v>574</v>
      </c>
      <c r="F130" s="363">
        <v>972315</v>
      </c>
      <c r="G130" s="298">
        <v>196554</v>
      </c>
      <c r="H130" s="378" t="s">
        <v>575</v>
      </c>
      <c r="I130" s="298">
        <v>775761</v>
      </c>
      <c r="J130" s="280">
        <v>0</v>
      </c>
      <c r="K130" s="377" t="s">
        <v>405</v>
      </c>
      <c r="L130" s="377" t="s">
        <v>576</v>
      </c>
      <c r="N130" s="269"/>
    </row>
    <row r="131" spans="1:12" ht="40.5" customHeight="1">
      <c r="A131" s="973"/>
      <c r="B131" s="379"/>
      <c r="C131" s="322"/>
      <c r="D131" s="301">
        <v>6059</v>
      </c>
      <c r="E131" s="356" t="s">
        <v>574</v>
      </c>
      <c r="F131" s="363">
        <v>171585</v>
      </c>
      <c r="G131" s="364">
        <v>34686</v>
      </c>
      <c r="H131" s="378" t="s">
        <v>575</v>
      </c>
      <c r="I131" s="363">
        <v>136899</v>
      </c>
      <c r="J131" s="363">
        <v>0</v>
      </c>
      <c r="K131" s="377" t="s">
        <v>405</v>
      </c>
      <c r="L131" s="377" t="s">
        <v>576</v>
      </c>
    </row>
    <row r="132" spans="1:12" ht="41.25" customHeight="1">
      <c r="A132" s="380">
        <v>79</v>
      </c>
      <c r="B132" s="379"/>
      <c r="C132" s="322"/>
      <c r="D132" s="381">
        <v>6230</v>
      </c>
      <c r="E132" s="356" t="s">
        <v>577</v>
      </c>
      <c r="F132" s="364">
        <f>50000+100000</f>
        <v>150000</v>
      </c>
      <c r="G132" s="372">
        <v>0</v>
      </c>
      <c r="H132" s="373" t="s">
        <v>578</v>
      </c>
      <c r="I132" s="363">
        <f>50000+100000</f>
        <v>150000</v>
      </c>
      <c r="J132" s="363">
        <f>50000+100000</f>
        <v>150000</v>
      </c>
      <c r="K132" s="310" t="s">
        <v>579</v>
      </c>
      <c r="L132" s="310">
        <v>2013</v>
      </c>
    </row>
    <row r="133" spans="1:12" s="352" customFormat="1" ht="41.25" customHeight="1">
      <c r="A133" s="749"/>
      <c r="B133" s="750">
        <v>921</v>
      </c>
      <c r="C133" s="750"/>
      <c r="D133" s="271"/>
      <c r="E133" s="751" t="s">
        <v>0</v>
      </c>
      <c r="F133" s="757">
        <f>F134</f>
        <v>1440000</v>
      </c>
      <c r="G133" s="757">
        <f aca="true" t="shared" si="1" ref="G133:J134">G134</f>
        <v>0</v>
      </c>
      <c r="H133" s="757">
        <f t="shared" si="1"/>
        <v>0</v>
      </c>
      <c r="I133" s="757">
        <f t="shared" si="1"/>
        <v>340000</v>
      </c>
      <c r="J133" s="757">
        <f t="shared" si="1"/>
        <v>0</v>
      </c>
      <c r="K133" s="752"/>
      <c r="L133" s="752"/>
    </row>
    <row r="134" spans="1:12" s="403" customFormat="1" ht="32.25" customHeight="1">
      <c r="A134" s="753"/>
      <c r="B134" s="754"/>
      <c r="C134" s="756">
        <v>92109</v>
      </c>
      <c r="D134" s="396"/>
      <c r="E134" s="755" t="s">
        <v>77</v>
      </c>
      <c r="F134" s="758">
        <f>F135</f>
        <v>1440000</v>
      </c>
      <c r="G134" s="758">
        <f t="shared" si="1"/>
        <v>0</v>
      </c>
      <c r="H134" s="758"/>
      <c r="I134" s="758">
        <f t="shared" si="1"/>
        <v>340000</v>
      </c>
      <c r="J134" s="758">
        <f t="shared" si="1"/>
        <v>0</v>
      </c>
      <c r="K134" s="392"/>
      <c r="L134" s="392"/>
    </row>
    <row r="135" spans="1:12" ht="57" customHeight="1">
      <c r="A135" s="380">
        <v>80</v>
      </c>
      <c r="B135" s="379"/>
      <c r="C135" s="322"/>
      <c r="D135" s="327">
        <v>6050</v>
      </c>
      <c r="E135" s="356" t="s">
        <v>550</v>
      </c>
      <c r="F135" s="364">
        <f>1100000+340000</f>
        <v>1440000</v>
      </c>
      <c r="G135" s="372"/>
      <c r="H135" s="373" t="s">
        <v>551</v>
      </c>
      <c r="I135" s="363">
        <v>340000</v>
      </c>
      <c r="J135" s="363"/>
      <c r="K135" s="310" t="s">
        <v>405</v>
      </c>
      <c r="L135" s="310" t="s">
        <v>646</v>
      </c>
    </row>
    <row r="136" spans="1:12" ht="27.75" customHeight="1">
      <c r="A136" s="242"/>
      <c r="B136" s="270">
        <v>926</v>
      </c>
      <c r="C136" s="271"/>
      <c r="D136" s="272"/>
      <c r="E136" s="304" t="s">
        <v>580</v>
      </c>
      <c r="F136" s="305">
        <f>F137+F140</f>
        <v>134300</v>
      </c>
      <c r="G136" s="305">
        <f>G137+G140</f>
        <v>0</v>
      </c>
      <c r="H136" s="305"/>
      <c r="I136" s="305">
        <f>I137+I140</f>
        <v>134300</v>
      </c>
      <c r="J136" s="305">
        <f>J137+J140</f>
        <v>0</v>
      </c>
      <c r="K136" s="268"/>
      <c r="L136" s="268"/>
    </row>
    <row r="137" spans="1:12" ht="24" customHeight="1">
      <c r="A137" s="271"/>
      <c r="B137" s="337"/>
      <c r="C137" s="318">
        <v>92601</v>
      </c>
      <c r="D137" s="313"/>
      <c r="E137" s="279" t="s">
        <v>581</v>
      </c>
      <c r="F137" s="280">
        <f>SUM(F138:F139)</f>
        <v>84300</v>
      </c>
      <c r="G137" s="280">
        <f>SUM(G138:G139)</f>
        <v>0</v>
      </c>
      <c r="H137" s="280"/>
      <c r="I137" s="280">
        <f>SUM(I138:I139)</f>
        <v>84300</v>
      </c>
      <c r="J137" s="280">
        <f>SUM(J138:J139)</f>
        <v>0</v>
      </c>
      <c r="K137" s="281"/>
      <c r="L137" s="281"/>
    </row>
    <row r="138" spans="1:12" ht="41.25" customHeight="1">
      <c r="A138" s="299">
        <v>81</v>
      </c>
      <c r="B138" s="331"/>
      <c r="C138" s="276"/>
      <c r="D138" s="381">
        <v>6050</v>
      </c>
      <c r="E138" s="292" t="s">
        <v>582</v>
      </c>
      <c r="F138" s="298">
        <f>18300+16000</f>
        <v>34300</v>
      </c>
      <c r="G138" s="298">
        <v>0</v>
      </c>
      <c r="H138" s="344" t="s">
        <v>583</v>
      </c>
      <c r="I138" s="298">
        <f>18300+16000</f>
        <v>34300</v>
      </c>
      <c r="J138" s="298">
        <v>0</v>
      </c>
      <c r="K138" s="268" t="s">
        <v>405</v>
      </c>
      <c r="L138" s="310">
        <v>2013</v>
      </c>
    </row>
    <row r="139" spans="1:12" s="383" customFormat="1" ht="44.25" customHeight="1">
      <c r="A139" s="299">
        <v>82</v>
      </c>
      <c r="B139" s="331"/>
      <c r="C139" s="276"/>
      <c r="D139" s="382">
        <v>6050</v>
      </c>
      <c r="E139" s="291" t="s">
        <v>584</v>
      </c>
      <c r="F139" s="298">
        <v>50000</v>
      </c>
      <c r="G139" s="298">
        <v>0</v>
      </c>
      <c r="H139" s="288" t="s">
        <v>585</v>
      </c>
      <c r="I139" s="298">
        <v>50000</v>
      </c>
      <c r="J139" s="298">
        <v>0</v>
      </c>
      <c r="K139" s="268" t="s">
        <v>405</v>
      </c>
      <c r="L139" s="268">
        <v>2013</v>
      </c>
    </row>
    <row r="140" spans="1:12" s="383" customFormat="1" ht="25.5" customHeight="1">
      <c r="A140" s="299"/>
      <c r="B140" s="331"/>
      <c r="C140" s="312">
        <v>92604</v>
      </c>
      <c r="D140" s="384"/>
      <c r="E140" s="385" t="s">
        <v>586</v>
      </c>
      <c r="F140" s="298">
        <f>F141</f>
        <v>50000</v>
      </c>
      <c r="G140" s="298">
        <f>G141</f>
        <v>0</v>
      </c>
      <c r="H140" s="298"/>
      <c r="I140" s="298">
        <f>I141</f>
        <v>50000</v>
      </c>
      <c r="J140" s="298">
        <f>J141</f>
        <v>0</v>
      </c>
      <c r="K140" s="268"/>
      <c r="L140" s="268"/>
    </row>
    <row r="141" spans="1:12" s="383" customFormat="1" ht="27.75" customHeight="1">
      <c r="A141" s="299">
        <v>83</v>
      </c>
      <c r="B141" s="331"/>
      <c r="C141" s="308"/>
      <c r="D141" s="282">
        <v>6050</v>
      </c>
      <c r="E141" s="286" t="s">
        <v>587</v>
      </c>
      <c r="F141" s="298">
        <v>50000</v>
      </c>
      <c r="G141" s="298"/>
      <c r="H141" s="288" t="s">
        <v>588</v>
      </c>
      <c r="I141" s="298">
        <v>50000</v>
      </c>
      <c r="J141" s="298"/>
      <c r="K141" s="268" t="s">
        <v>589</v>
      </c>
      <c r="L141" s="268">
        <v>2013</v>
      </c>
    </row>
    <row r="142" spans="1:15" ht="24.75" customHeight="1">
      <c r="A142" s="299"/>
      <c r="B142" s="386" t="s">
        <v>590</v>
      </c>
      <c r="C142" s="387"/>
      <c r="D142" s="327"/>
      <c r="E142" s="349"/>
      <c r="F142" s="388">
        <f>F143+F152+F158+F162+F165+F172+F175</f>
        <v>37317952</v>
      </c>
      <c r="G142" s="388">
        <f>G143+G152+G158+G162+G165+G172+G175</f>
        <v>19854998.31</v>
      </c>
      <c r="H142" s="388"/>
      <c r="I142" s="388">
        <f>I143+I152+I158+I162+I165+I172+I175</f>
        <v>13630953.69</v>
      </c>
      <c r="J142" s="388">
        <f>J143+J152+J158+J162+J165+J172+J175</f>
        <v>1284882.52</v>
      </c>
      <c r="K142" s="268"/>
      <c r="L142" s="268"/>
      <c r="N142" s="790"/>
      <c r="O142" s="789"/>
    </row>
    <row r="143" spans="1:15" ht="20.25" customHeight="1">
      <c r="A143" s="271"/>
      <c r="B143" s="361">
        <v>600</v>
      </c>
      <c r="C143" s="271"/>
      <c r="D143" s="272"/>
      <c r="E143" s="304" t="s">
        <v>345</v>
      </c>
      <c r="F143" s="305">
        <f>F144</f>
        <v>35062452</v>
      </c>
      <c r="G143" s="305">
        <f>G144</f>
        <v>19854998.31</v>
      </c>
      <c r="H143" s="389"/>
      <c r="I143" s="305">
        <f>I144</f>
        <v>12375453.69</v>
      </c>
      <c r="J143" s="305">
        <f>J144</f>
        <v>968382.52</v>
      </c>
      <c r="K143" s="268"/>
      <c r="L143" s="268"/>
      <c r="N143" s="791"/>
      <c r="O143" s="791"/>
    </row>
    <row r="144" spans="1:12" ht="27" customHeight="1">
      <c r="A144" s="299"/>
      <c r="B144" s="306"/>
      <c r="C144" s="312">
        <v>60015</v>
      </c>
      <c r="D144" s="278"/>
      <c r="E144" s="279" t="s">
        <v>591</v>
      </c>
      <c r="F144" s="280">
        <f>SUM(F145:F151)</f>
        <v>35062452</v>
      </c>
      <c r="G144" s="280">
        <f>SUM(G145:G151)</f>
        <v>19854998.31</v>
      </c>
      <c r="H144" s="346"/>
      <c r="I144" s="280">
        <f>SUM(I145:I151)</f>
        <v>12375453.69</v>
      </c>
      <c r="J144" s="280">
        <f>SUM(J145:J151)</f>
        <v>968382.52</v>
      </c>
      <c r="K144" s="281"/>
      <c r="L144" s="281"/>
    </row>
    <row r="145" spans="1:14" ht="43.5" customHeight="1">
      <c r="A145" s="299">
        <v>84</v>
      </c>
      <c r="B145" s="366"/>
      <c r="C145" s="242"/>
      <c r="D145" s="301">
        <v>6050</v>
      </c>
      <c r="E145" s="362" t="s">
        <v>592</v>
      </c>
      <c r="F145" s="368">
        <f>27061100+125000+122352</f>
        <v>27308452</v>
      </c>
      <c r="G145" s="968">
        <f>23211100-3406101.69</f>
        <v>19804998.31</v>
      </c>
      <c r="H145" s="370" t="s">
        <v>593</v>
      </c>
      <c r="I145" s="930">
        <f>3850000+125000+122352+3406101.69</f>
        <v>7503453.6899999995</v>
      </c>
      <c r="J145" s="371">
        <f>2141080-167000-1921497.48</f>
        <v>52582.52000000002</v>
      </c>
      <c r="K145" s="310" t="s">
        <v>594</v>
      </c>
      <c r="L145" s="310" t="s">
        <v>406</v>
      </c>
      <c r="N145" s="269"/>
    </row>
    <row r="146" spans="1:15" s="383" customFormat="1" ht="35.25" customHeight="1">
      <c r="A146" s="299">
        <v>85</v>
      </c>
      <c r="B146" s="366"/>
      <c r="C146" s="242"/>
      <c r="D146" s="301">
        <v>6050</v>
      </c>
      <c r="E146" s="362" t="s">
        <v>595</v>
      </c>
      <c r="F146" s="368">
        <v>1100000</v>
      </c>
      <c r="G146" s="369"/>
      <c r="H146" s="362" t="s">
        <v>596</v>
      </c>
      <c r="I146" s="371">
        <v>1100000</v>
      </c>
      <c r="J146" s="371">
        <v>0</v>
      </c>
      <c r="K146" s="310" t="s">
        <v>425</v>
      </c>
      <c r="L146" s="310">
        <v>2013</v>
      </c>
      <c r="N146" s="415"/>
      <c r="O146" s="415"/>
    </row>
    <row r="147" spans="1:16" s="383" customFormat="1" ht="58.5" customHeight="1">
      <c r="A147" s="299">
        <v>86</v>
      </c>
      <c r="B147" s="366"/>
      <c r="C147" s="242"/>
      <c r="D147" s="301">
        <v>6050</v>
      </c>
      <c r="E147" s="362" t="s">
        <v>597</v>
      </c>
      <c r="F147" s="368">
        <v>260000</v>
      </c>
      <c r="G147" s="369"/>
      <c r="H147" s="288" t="s">
        <v>585</v>
      </c>
      <c r="I147" s="371">
        <v>260000</v>
      </c>
      <c r="J147" s="371"/>
      <c r="K147" s="310" t="s">
        <v>405</v>
      </c>
      <c r="L147" s="310">
        <v>2013</v>
      </c>
      <c r="N147" s="415"/>
      <c r="O147" s="415"/>
      <c r="P147" s="415"/>
    </row>
    <row r="148" spans="1:15" s="383" customFormat="1" ht="57.75" customHeight="1">
      <c r="A148" s="299">
        <v>87</v>
      </c>
      <c r="B148" s="366"/>
      <c r="C148" s="242"/>
      <c r="D148" s="301">
        <v>6050</v>
      </c>
      <c r="E148" s="362" t="s">
        <v>598</v>
      </c>
      <c r="F148" s="368">
        <v>30000</v>
      </c>
      <c r="G148" s="369"/>
      <c r="H148" s="288" t="s">
        <v>585</v>
      </c>
      <c r="I148" s="371">
        <v>30000</v>
      </c>
      <c r="J148" s="371"/>
      <c r="K148" s="310" t="s">
        <v>425</v>
      </c>
      <c r="L148" s="310">
        <v>2013</v>
      </c>
      <c r="N148" s="415"/>
      <c r="O148" s="415"/>
    </row>
    <row r="149" spans="1:12" s="383" customFormat="1" ht="35.25" customHeight="1">
      <c r="A149" s="299">
        <v>88</v>
      </c>
      <c r="B149" s="366"/>
      <c r="C149" s="242"/>
      <c r="D149" s="301">
        <v>6050</v>
      </c>
      <c r="E149" s="362" t="s">
        <v>655</v>
      </c>
      <c r="F149" s="368">
        <f>2832000+2832000</f>
        <v>5664000</v>
      </c>
      <c r="G149" s="369"/>
      <c r="H149" s="288" t="s">
        <v>657</v>
      </c>
      <c r="I149" s="371">
        <v>2832000</v>
      </c>
      <c r="J149" s="371">
        <f>240000+753800-78000</f>
        <v>915800</v>
      </c>
      <c r="K149" s="310" t="s">
        <v>405</v>
      </c>
      <c r="L149" s="310">
        <v>2013</v>
      </c>
    </row>
    <row r="150" spans="1:12" s="383" customFormat="1" ht="35.25" customHeight="1">
      <c r="A150" s="299">
        <v>89</v>
      </c>
      <c r="B150" s="366"/>
      <c r="C150" s="242"/>
      <c r="D150" s="301">
        <v>6050</v>
      </c>
      <c r="E150" s="362" t="s">
        <v>186</v>
      </c>
      <c r="F150" s="368">
        <v>500000</v>
      </c>
      <c r="G150" s="369"/>
      <c r="H150" s="288" t="s">
        <v>552</v>
      </c>
      <c r="I150" s="371">
        <v>500000</v>
      </c>
      <c r="J150" s="371"/>
      <c r="K150" s="310" t="s">
        <v>425</v>
      </c>
      <c r="L150" s="310">
        <v>2013</v>
      </c>
    </row>
    <row r="151" spans="1:14" s="383" customFormat="1" ht="39.75" customHeight="1">
      <c r="A151" s="299">
        <v>90</v>
      </c>
      <c r="B151" s="366"/>
      <c r="C151" s="242"/>
      <c r="D151" s="301">
        <v>6050</v>
      </c>
      <c r="E151" s="362" t="s">
        <v>599</v>
      </c>
      <c r="F151" s="929">
        <f>550000-350000</f>
        <v>200000</v>
      </c>
      <c r="G151" s="369">
        <v>50000</v>
      </c>
      <c r="H151" s="390" t="s">
        <v>600</v>
      </c>
      <c r="I151" s="930">
        <f>500000-350000</f>
        <v>150000</v>
      </c>
      <c r="J151" s="371">
        <v>0</v>
      </c>
      <c r="K151" s="310" t="s">
        <v>405</v>
      </c>
      <c r="L151" s="310" t="s">
        <v>406</v>
      </c>
      <c r="N151" s="415"/>
    </row>
    <row r="152" spans="1:17" s="49" customFormat="1" ht="27" customHeight="1">
      <c r="A152" s="242"/>
      <c r="B152" s="271">
        <v>710</v>
      </c>
      <c r="C152" s="271"/>
      <c r="D152" s="271"/>
      <c r="E152" s="349" t="s">
        <v>601</v>
      </c>
      <c r="F152" s="330">
        <f>F153+F155</f>
        <v>55000</v>
      </c>
      <c r="G152" s="330">
        <f>G153+G155</f>
        <v>0</v>
      </c>
      <c r="H152" s="330"/>
      <c r="I152" s="330">
        <f>I153+I155</f>
        <v>55000</v>
      </c>
      <c r="J152" s="330">
        <f>J153+J155</f>
        <v>0</v>
      </c>
      <c r="K152" s="267"/>
      <c r="L152" s="267"/>
      <c r="N152" s="391"/>
      <c r="O152" s="391"/>
      <c r="P152" s="391"/>
      <c r="Q152" s="3"/>
    </row>
    <row r="153" spans="1:17" s="49" customFormat="1" ht="27" customHeight="1">
      <c r="A153" s="242"/>
      <c r="B153" s="334"/>
      <c r="C153" s="312">
        <v>71012</v>
      </c>
      <c r="D153" s="313"/>
      <c r="E153" s="319" t="s">
        <v>602</v>
      </c>
      <c r="F153" s="320">
        <f>F154</f>
        <v>45000</v>
      </c>
      <c r="G153" s="320">
        <f>G154</f>
        <v>0</v>
      </c>
      <c r="H153" s="320"/>
      <c r="I153" s="320">
        <f>I154</f>
        <v>45000</v>
      </c>
      <c r="J153" s="320">
        <f>J154</f>
        <v>0</v>
      </c>
      <c r="K153" s="392"/>
      <c r="L153" s="392"/>
      <c r="N153" s="391"/>
      <c r="O153" s="391"/>
      <c r="P153" s="391"/>
      <c r="Q153" s="3"/>
    </row>
    <row r="154" spans="1:17" s="49" customFormat="1" ht="54.75" customHeight="1">
      <c r="A154" s="242">
        <v>91</v>
      </c>
      <c r="B154" s="334"/>
      <c r="C154" s="271"/>
      <c r="D154" s="327">
        <v>6060</v>
      </c>
      <c r="E154" s="338" t="s">
        <v>603</v>
      </c>
      <c r="F154" s="339">
        <f>25000+20000</f>
        <v>45000</v>
      </c>
      <c r="G154" s="339">
        <v>0</v>
      </c>
      <c r="H154" s="393" t="s">
        <v>604</v>
      </c>
      <c r="I154" s="339">
        <f>25000+20000</f>
        <v>45000</v>
      </c>
      <c r="J154" s="339">
        <v>0</v>
      </c>
      <c r="K154" s="267" t="s">
        <v>605</v>
      </c>
      <c r="L154" s="267">
        <v>2013</v>
      </c>
      <c r="N154" s="391"/>
      <c r="O154" s="391"/>
      <c r="P154" s="391"/>
      <c r="Q154" s="3"/>
    </row>
    <row r="155" spans="1:17" s="49" customFormat="1" ht="21.75" customHeight="1">
      <c r="A155" s="252"/>
      <c r="B155" s="311"/>
      <c r="C155" s="312">
        <v>71015</v>
      </c>
      <c r="D155" s="313"/>
      <c r="E155" s="319" t="s">
        <v>606</v>
      </c>
      <c r="F155" s="320">
        <f>F156+F157</f>
        <v>10000</v>
      </c>
      <c r="G155" s="320">
        <f>G157</f>
        <v>0</v>
      </c>
      <c r="H155" s="320"/>
      <c r="I155" s="320">
        <f>I156+I157</f>
        <v>10000</v>
      </c>
      <c r="J155" s="320">
        <f>J157</f>
        <v>0</v>
      </c>
      <c r="K155" s="392"/>
      <c r="L155" s="392"/>
      <c r="N155" s="391"/>
      <c r="O155" s="391"/>
      <c r="P155" s="391"/>
      <c r="Q155" s="3"/>
    </row>
    <row r="156" spans="1:17" s="49" customFormat="1" ht="40.5" customHeight="1">
      <c r="A156" s="252">
        <v>92</v>
      </c>
      <c r="B156" s="311"/>
      <c r="C156" s="276"/>
      <c r="D156" s="327">
        <v>6060</v>
      </c>
      <c r="E156" s="338" t="s">
        <v>607</v>
      </c>
      <c r="F156" s="339">
        <v>5000</v>
      </c>
      <c r="G156" s="339">
        <v>0</v>
      </c>
      <c r="H156" s="393" t="s">
        <v>608</v>
      </c>
      <c r="I156" s="394">
        <v>5000</v>
      </c>
      <c r="J156" s="394">
        <v>0</v>
      </c>
      <c r="K156" s="310" t="s">
        <v>609</v>
      </c>
      <c r="L156" s="310">
        <v>2013</v>
      </c>
      <c r="N156" s="391"/>
      <c r="O156" s="391"/>
      <c r="P156" s="391"/>
      <c r="Q156" s="3"/>
    </row>
    <row r="157" spans="1:17" s="49" customFormat="1" ht="41.25" customHeight="1">
      <c r="A157" s="299">
        <v>93</v>
      </c>
      <c r="B157" s="242"/>
      <c r="C157" s="308"/>
      <c r="D157" s="327">
        <v>6060</v>
      </c>
      <c r="E157" s="338" t="s">
        <v>610</v>
      </c>
      <c r="F157" s="339">
        <v>5000</v>
      </c>
      <c r="G157" s="339">
        <v>0</v>
      </c>
      <c r="H157" s="393" t="s">
        <v>611</v>
      </c>
      <c r="I157" s="394">
        <v>5000</v>
      </c>
      <c r="J157" s="394">
        <v>0</v>
      </c>
      <c r="K157" s="310" t="s">
        <v>609</v>
      </c>
      <c r="L157" s="310">
        <v>2013</v>
      </c>
      <c r="N157" s="391"/>
      <c r="O157" s="391"/>
      <c r="P157" s="391"/>
      <c r="Q157" s="3"/>
    </row>
    <row r="158" spans="1:17" s="49" customFormat="1" ht="35.25" customHeight="1">
      <c r="A158" s="271"/>
      <c r="B158" s="271">
        <v>754</v>
      </c>
      <c r="C158" s="271"/>
      <c r="D158" s="271"/>
      <c r="E158" s="315" t="s">
        <v>451</v>
      </c>
      <c r="F158" s="395">
        <f>F159</f>
        <v>200000</v>
      </c>
      <c r="G158" s="395">
        <f>G159</f>
        <v>0</v>
      </c>
      <c r="H158" s="395"/>
      <c r="I158" s="395">
        <f>I159</f>
        <v>200000</v>
      </c>
      <c r="J158" s="395">
        <f>J159</f>
        <v>100000</v>
      </c>
      <c r="K158" s="310"/>
      <c r="L158" s="310"/>
      <c r="N158" s="391"/>
      <c r="O158" s="391"/>
      <c r="P158" s="391"/>
      <c r="Q158" s="3"/>
    </row>
    <row r="159" spans="1:17" s="49" customFormat="1" ht="33" customHeight="1">
      <c r="A159" s="299"/>
      <c r="B159" s="311"/>
      <c r="C159" s="312">
        <v>75411</v>
      </c>
      <c r="D159" s="396"/>
      <c r="E159" s="319" t="s">
        <v>612</v>
      </c>
      <c r="F159" s="309">
        <f>F160+F161</f>
        <v>200000</v>
      </c>
      <c r="G159" s="309">
        <f>G160+G161</f>
        <v>0</v>
      </c>
      <c r="H159" s="309"/>
      <c r="I159" s="309">
        <f>I160+I161</f>
        <v>200000</v>
      </c>
      <c r="J159" s="309">
        <f>J160+J161</f>
        <v>100000</v>
      </c>
      <c r="K159" s="310"/>
      <c r="L159" s="310"/>
      <c r="N159" s="391"/>
      <c r="O159" s="391"/>
      <c r="P159" s="391"/>
      <c r="Q159" s="3"/>
    </row>
    <row r="160" spans="1:17" s="49" customFormat="1" ht="100.5" customHeight="1">
      <c r="A160" s="970">
        <v>94</v>
      </c>
      <c r="B160" s="242"/>
      <c r="C160" s="308"/>
      <c r="D160" s="381">
        <v>6050</v>
      </c>
      <c r="E160" s="297" t="s">
        <v>613</v>
      </c>
      <c r="F160" s="339">
        <f>100000</f>
        <v>100000</v>
      </c>
      <c r="G160" s="339">
        <v>0</v>
      </c>
      <c r="H160" s="393" t="s">
        <v>633</v>
      </c>
      <c r="I160" s="309">
        <f>100000</f>
        <v>100000</v>
      </c>
      <c r="J160" s="309"/>
      <c r="K160" s="310" t="s">
        <v>634</v>
      </c>
      <c r="L160" s="310">
        <v>2013</v>
      </c>
      <c r="N160" s="391"/>
      <c r="O160" s="391"/>
      <c r="P160" s="391"/>
      <c r="Q160" s="3"/>
    </row>
    <row r="161" spans="1:17" s="49" customFormat="1" ht="111.75" customHeight="1">
      <c r="A161" s="971"/>
      <c r="B161" s="242"/>
      <c r="C161" s="308"/>
      <c r="D161" s="381">
        <v>6170</v>
      </c>
      <c r="E161" s="297" t="s">
        <v>613</v>
      </c>
      <c r="F161" s="339">
        <v>100000</v>
      </c>
      <c r="G161" s="339"/>
      <c r="H161" s="393" t="s">
        <v>633</v>
      </c>
      <c r="I161" s="309">
        <v>100000</v>
      </c>
      <c r="J161" s="309">
        <v>100000</v>
      </c>
      <c r="K161" s="310" t="s">
        <v>455</v>
      </c>
      <c r="L161" s="310">
        <v>2013</v>
      </c>
      <c r="N161" s="391"/>
      <c r="O161" s="391"/>
      <c r="P161" s="391"/>
      <c r="Q161" s="3"/>
    </row>
    <row r="162" spans="1:12" ht="21.75" customHeight="1">
      <c r="A162" s="746"/>
      <c r="B162" s="271">
        <v>758</v>
      </c>
      <c r="C162" s="271"/>
      <c r="D162" s="272"/>
      <c r="E162" s="304" t="s">
        <v>69</v>
      </c>
      <c r="F162" s="305">
        <f>F163</f>
        <v>100000</v>
      </c>
      <c r="G162" s="305">
        <f aca="true" t="shared" si="2" ref="G162:J163">G163</f>
        <v>0</v>
      </c>
      <c r="H162" s="305"/>
      <c r="I162" s="305">
        <f t="shared" si="2"/>
        <v>100000</v>
      </c>
      <c r="J162" s="305">
        <f t="shared" si="2"/>
        <v>0</v>
      </c>
      <c r="K162" s="268"/>
      <c r="L162" s="268"/>
    </row>
    <row r="163" spans="1:12" ht="22.5" customHeight="1">
      <c r="A163" s="747"/>
      <c r="B163" s="337"/>
      <c r="C163" s="318">
        <v>75818</v>
      </c>
      <c r="D163" s="313"/>
      <c r="E163" s="319" t="s">
        <v>70</v>
      </c>
      <c r="F163" s="320">
        <f>F164</f>
        <v>100000</v>
      </c>
      <c r="G163" s="320">
        <f t="shared" si="2"/>
        <v>0</v>
      </c>
      <c r="H163" s="320"/>
      <c r="I163" s="320">
        <f t="shared" si="2"/>
        <v>100000</v>
      </c>
      <c r="J163" s="320">
        <f t="shared" si="2"/>
        <v>0</v>
      </c>
      <c r="K163" s="281"/>
      <c r="L163" s="281"/>
    </row>
    <row r="164" spans="1:12" ht="32.25" customHeight="1">
      <c r="A164" s="747"/>
      <c r="B164" s="334"/>
      <c r="C164" s="308"/>
      <c r="D164" s="327">
        <v>6800</v>
      </c>
      <c r="E164" s="338" t="s">
        <v>458</v>
      </c>
      <c r="F164" s="339">
        <f>185000-85000</f>
        <v>100000</v>
      </c>
      <c r="G164" s="339"/>
      <c r="H164" s="288"/>
      <c r="I164" s="336">
        <f>185000-85000</f>
        <v>100000</v>
      </c>
      <c r="J164" s="336">
        <f>500000-500000</f>
        <v>0</v>
      </c>
      <c r="K164" s="268"/>
      <c r="L164" s="268"/>
    </row>
    <row r="165" spans="1:12" ht="26.25" customHeight="1">
      <c r="A165" s="234"/>
      <c r="B165" s="271">
        <v>801</v>
      </c>
      <c r="C165" s="271"/>
      <c r="D165" s="271"/>
      <c r="E165" s="329" t="s">
        <v>459</v>
      </c>
      <c r="F165" s="305">
        <f>F166+F168+F170</f>
        <v>316500</v>
      </c>
      <c r="G165" s="305">
        <f>G166+G168+G170</f>
        <v>0</v>
      </c>
      <c r="H165" s="305"/>
      <c r="I165" s="305">
        <f>I166+I168+I170</f>
        <v>316500</v>
      </c>
      <c r="J165" s="305">
        <f>J166+J168+J170</f>
        <v>116500</v>
      </c>
      <c r="K165" s="351"/>
      <c r="L165" s="351"/>
    </row>
    <row r="166" spans="1:12" s="403" customFormat="1" ht="26.25" customHeight="1">
      <c r="A166" s="311"/>
      <c r="B166" s="760"/>
      <c r="C166" s="312">
        <v>80120</v>
      </c>
      <c r="D166" s="312"/>
      <c r="E166" s="332" t="s">
        <v>80</v>
      </c>
      <c r="F166" s="280">
        <f>F167</f>
        <v>110000</v>
      </c>
      <c r="G166" s="280">
        <f>G167</f>
        <v>0</v>
      </c>
      <c r="H166" s="280"/>
      <c r="I166" s="280">
        <f>I167</f>
        <v>110000</v>
      </c>
      <c r="J166" s="280">
        <f>J167</f>
        <v>110000</v>
      </c>
      <c r="K166" s="281"/>
      <c r="L166" s="281"/>
    </row>
    <row r="167" spans="1:12" s="769" customFormat="1" ht="35.25" customHeight="1">
      <c r="A167" s="242">
        <v>95</v>
      </c>
      <c r="B167" s="366"/>
      <c r="C167" s="299"/>
      <c r="D167" s="299">
        <v>6050</v>
      </c>
      <c r="E167" s="759" t="s">
        <v>187</v>
      </c>
      <c r="F167" s="298">
        <v>110000</v>
      </c>
      <c r="G167" s="298"/>
      <c r="H167" s="298" t="s">
        <v>356</v>
      </c>
      <c r="I167" s="298">
        <v>110000</v>
      </c>
      <c r="J167" s="298">
        <v>110000</v>
      </c>
      <c r="K167" s="268" t="s">
        <v>79</v>
      </c>
      <c r="L167" s="268">
        <v>2013</v>
      </c>
    </row>
    <row r="168" spans="1:12" s="769" customFormat="1" ht="45" customHeight="1">
      <c r="A168" s="242"/>
      <c r="B168" s="366"/>
      <c r="C168" s="299">
        <v>80140</v>
      </c>
      <c r="D168" s="299"/>
      <c r="E168" s="759" t="s">
        <v>81</v>
      </c>
      <c r="F168" s="298">
        <f>F169</f>
        <v>200000</v>
      </c>
      <c r="G168" s="298">
        <f>G169</f>
        <v>0</v>
      </c>
      <c r="H168" s="298"/>
      <c r="I168" s="298">
        <f>I169</f>
        <v>200000</v>
      </c>
      <c r="J168" s="298">
        <f>J169</f>
        <v>0</v>
      </c>
      <c r="K168" s="268"/>
      <c r="L168" s="268"/>
    </row>
    <row r="169" spans="1:12" s="769" customFormat="1" ht="41.25" customHeight="1">
      <c r="A169" s="242">
        <v>96</v>
      </c>
      <c r="B169" s="366"/>
      <c r="C169" s="299"/>
      <c r="D169" s="299">
        <v>6050</v>
      </c>
      <c r="E169" s="759" t="s">
        <v>188</v>
      </c>
      <c r="F169" s="298">
        <v>200000</v>
      </c>
      <c r="G169" s="298"/>
      <c r="H169" s="298" t="s">
        <v>357</v>
      </c>
      <c r="I169" s="298">
        <v>200000</v>
      </c>
      <c r="J169" s="298"/>
      <c r="K169" s="268" t="s">
        <v>78</v>
      </c>
      <c r="L169" s="268">
        <v>2013</v>
      </c>
    </row>
    <row r="170" spans="1:12" ht="32.25" customHeight="1">
      <c r="A170" s="242"/>
      <c r="B170" s="234"/>
      <c r="C170" s="307">
        <v>80146</v>
      </c>
      <c r="D170" s="312"/>
      <c r="E170" s="397" t="s">
        <v>635</v>
      </c>
      <c r="F170" s="280">
        <f>F171</f>
        <v>6500</v>
      </c>
      <c r="G170" s="280">
        <f>G171</f>
        <v>0</v>
      </c>
      <c r="H170" s="280"/>
      <c r="I170" s="280">
        <f>I171</f>
        <v>6500</v>
      </c>
      <c r="J170" s="280">
        <f>J171</f>
        <v>6500</v>
      </c>
      <c r="K170" s="281"/>
      <c r="L170" s="281"/>
    </row>
    <row r="171" spans="1:12" ht="53.25" customHeight="1">
      <c r="A171" s="252">
        <v>97</v>
      </c>
      <c r="B171" s="242"/>
      <c r="C171" s="345"/>
      <c r="D171" s="234">
        <v>6050</v>
      </c>
      <c r="E171" s="398" t="s">
        <v>636</v>
      </c>
      <c r="F171" s="399">
        <v>6500</v>
      </c>
      <c r="G171" s="400">
        <v>0</v>
      </c>
      <c r="H171" s="401" t="s">
        <v>637</v>
      </c>
      <c r="I171" s="336">
        <v>6500</v>
      </c>
      <c r="J171" s="336">
        <v>6500</v>
      </c>
      <c r="K171" s="268" t="s">
        <v>638</v>
      </c>
      <c r="L171" s="268">
        <v>2013</v>
      </c>
    </row>
    <row r="172" spans="1:12" s="352" customFormat="1" ht="28.5" customHeight="1">
      <c r="A172" s="271"/>
      <c r="B172" s="271">
        <v>852</v>
      </c>
      <c r="C172" s="271"/>
      <c r="D172" s="271"/>
      <c r="E172" s="349" t="s">
        <v>639</v>
      </c>
      <c r="F172" s="330">
        <f>F173</f>
        <v>84000</v>
      </c>
      <c r="G172" s="330">
        <f aca="true" t="shared" si="3" ref="G172:J173">G173</f>
        <v>0</v>
      </c>
      <c r="H172" s="330"/>
      <c r="I172" s="330">
        <f t="shared" si="3"/>
        <v>84000</v>
      </c>
      <c r="J172" s="330">
        <f t="shared" si="3"/>
        <v>0</v>
      </c>
      <c r="K172" s="351"/>
      <c r="L172" s="351"/>
    </row>
    <row r="173" spans="1:12" s="403" customFormat="1" ht="24" customHeight="1">
      <c r="A173" s="306"/>
      <c r="B173" s="306"/>
      <c r="C173" s="402">
        <v>85202</v>
      </c>
      <c r="D173" s="312"/>
      <c r="E173" s="354" t="s">
        <v>640</v>
      </c>
      <c r="F173" s="333">
        <f>F174</f>
        <v>84000</v>
      </c>
      <c r="G173" s="333">
        <f t="shared" si="3"/>
        <v>0</v>
      </c>
      <c r="H173" s="333"/>
      <c r="I173" s="333">
        <f t="shared" si="3"/>
        <v>84000</v>
      </c>
      <c r="J173" s="333">
        <f t="shared" si="3"/>
        <v>0</v>
      </c>
      <c r="K173" s="281"/>
      <c r="L173" s="281"/>
    </row>
    <row r="174" spans="1:12" ht="42" customHeight="1">
      <c r="A174" s="252">
        <v>98</v>
      </c>
      <c r="B174" s="252"/>
      <c r="C174" s="301"/>
      <c r="D174" s="299">
        <v>6060</v>
      </c>
      <c r="E174" s="286" t="s">
        <v>641</v>
      </c>
      <c r="F174" s="400">
        <v>84000</v>
      </c>
      <c r="G174" s="400"/>
      <c r="H174" s="288" t="s">
        <v>642</v>
      </c>
      <c r="I174" s="336">
        <v>84000</v>
      </c>
      <c r="J174" s="302"/>
      <c r="K174" s="268" t="s">
        <v>643</v>
      </c>
      <c r="L174" s="268">
        <v>2013</v>
      </c>
    </row>
    <row r="175" spans="1:12" ht="24" customHeight="1">
      <c r="A175" s="271"/>
      <c r="B175" s="270">
        <v>926</v>
      </c>
      <c r="C175" s="271"/>
      <c r="D175" s="272"/>
      <c r="E175" s="304" t="s">
        <v>580</v>
      </c>
      <c r="F175" s="305">
        <f>F176</f>
        <v>1500000</v>
      </c>
      <c r="G175" s="305">
        <f>G176</f>
        <v>0</v>
      </c>
      <c r="H175" s="305"/>
      <c r="I175" s="305">
        <f>I176</f>
        <v>500000</v>
      </c>
      <c r="J175" s="305">
        <f>J176</f>
        <v>100000</v>
      </c>
      <c r="K175" s="268"/>
      <c r="L175" s="268"/>
    </row>
    <row r="176" spans="1:12" ht="24" customHeight="1">
      <c r="A176" s="341"/>
      <c r="B176" s="337"/>
      <c r="C176" s="318">
        <v>92601</v>
      </c>
      <c r="D176" s="313"/>
      <c r="E176" s="279" t="s">
        <v>581</v>
      </c>
      <c r="F176" s="280">
        <f>SUM(F177:F177)</f>
        <v>1500000</v>
      </c>
      <c r="G176" s="280">
        <f>SUM(G177:G177)</f>
        <v>0</v>
      </c>
      <c r="H176" s="280"/>
      <c r="I176" s="280">
        <f>SUM(I177:I177)</f>
        <v>500000</v>
      </c>
      <c r="J176" s="280">
        <f>SUM(J177:J177)</f>
        <v>100000</v>
      </c>
      <c r="K176" s="281"/>
      <c r="L176" s="281"/>
    </row>
    <row r="177" spans="1:12" ht="38.25" customHeight="1">
      <c r="A177" s="366">
        <v>99</v>
      </c>
      <c r="B177" s="331"/>
      <c r="C177" s="276"/>
      <c r="D177" s="381">
        <v>6050</v>
      </c>
      <c r="E177" s="292" t="s">
        <v>644</v>
      </c>
      <c r="F177" s="298">
        <f>50000+450000+1000000</f>
        <v>1500000</v>
      </c>
      <c r="G177" s="298">
        <v>0</v>
      </c>
      <c r="H177" s="288" t="s">
        <v>645</v>
      </c>
      <c r="I177" s="298">
        <f>450000+50000</f>
        <v>500000</v>
      </c>
      <c r="J177" s="298">
        <v>100000</v>
      </c>
      <c r="K177" s="268" t="s">
        <v>405</v>
      </c>
      <c r="L177" s="310" t="s">
        <v>646</v>
      </c>
    </row>
    <row r="178" spans="1:15" ht="28.5" customHeight="1">
      <c r="A178" s="271"/>
      <c r="B178" s="404" t="s">
        <v>285</v>
      </c>
      <c r="C178" s="405"/>
      <c r="D178" s="406"/>
      <c r="E178" s="407"/>
      <c r="F178" s="388">
        <f>F13+F142</f>
        <v>84248192.85000001</v>
      </c>
      <c r="G178" s="388">
        <f>G13+G142</f>
        <v>25371825.279999997</v>
      </c>
      <c r="H178" s="388"/>
      <c r="I178" s="388">
        <f>I13+I142</f>
        <v>43410950.77</v>
      </c>
      <c r="J178" s="388">
        <f>J13+J142</f>
        <v>5634880</v>
      </c>
      <c r="K178" s="408"/>
      <c r="L178" s="408"/>
      <c r="N178" s="790"/>
      <c r="O178" s="790"/>
    </row>
    <row r="179" spans="1:15" ht="21.75" customHeight="1">
      <c r="A179" s="211"/>
      <c r="B179" s="219"/>
      <c r="C179" s="219"/>
      <c r="D179" s="211"/>
      <c r="E179" s="213"/>
      <c r="F179" s="409"/>
      <c r="G179" s="409"/>
      <c r="H179" s="219"/>
      <c r="I179" s="3"/>
      <c r="J179" s="3"/>
      <c r="K179" s="215"/>
      <c r="L179" s="215"/>
      <c r="N179" s="791"/>
      <c r="O179" s="791"/>
    </row>
    <row r="180" spans="1:15" ht="22.5" customHeight="1">
      <c r="A180" s="211"/>
      <c r="B180" s="212"/>
      <c r="C180" s="212"/>
      <c r="D180" s="211"/>
      <c r="G180" s="213"/>
      <c r="H180" s="213"/>
      <c r="I180" s="409"/>
      <c r="J180" s="4"/>
      <c r="K180" s="226"/>
      <c r="L180" s="215"/>
      <c r="N180" s="269"/>
      <c r="O180" s="275"/>
    </row>
    <row r="181" spans="1:15" ht="12.75">
      <c r="A181" s="211"/>
      <c r="B181" s="212"/>
      <c r="C181" s="212"/>
      <c r="D181" s="211"/>
      <c r="G181" s="213"/>
      <c r="H181" s="213"/>
      <c r="I181" s="4"/>
      <c r="J181" s="4"/>
      <c r="K181" s="226"/>
      <c r="L181" s="215"/>
      <c r="N181" s="269"/>
      <c r="O181" s="269"/>
    </row>
    <row r="182" spans="8:15" ht="12.75">
      <c r="H182" s="410"/>
      <c r="I182" s="289"/>
      <c r="J182" s="269"/>
      <c r="K182" s="269"/>
      <c r="N182" s="269"/>
      <c r="O182" s="269"/>
    </row>
    <row r="183" spans="8:15" ht="12.75">
      <c r="H183" s="289"/>
      <c r="I183" s="411"/>
      <c r="J183" s="269"/>
      <c r="K183" s="269"/>
      <c r="N183" s="269"/>
      <c r="O183" s="269"/>
    </row>
    <row r="184" spans="8:15" ht="12.75">
      <c r="H184" s="269"/>
      <c r="I184" s="269"/>
      <c r="J184" s="269"/>
      <c r="K184" s="269"/>
      <c r="N184" s="269"/>
      <c r="O184" s="269"/>
    </row>
    <row r="185" spans="8:15" ht="12.75">
      <c r="H185" s="269"/>
      <c r="I185" s="269"/>
      <c r="J185" s="269"/>
      <c r="K185" s="269"/>
      <c r="N185" s="269"/>
      <c r="O185" s="269"/>
    </row>
    <row r="186" spans="8:11" ht="12.75">
      <c r="H186" s="269"/>
      <c r="I186" s="269"/>
      <c r="J186" s="269"/>
      <c r="K186" s="269"/>
    </row>
    <row r="187" spans="8:11" ht="12.75">
      <c r="H187" s="269"/>
      <c r="I187" s="269"/>
      <c r="J187" s="269"/>
      <c r="K187" s="269"/>
    </row>
    <row r="188" spans="8:11" ht="12.75">
      <c r="H188" s="269"/>
      <c r="I188" s="269"/>
      <c r="J188" s="269"/>
      <c r="K188" s="269"/>
    </row>
    <row r="189" spans="8:11" ht="12.75">
      <c r="H189" s="269"/>
      <c r="I189" s="269"/>
      <c r="J189" s="269"/>
      <c r="K189" s="269"/>
    </row>
    <row r="190" spans="8:11" ht="12.75">
      <c r="H190" s="269"/>
      <c r="I190" s="269"/>
      <c r="J190" s="269"/>
      <c r="K190" s="269"/>
    </row>
    <row r="191" spans="8:11" ht="12.75">
      <c r="H191" s="269"/>
      <c r="I191" s="269"/>
      <c r="J191" s="269"/>
      <c r="K191" s="269"/>
    </row>
    <row r="192" spans="8:11" ht="12.75">
      <c r="H192" s="269"/>
      <c r="I192" s="269"/>
      <c r="J192" s="269"/>
      <c r="K192" s="269"/>
    </row>
    <row r="193" spans="8:11" ht="12.75">
      <c r="H193" s="269"/>
      <c r="I193" s="269"/>
      <c r="J193" s="269"/>
      <c r="K193" s="269"/>
    </row>
  </sheetData>
  <sheetProtection/>
  <mergeCells count="4">
    <mergeCell ref="A160:A161"/>
    <mergeCell ref="A107:A108"/>
    <mergeCell ref="A109:A110"/>
    <mergeCell ref="A130:A131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31">
      <selection activeCell="J15" sqref="J15"/>
    </sheetView>
  </sheetViews>
  <sheetFormatPr defaultColWidth="9.140625" defaultRowHeight="12.75"/>
  <cols>
    <col min="1" max="1" width="5.7109375" style="62" customWidth="1"/>
    <col min="2" max="2" width="31.7109375" style="62" customWidth="1"/>
    <col min="3" max="3" width="15.00390625" style="62" customWidth="1"/>
    <col min="4" max="4" width="8.57421875" style="62" customWidth="1"/>
    <col min="5" max="5" width="17.140625" style="62" customWidth="1"/>
    <col min="6" max="6" width="18.28125" style="62" customWidth="1"/>
    <col min="7" max="7" width="13.140625" style="62" customWidth="1"/>
    <col min="8" max="8" width="22.28125" style="62" customWidth="1"/>
    <col min="9" max="9" width="29.00390625" style="793" customWidth="1"/>
    <col min="10" max="10" width="18.140625" style="62" customWidth="1"/>
    <col min="11" max="11" width="9.140625" style="62" customWidth="1"/>
    <col min="12" max="12" width="10.140625" style="62" bestFit="1" customWidth="1"/>
    <col min="13" max="16384" width="9.140625" style="62" customWidth="1"/>
  </cols>
  <sheetData>
    <row r="1" spans="4:5" ht="20.25">
      <c r="D1" s="792"/>
      <c r="E1" s="792" t="s">
        <v>378</v>
      </c>
    </row>
    <row r="2" spans="4:5" ht="18.75">
      <c r="D2" s="93"/>
      <c r="E2" s="93" t="s">
        <v>391</v>
      </c>
    </row>
    <row r="3" spans="4:5" ht="18.75">
      <c r="D3" s="93"/>
      <c r="E3" s="93" t="s">
        <v>322</v>
      </c>
    </row>
    <row r="4" spans="4:5" ht="18.75">
      <c r="D4" s="93"/>
      <c r="E4" s="93" t="s">
        <v>392</v>
      </c>
    </row>
    <row r="5" spans="4:5" ht="18.75">
      <c r="D5" s="93"/>
      <c r="E5" s="93"/>
    </row>
    <row r="6" spans="1:12" ht="18">
      <c r="A6" s="794"/>
      <c r="B6" s="795"/>
      <c r="C6" s="795"/>
      <c r="D6" s="796"/>
      <c r="E6" s="797"/>
      <c r="F6" s="797"/>
      <c r="G6" s="797"/>
      <c r="H6" s="797"/>
      <c r="I6" s="798"/>
      <c r="J6" s="797"/>
      <c r="K6" s="799"/>
      <c r="L6" s="799"/>
    </row>
    <row r="7" spans="1:12" ht="20.25">
      <c r="A7" s="794"/>
      <c r="B7" s="800" t="s">
        <v>379</v>
      </c>
      <c r="C7" s="16"/>
      <c r="D7" s="801"/>
      <c r="E7" s="797"/>
      <c r="F7" s="797"/>
      <c r="G7" s="797"/>
      <c r="H7" s="797"/>
      <c r="I7" s="798"/>
      <c r="J7" s="797"/>
      <c r="K7" s="799"/>
      <c r="L7" s="799"/>
    </row>
    <row r="8" spans="1:12" ht="20.25">
      <c r="A8" s="794"/>
      <c r="B8" s="800" t="s">
        <v>380</v>
      </c>
      <c r="C8" s="16"/>
      <c r="D8" s="801"/>
      <c r="E8" s="797"/>
      <c r="F8" s="797"/>
      <c r="G8" s="797"/>
      <c r="H8" s="797"/>
      <c r="I8" s="798"/>
      <c r="J8" s="797"/>
      <c r="K8" s="799"/>
      <c r="L8" s="799"/>
    </row>
    <row r="9" spans="1:12" ht="20.25">
      <c r="A9" s="794"/>
      <c r="B9" s="800" t="s">
        <v>381</v>
      </c>
      <c r="C9" s="16"/>
      <c r="D9" s="801"/>
      <c r="E9" s="797"/>
      <c r="F9" s="797"/>
      <c r="G9" s="797"/>
      <c r="H9" s="797"/>
      <c r="I9" s="798"/>
      <c r="J9" s="797"/>
      <c r="K9" s="799"/>
      <c r="L9" s="799"/>
    </row>
    <row r="10" spans="1:12" ht="20.25">
      <c r="A10" s="794"/>
      <c r="B10" s="802"/>
      <c r="C10" s="16"/>
      <c r="D10" s="801"/>
      <c r="E10" s="797"/>
      <c r="F10" s="797"/>
      <c r="G10" s="797"/>
      <c r="H10" s="797"/>
      <c r="I10" s="798"/>
      <c r="J10" s="797"/>
      <c r="K10" s="799"/>
      <c r="L10" s="799"/>
    </row>
    <row r="11" spans="1:12" ht="12.75">
      <c r="A11" s="794"/>
      <c r="B11" s="797"/>
      <c r="C11" s="797"/>
      <c r="D11" s="803"/>
      <c r="E11" s="797"/>
      <c r="F11" s="804" t="s">
        <v>332</v>
      </c>
      <c r="G11" s="797"/>
      <c r="H11" s="797"/>
      <c r="I11" s="798"/>
      <c r="J11" s="797"/>
      <c r="K11" s="799"/>
      <c r="L11" s="799"/>
    </row>
    <row r="12" spans="1:12" ht="29.25" customHeight="1">
      <c r="A12" s="805"/>
      <c r="B12" s="806"/>
      <c r="C12" s="806"/>
      <c r="D12" s="807"/>
      <c r="E12" s="808" t="s">
        <v>382</v>
      </c>
      <c r="F12" s="809"/>
      <c r="G12" s="810"/>
      <c r="H12" s="797"/>
      <c r="I12" s="798"/>
      <c r="J12" s="204"/>
      <c r="K12" s="204"/>
      <c r="L12" s="799"/>
    </row>
    <row r="13" spans="1:12" s="820" customFormat="1" ht="44.25" customHeight="1">
      <c r="A13" s="811" t="s">
        <v>46</v>
      </c>
      <c r="B13" s="812" t="s">
        <v>47</v>
      </c>
      <c r="C13" s="813" t="s">
        <v>48</v>
      </c>
      <c r="D13" s="813" t="s">
        <v>49</v>
      </c>
      <c r="E13" s="814" t="s">
        <v>50</v>
      </c>
      <c r="F13" s="815" t="s">
        <v>383</v>
      </c>
      <c r="G13" s="816"/>
      <c r="H13" s="817"/>
      <c r="I13" s="818"/>
      <c r="J13" s="204"/>
      <c r="K13" s="204"/>
      <c r="L13" s="819"/>
    </row>
    <row r="14" spans="1:13" s="383" customFormat="1" ht="32.25" customHeight="1">
      <c r="A14" s="649" t="s">
        <v>52</v>
      </c>
      <c r="B14" s="650"/>
      <c r="C14" s="821"/>
      <c r="D14" s="821"/>
      <c r="E14" s="822">
        <f>E17+E20+E23+E26+E29+E32</f>
        <v>410049</v>
      </c>
      <c r="F14" s="822">
        <f>F17+F20+F23+F26+F29+F32</f>
        <v>2405911</v>
      </c>
      <c r="G14" s="823"/>
      <c r="H14" s="869"/>
      <c r="I14" s="825"/>
      <c r="J14" s="693"/>
      <c r="K14" s="693"/>
      <c r="L14" s="693"/>
      <c r="M14" s="826"/>
    </row>
    <row r="15" spans="1:12" s="383" customFormat="1" ht="51.75" customHeight="1">
      <c r="A15" s="565">
        <v>1</v>
      </c>
      <c r="B15" s="827" t="s">
        <v>384</v>
      </c>
      <c r="C15" s="828" t="s">
        <v>385</v>
      </c>
      <c r="D15" s="553"/>
      <c r="E15" s="829"/>
      <c r="F15" s="830"/>
      <c r="G15" s="831"/>
      <c r="H15" s="824"/>
      <c r="I15" s="832"/>
      <c r="J15" s="833"/>
      <c r="K15" s="834"/>
      <c r="L15" s="834"/>
    </row>
    <row r="16" spans="1:12" s="383" customFormat="1" ht="36.75" customHeight="1">
      <c r="A16" s="835"/>
      <c r="B16" s="632" t="s">
        <v>386</v>
      </c>
      <c r="C16" s="569"/>
      <c r="D16" s="560"/>
      <c r="E16" s="836"/>
      <c r="F16" s="836"/>
      <c r="G16" s="831"/>
      <c r="H16" s="824"/>
      <c r="I16" s="825"/>
      <c r="J16" s="833"/>
      <c r="K16" s="834"/>
      <c r="L16" s="834"/>
    </row>
    <row r="17" spans="1:12" s="383" customFormat="1" ht="84.75" customHeight="1">
      <c r="A17" s="570"/>
      <c r="B17" s="632" t="s">
        <v>387</v>
      </c>
      <c r="C17" s="572"/>
      <c r="D17" s="560" t="s">
        <v>388</v>
      </c>
      <c r="E17" s="860">
        <v>136899</v>
      </c>
      <c r="F17" s="862">
        <v>775761</v>
      </c>
      <c r="G17" s="831"/>
      <c r="H17" s="824"/>
      <c r="I17" s="825"/>
      <c r="J17" s="833"/>
      <c r="K17" s="834"/>
      <c r="L17" s="834"/>
    </row>
    <row r="18" spans="1:8" ht="44.25" customHeight="1">
      <c r="A18" s="565">
        <v>2</v>
      </c>
      <c r="B18" s="551" t="s">
        <v>53</v>
      </c>
      <c r="C18" s="592" t="s">
        <v>63</v>
      </c>
      <c r="D18" s="553"/>
      <c r="E18" s="864"/>
      <c r="F18" s="577"/>
      <c r="H18" s="824"/>
    </row>
    <row r="19" spans="1:8" ht="84.75" customHeight="1">
      <c r="A19" s="557"/>
      <c r="B19" s="589" t="s">
        <v>389</v>
      </c>
      <c r="C19" s="559"/>
      <c r="D19" s="560"/>
      <c r="E19" s="579"/>
      <c r="F19" s="583"/>
      <c r="H19" s="824"/>
    </row>
    <row r="20" spans="1:8" ht="45" customHeight="1">
      <c r="A20" s="557"/>
      <c r="B20" s="603" t="s">
        <v>96</v>
      </c>
      <c r="C20" s="863"/>
      <c r="D20" s="564" t="s">
        <v>448</v>
      </c>
      <c r="E20" s="865">
        <v>240000</v>
      </c>
      <c r="F20" s="585">
        <v>1360000</v>
      </c>
      <c r="H20" s="824"/>
    </row>
    <row r="21" spans="1:9" ht="44.25" customHeight="1">
      <c r="A21" s="838">
        <v>3</v>
      </c>
      <c r="B21" s="551" t="s">
        <v>53</v>
      </c>
      <c r="C21" s="587" t="s">
        <v>63</v>
      </c>
      <c r="D21" s="564"/>
      <c r="E21" s="861"/>
      <c r="F21" s="861"/>
      <c r="H21" s="824"/>
      <c r="I21" s="839"/>
    </row>
    <row r="22" spans="1:9" ht="96.75" customHeight="1">
      <c r="A22" s="557"/>
      <c r="B22" s="840" t="s">
        <v>82</v>
      </c>
      <c r="C22" s="841"/>
      <c r="D22" s="560"/>
      <c r="E22" s="836"/>
      <c r="F22" s="836"/>
      <c r="H22" s="824"/>
      <c r="I22" s="842"/>
    </row>
    <row r="23" spans="1:8" ht="45.75" customHeight="1">
      <c r="A23" s="570"/>
      <c r="B23" s="843" t="s">
        <v>390</v>
      </c>
      <c r="C23" s="572"/>
      <c r="D23" s="564" t="s">
        <v>62</v>
      </c>
      <c r="E23" s="837">
        <v>33150</v>
      </c>
      <c r="F23" s="837">
        <v>187850</v>
      </c>
      <c r="H23" s="824"/>
    </row>
    <row r="24" spans="1:8" ht="44.25" customHeight="1">
      <c r="A24" s="565">
        <v>4</v>
      </c>
      <c r="B24" s="551" t="s">
        <v>53</v>
      </c>
      <c r="C24" s="608" t="s">
        <v>89</v>
      </c>
      <c r="D24" s="594"/>
      <c r="E24" s="577"/>
      <c r="F24" s="577"/>
      <c r="H24" s="824"/>
    </row>
    <row r="25" spans="1:9" ht="89.25">
      <c r="A25" s="557"/>
      <c r="B25" s="571" t="s">
        <v>196</v>
      </c>
      <c r="C25" s="569"/>
      <c r="D25" s="595"/>
      <c r="E25" s="583"/>
      <c r="F25" s="583"/>
      <c r="H25" s="824"/>
      <c r="I25" s="844"/>
    </row>
    <row r="26" spans="1:9" ht="33" customHeight="1">
      <c r="A26" s="570"/>
      <c r="B26" s="571" t="s">
        <v>197</v>
      </c>
      <c r="C26" s="572"/>
      <c r="D26" s="573" t="s">
        <v>448</v>
      </c>
      <c r="E26" s="585"/>
      <c r="F26" s="585">
        <v>38000</v>
      </c>
      <c r="H26" s="824"/>
      <c r="I26" s="844"/>
    </row>
    <row r="27" spans="1:8" ht="34.5" customHeight="1">
      <c r="A27" s="565">
        <v>5</v>
      </c>
      <c r="B27" s="551" t="s">
        <v>53</v>
      </c>
      <c r="C27" s="608" t="s">
        <v>218</v>
      </c>
      <c r="D27" s="576"/>
      <c r="E27" s="588"/>
      <c r="F27" s="577"/>
      <c r="H27" s="824"/>
    </row>
    <row r="28" spans="1:6" ht="114.75">
      <c r="A28" s="557"/>
      <c r="B28" s="571" t="s">
        <v>223</v>
      </c>
      <c r="C28" s="559"/>
      <c r="D28" s="567"/>
      <c r="E28" s="590"/>
      <c r="F28" s="583"/>
    </row>
    <row r="29" spans="1:6" ht="38.25" customHeight="1">
      <c r="A29" s="570"/>
      <c r="B29" s="571" t="s">
        <v>219</v>
      </c>
      <c r="C29" s="591"/>
      <c r="D29" s="573" t="s">
        <v>549</v>
      </c>
      <c r="E29" s="585"/>
      <c r="F29" s="685">
        <v>9800</v>
      </c>
    </row>
    <row r="30" spans="1:6" ht="71.25" customHeight="1">
      <c r="A30" s="845">
        <v>6</v>
      </c>
      <c r="B30" s="846" t="s">
        <v>53</v>
      </c>
      <c r="C30" s="847" t="s">
        <v>198</v>
      </c>
      <c r="D30" s="848"/>
      <c r="E30" s="849"/>
      <c r="F30" s="849"/>
    </row>
    <row r="31" spans="1:6" ht="69" customHeight="1">
      <c r="A31" s="850"/>
      <c r="B31" s="851" t="s">
        <v>199</v>
      </c>
      <c r="C31" s="852"/>
      <c r="D31" s="853"/>
      <c r="E31" s="854"/>
      <c r="F31" s="854"/>
    </row>
    <row r="32" spans="1:6" ht="36.75" customHeight="1">
      <c r="A32" s="855"/>
      <c r="B32" s="851" t="s">
        <v>200</v>
      </c>
      <c r="C32" s="856"/>
      <c r="D32" s="857" t="s">
        <v>201</v>
      </c>
      <c r="E32" s="858"/>
      <c r="F32" s="859">
        <f>3500+31000</f>
        <v>34500</v>
      </c>
    </row>
    <row r="33" spans="4:6" ht="12.75">
      <c r="D33" s="793"/>
      <c r="E33" s="793"/>
      <c r="F33" s="793"/>
    </row>
    <row r="34" spans="4:6" ht="12.75">
      <c r="D34" s="793"/>
      <c r="E34" s="793"/>
      <c r="F34" s="793"/>
    </row>
    <row r="35" spans="4:6" ht="12.75">
      <c r="D35" s="793"/>
      <c r="E35" s="793"/>
      <c r="F35" s="793"/>
    </row>
    <row r="36" spans="4:6" ht="12.75">
      <c r="D36" s="793"/>
      <c r="E36" s="793"/>
      <c r="F36" s="793"/>
    </row>
    <row r="37" spans="4:6" ht="12.75">
      <c r="D37" s="793"/>
      <c r="E37" s="793"/>
      <c r="F37" s="793"/>
    </row>
    <row r="38" spans="4:6" ht="12.75">
      <c r="D38" s="793"/>
      <c r="E38" s="793"/>
      <c r="F38" s="793"/>
    </row>
    <row r="39" spans="4:6" ht="12.75">
      <c r="D39" s="793"/>
      <c r="E39" s="793"/>
      <c r="F39" s="793"/>
    </row>
    <row r="40" spans="4:6" ht="12.75">
      <c r="D40" s="793"/>
      <c r="E40" s="793"/>
      <c r="F40" s="793"/>
    </row>
    <row r="41" spans="4:6" ht="12.75">
      <c r="D41" s="793"/>
      <c r="E41" s="793"/>
      <c r="F41" s="793"/>
    </row>
    <row r="42" spans="4:6" ht="12.75">
      <c r="D42" s="793"/>
      <c r="E42" s="793"/>
      <c r="F42" s="793"/>
    </row>
    <row r="43" spans="4:6" ht="12.75">
      <c r="D43" s="793"/>
      <c r="E43" s="793"/>
      <c r="F43" s="793"/>
    </row>
    <row r="44" spans="4:6" ht="12.75">
      <c r="D44" s="793"/>
      <c r="E44" s="793"/>
      <c r="F44" s="793"/>
    </row>
    <row r="45" spans="4:6" ht="12.75">
      <c r="D45" s="793"/>
      <c r="E45" s="793"/>
      <c r="F45" s="793"/>
    </row>
    <row r="46" spans="4:6" ht="12.75">
      <c r="D46" s="793"/>
      <c r="E46" s="793"/>
      <c r="F46" s="793"/>
    </row>
    <row r="47" spans="4:6" ht="12.75">
      <c r="D47" s="793"/>
      <c r="E47" s="793"/>
      <c r="F47" s="793"/>
    </row>
  </sheetData>
  <sheetProtection/>
  <printOptions/>
  <pageMargins left="0.1968503937007874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11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5.7109375" style="2" customWidth="1"/>
    <col min="2" max="2" width="38.57421875" style="2" customWidth="1"/>
    <col min="3" max="3" width="18.00390625" style="2" customWidth="1"/>
    <col min="4" max="4" width="8.7109375" style="2" customWidth="1"/>
    <col min="5" max="5" width="13.57421875" style="2" customWidth="1"/>
    <col min="6" max="6" width="15.140625" style="2" customWidth="1"/>
    <col min="7" max="7" width="13.57421875" style="519" customWidth="1"/>
    <col min="8" max="8" width="18.140625" style="519" customWidth="1"/>
    <col min="9" max="9" width="23.00390625" style="519" customWidth="1"/>
    <col min="10" max="10" width="20.28125" style="425" customWidth="1"/>
    <col min="11" max="11" width="18.140625" style="93" customWidth="1"/>
    <col min="12" max="12" width="15.7109375" style="93" customWidth="1"/>
    <col min="13" max="13" width="10.140625" style="93" bestFit="1" customWidth="1"/>
    <col min="14" max="14" width="9.140625" style="93" customWidth="1"/>
    <col min="15" max="16384" width="9.140625" style="2" customWidth="1"/>
  </cols>
  <sheetData>
    <row r="1" spans="3:4" ht="20.25">
      <c r="C1" s="214" t="s">
        <v>217</v>
      </c>
      <c r="D1" s="518"/>
    </row>
    <row r="2" spans="3:4" ht="18.75">
      <c r="C2" s="216" t="s">
        <v>393</v>
      </c>
      <c r="D2" s="518"/>
    </row>
    <row r="3" spans="3:4" ht="18.75">
      <c r="C3" s="216" t="s">
        <v>322</v>
      </c>
      <c r="D3" s="518"/>
    </row>
    <row r="4" spans="3:4" ht="18.75">
      <c r="C4" s="216" t="s">
        <v>376</v>
      </c>
      <c r="D4" s="518"/>
    </row>
    <row r="5" spans="3:4" ht="18.75">
      <c r="C5" s="518"/>
      <c r="D5" s="518"/>
    </row>
    <row r="6" spans="1:13" ht="18.75">
      <c r="A6" s="518"/>
      <c r="B6" s="518"/>
      <c r="C6" s="518"/>
      <c r="D6" s="518"/>
      <c r="E6" s="518"/>
      <c r="F6" s="518"/>
      <c r="G6" s="520"/>
      <c r="H6" s="520"/>
      <c r="I6" s="520"/>
      <c r="J6" s="521"/>
      <c r="K6" s="522"/>
      <c r="L6" s="522"/>
      <c r="M6" s="522"/>
    </row>
    <row r="7" spans="1:13" ht="20.25">
      <c r="A7" s="518"/>
      <c r="B7" s="523" t="s">
        <v>42</v>
      </c>
      <c r="C7" s="518"/>
      <c r="D7" s="518"/>
      <c r="E7" s="518"/>
      <c r="F7" s="518"/>
      <c r="G7" s="520"/>
      <c r="H7" s="520"/>
      <c r="I7" s="520"/>
      <c r="J7" s="521"/>
      <c r="K7" s="522"/>
      <c r="L7" s="522"/>
      <c r="M7" s="522"/>
    </row>
    <row r="8" spans="1:13" ht="20.25">
      <c r="A8" s="524"/>
      <c r="B8" s="523" t="s">
        <v>43</v>
      </c>
      <c r="C8" s="5"/>
      <c r="D8" s="6"/>
      <c r="E8" s="5"/>
      <c r="F8" s="5"/>
      <c r="G8" s="525"/>
      <c r="H8" s="525"/>
      <c r="I8" s="525"/>
      <c r="J8" s="526"/>
      <c r="K8" s="7"/>
      <c r="L8" s="522"/>
      <c r="M8" s="522"/>
    </row>
    <row r="9" spans="1:13" ht="20.25">
      <c r="A9" s="524"/>
      <c r="B9" s="523" t="s">
        <v>44</v>
      </c>
      <c r="C9" s="5"/>
      <c r="D9" s="6"/>
      <c r="E9" s="5"/>
      <c r="F9" s="5"/>
      <c r="G9" s="525"/>
      <c r="H9" s="525"/>
      <c r="I9" s="525"/>
      <c r="J9" s="526"/>
      <c r="K9" s="7"/>
      <c r="L9" s="522"/>
      <c r="M9" s="522"/>
    </row>
    <row r="10" spans="1:13" ht="18.75">
      <c r="A10" s="524"/>
      <c r="B10" s="23"/>
      <c r="C10" s="23"/>
      <c r="D10" s="527"/>
      <c r="E10" s="5"/>
      <c r="F10" s="5"/>
      <c r="G10" s="525"/>
      <c r="H10" s="525"/>
      <c r="I10" s="525"/>
      <c r="J10" s="526"/>
      <c r="K10" s="7"/>
      <c r="L10" s="522"/>
      <c r="M10" s="522"/>
    </row>
    <row r="11" spans="1:13" ht="18.75">
      <c r="A11" s="524"/>
      <c r="B11" s="5"/>
      <c r="C11" s="5"/>
      <c r="D11" s="6"/>
      <c r="E11" s="5"/>
      <c r="F11" s="528" t="s">
        <v>332</v>
      </c>
      <c r="G11" s="525"/>
      <c r="H11" s="525"/>
      <c r="I11" s="525"/>
      <c r="J11" s="526"/>
      <c r="K11" s="7"/>
      <c r="L11" s="522"/>
      <c r="M11" s="522"/>
    </row>
    <row r="12" spans="1:13" ht="29.25" customHeight="1">
      <c r="A12" s="529"/>
      <c r="B12" s="530"/>
      <c r="C12" s="530"/>
      <c r="D12" s="531"/>
      <c r="E12" s="532" t="s">
        <v>45</v>
      </c>
      <c r="F12" s="533"/>
      <c r="G12" s="525"/>
      <c r="H12" s="525"/>
      <c r="I12" s="525"/>
      <c r="J12" s="526"/>
      <c r="K12" s="7"/>
      <c r="L12" s="522"/>
      <c r="M12" s="522"/>
    </row>
    <row r="13" spans="1:14" s="545" customFormat="1" ht="41.25" customHeight="1">
      <c r="A13" s="534" t="s">
        <v>46</v>
      </c>
      <c r="B13" s="535" t="s">
        <v>47</v>
      </c>
      <c r="C13" s="536" t="s">
        <v>48</v>
      </c>
      <c r="D13" s="536" t="s">
        <v>49</v>
      </c>
      <c r="E13" s="537" t="s">
        <v>50</v>
      </c>
      <c r="F13" s="538" t="s">
        <v>51</v>
      </c>
      <c r="G13" s="539"/>
      <c r="H13" s="540"/>
      <c r="I13" s="541"/>
      <c r="J13" s="542"/>
      <c r="K13" s="7"/>
      <c r="L13" s="543"/>
      <c r="M13" s="543"/>
      <c r="N13" s="544"/>
    </row>
    <row r="14" spans="1:14" s="545" customFormat="1" ht="27.75" customHeight="1">
      <c r="A14" s="546" t="s">
        <v>52</v>
      </c>
      <c r="B14" s="547"/>
      <c r="C14" s="548"/>
      <c r="D14" s="548"/>
      <c r="E14" s="549">
        <f>E17+E20+E23+E26+E29+E35+E38+E41+E44+E47+E50+E53+E56+E59+E68</f>
        <v>800154.8700000001</v>
      </c>
      <c r="F14" s="684">
        <f>F17+F20+F23+F26+F29+F32+F35+F38+F41+F44+F47+F50+F53+F56+F59+F62+F65+F68</f>
        <v>6038117.27</v>
      </c>
      <c r="G14" s="539"/>
      <c r="H14" s="540"/>
      <c r="I14" s="540"/>
      <c r="J14" s="580"/>
      <c r="K14" s="7"/>
      <c r="L14" s="543"/>
      <c r="M14" s="543"/>
      <c r="N14" s="544"/>
    </row>
    <row r="15" spans="1:11" ht="42" customHeight="1">
      <c r="A15" s="550">
        <v>1</v>
      </c>
      <c r="B15" s="551" t="s">
        <v>53</v>
      </c>
      <c r="C15" s="552" t="s">
        <v>54</v>
      </c>
      <c r="D15" s="553"/>
      <c r="E15" s="554"/>
      <c r="F15" s="555"/>
      <c r="H15" s="540"/>
      <c r="I15" s="733"/>
      <c r="J15" s="734"/>
      <c r="K15" s="556"/>
    </row>
    <row r="16" spans="1:11" ht="36.75" customHeight="1">
      <c r="A16" s="557"/>
      <c r="B16" s="558" t="s">
        <v>55</v>
      </c>
      <c r="C16" s="559"/>
      <c r="D16" s="560"/>
      <c r="E16" s="561"/>
      <c r="F16" s="500"/>
      <c r="H16" s="540"/>
      <c r="I16" s="562"/>
      <c r="J16" s="213"/>
      <c r="K16" s="556"/>
    </row>
    <row r="17" spans="1:11" ht="79.5" customHeight="1">
      <c r="A17" s="557"/>
      <c r="B17" s="444" t="s">
        <v>56</v>
      </c>
      <c r="C17" s="563"/>
      <c r="D17" s="564" t="s">
        <v>576</v>
      </c>
      <c r="E17" s="561"/>
      <c r="F17" s="561">
        <f>250886+60195.44</f>
        <v>311081.44</v>
      </c>
      <c r="H17" s="540"/>
      <c r="I17" s="562"/>
      <c r="J17" s="213"/>
      <c r="K17" s="556"/>
    </row>
    <row r="18" spans="1:9" ht="41.25" customHeight="1">
      <c r="A18" s="565">
        <v>2</v>
      </c>
      <c r="B18" s="551" t="s">
        <v>53</v>
      </c>
      <c r="C18" s="566" t="s">
        <v>57</v>
      </c>
      <c r="D18" s="567"/>
      <c r="E18" s="451"/>
      <c r="F18" s="451"/>
      <c r="H18" s="540"/>
      <c r="I18" s="562"/>
    </row>
    <row r="19" spans="1:9" ht="37.5" customHeight="1">
      <c r="A19" s="557"/>
      <c r="B19" s="568" t="s">
        <v>58</v>
      </c>
      <c r="C19" s="569"/>
      <c r="D19" s="567"/>
      <c r="E19" s="500"/>
      <c r="F19" s="500"/>
      <c r="H19" s="540"/>
      <c r="I19" s="562"/>
    </row>
    <row r="20" spans="1:9" ht="72.75" customHeight="1">
      <c r="A20" s="570"/>
      <c r="B20" s="571" t="s">
        <v>59</v>
      </c>
      <c r="C20" s="572"/>
      <c r="D20" s="573" t="s">
        <v>576</v>
      </c>
      <c r="E20" s="459">
        <v>5382</v>
      </c>
      <c r="F20" s="459">
        <f>30498+19279.53</f>
        <v>49777.53</v>
      </c>
      <c r="H20" s="540"/>
      <c r="I20" s="574"/>
    </row>
    <row r="21" spans="1:13" s="49" customFormat="1" ht="56.25" customHeight="1">
      <c r="A21" s="565">
        <v>3</v>
      </c>
      <c r="B21" s="551" t="s">
        <v>53</v>
      </c>
      <c r="C21" s="575" t="s">
        <v>60</v>
      </c>
      <c r="D21" s="576"/>
      <c r="E21" s="577"/>
      <c r="F21" s="578"/>
      <c r="G21" s="579"/>
      <c r="H21" s="540"/>
      <c r="I21" s="574"/>
      <c r="J21" s="580"/>
      <c r="K21" s="581"/>
      <c r="L21" s="582"/>
      <c r="M21" s="582"/>
    </row>
    <row r="22" spans="1:13" s="49" customFormat="1" ht="39.75" customHeight="1">
      <c r="A22" s="557"/>
      <c r="B22" s="568" t="s">
        <v>58</v>
      </c>
      <c r="C22" s="563"/>
      <c r="D22" s="567"/>
      <c r="E22" s="583"/>
      <c r="F22" s="584"/>
      <c r="G22" s="579"/>
      <c r="H22" s="540"/>
      <c r="I22" s="574"/>
      <c r="J22" s="580"/>
      <c r="K22" s="581"/>
      <c r="L22" s="582"/>
      <c r="M22" s="582"/>
    </row>
    <row r="23" spans="1:13" s="49" customFormat="1" ht="56.25" customHeight="1">
      <c r="A23" s="557"/>
      <c r="B23" s="571" t="s">
        <v>61</v>
      </c>
      <c r="C23" s="563"/>
      <c r="D23" s="573" t="s">
        <v>62</v>
      </c>
      <c r="E23" s="585">
        <v>1540.61</v>
      </c>
      <c r="F23" s="586">
        <v>10459.39</v>
      </c>
      <c r="G23" s="579"/>
      <c r="H23" s="540"/>
      <c r="I23" s="574"/>
      <c r="J23" s="580"/>
      <c r="K23" s="581"/>
      <c r="L23" s="582"/>
      <c r="M23" s="582"/>
    </row>
    <row r="24" spans="1:13" s="49" customFormat="1" ht="44.25" customHeight="1">
      <c r="A24" s="565">
        <v>4</v>
      </c>
      <c r="B24" s="551" t="s">
        <v>53</v>
      </c>
      <c r="C24" s="587" t="s">
        <v>63</v>
      </c>
      <c r="D24" s="576"/>
      <c r="E24" s="588"/>
      <c r="F24" s="577"/>
      <c r="G24" s="579"/>
      <c r="H24" s="540"/>
      <c r="I24" s="574"/>
      <c r="J24" s="580"/>
      <c r="K24" s="581"/>
      <c r="L24" s="582"/>
      <c r="M24" s="582"/>
    </row>
    <row r="25" spans="1:13" s="49" customFormat="1" ht="77.25" customHeight="1">
      <c r="A25" s="557"/>
      <c r="B25" s="589" t="s">
        <v>82</v>
      </c>
      <c r="C25" s="559"/>
      <c r="D25" s="567"/>
      <c r="E25" s="590"/>
      <c r="F25" s="583"/>
      <c r="G25" s="579"/>
      <c r="H25" s="540"/>
      <c r="I25" s="574"/>
      <c r="J25" s="580"/>
      <c r="K25" s="581"/>
      <c r="L25" s="582"/>
      <c r="M25" s="582"/>
    </row>
    <row r="26" spans="1:13" s="49" customFormat="1" ht="39.75" customHeight="1">
      <c r="A26" s="557"/>
      <c r="B26" s="589" t="s">
        <v>83</v>
      </c>
      <c r="C26" s="591"/>
      <c r="D26" s="567" t="s">
        <v>62</v>
      </c>
      <c r="E26" s="590">
        <f>60546.79+9148.1</f>
        <v>69694.89</v>
      </c>
      <c r="F26" s="583">
        <f>343098.46+51839.22</f>
        <v>394937.68000000005</v>
      </c>
      <c r="G26" s="579"/>
      <c r="H26" s="540"/>
      <c r="I26" s="574"/>
      <c r="J26" s="580"/>
      <c r="K26" s="581"/>
      <c r="L26" s="582"/>
      <c r="M26" s="582"/>
    </row>
    <row r="27" spans="1:13" s="49" customFormat="1" ht="39" customHeight="1">
      <c r="A27" s="565">
        <v>5</v>
      </c>
      <c r="B27" s="551" t="s">
        <v>53</v>
      </c>
      <c r="C27" s="592" t="s">
        <v>63</v>
      </c>
      <c r="D27" s="576"/>
      <c r="E27" s="588"/>
      <c r="F27" s="577"/>
      <c r="G27" s="579"/>
      <c r="H27" s="540"/>
      <c r="I27" s="574"/>
      <c r="J27" s="580"/>
      <c r="K27" s="581"/>
      <c r="L27" s="582"/>
      <c r="M27" s="582"/>
    </row>
    <row r="28" spans="1:13" s="49" customFormat="1" ht="54.75" customHeight="1">
      <c r="A28" s="557"/>
      <c r="B28" s="589" t="s">
        <v>84</v>
      </c>
      <c r="C28" s="559"/>
      <c r="D28" s="567"/>
      <c r="E28" s="590"/>
      <c r="F28" s="583"/>
      <c r="G28" s="579"/>
      <c r="H28" s="540"/>
      <c r="I28" s="574"/>
      <c r="J28" s="580"/>
      <c r="K28" s="581"/>
      <c r="L28" s="582"/>
      <c r="M28" s="582"/>
    </row>
    <row r="29" spans="1:13" s="49" customFormat="1" ht="50.25" customHeight="1">
      <c r="A29" s="570"/>
      <c r="B29" s="589" t="s">
        <v>85</v>
      </c>
      <c r="C29" s="591"/>
      <c r="D29" s="573" t="s">
        <v>448</v>
      </c>
      <c r="E29" s="774">
        <f>32377.98+3176.74</f>
        <v>35554.72</v>
      </c>
      <c r="F29" s="585">
        <f>183475.22+18001.53</f>
        <v>201476.75</v>
      </c>
      <c r="G29" s="579"/>
      <c r="H29" s="540"/>
      <c r="I29" s="574"/>
      <c r="J29" s="580"/>
      <c r="K29" s="581"/>
      <c r="L29" s="582"/>
      <c r="M29" s="582"/>
    </row>
    <row r="30" spans="1:13" s="49" customFormat="1" ht="50.25" customHeight="1">
      <c r="A30" s="550">
        <v>6</v>
      </c>
      <c r="B30" s="551" t="s">
        <v>53</v>
      </c>
      <c r="C30" s="593" t="s">
        <v>86</v>
      </c>
      <c r="D30" s="594"/>
      <c r="E30" s="577"/>
      <c r="F30" s="577"/>
      <c r="G30" s="579"/>
      <c r="H30" s="540"/>
      <c r="I30" s="574"/>
      <c r="J30" s="580"/>
      <c r="K30" s="581"/>
      <c r="L30" s="582"/>
      <c r="M30" s="582"/>
    </row>
    <row r="31" spans="1:13" s="49" customFormat="1" ht="42.75" customHeight="1">
      <c r="A31" s="557"/>
      <c r="B31" s="571" t="s">
        <v>58</v>
      </c>
      <c r="C31" s="569"/>
      <c r="D31" s="595"/>
      <c r="E31" s="583"/>
      <c r="F31" s="583"/>
      <c r="G31" s="579"/>
      <c r="H31" s="540"/>
      <c r="I31" s="574"/>
      <c r="J31" s="580"/>
      <c r="K31" s="581"/>
      <c r="L31" s="582"/>
      <c r="M31" s="582"/>
    </row>
    <row r="32" spans="1:13" s="49" customFormat="1" ht="57" customHeight="1">
      <c r="A32" s="570"/>
      <c r="B32" s="571" t="s">
        <v>87</v>
      </c>
      <c r="C32" s="572"/>
      <c r="D32" s="573" t="s">
        <v>448</v>
      </c>
      <c r="E32" s="585" t="s">
        <v>88</v>
      </c>
      <c r="F32" s="585">
        <f>71940+5590.02</f>
        <v>77530.02</v>
      </c>
      <c r="G32" s="579"/>
      <c r="H32" s="540"/>
      <c r="I32" s="574"/>
      <c r="J32" s="580"/>
      <c r="K32" s="581"/>
      <c r="L32" s="582"/>
      <c r="M32" s="582"/>
    </row>
    <row r="33" spans="1:13" s="49" customFormat="1" ht="44.25" customHeight="1">
      <c r="A33" s="550">
        <v>7</v>
      </c>
      <c r="B33" s="551" t="s">
        <v>53</v>
      </c>
      <c r="C33" s="593" t="s">
        <v>89</v>
      </c>
      <c r="D33" s="594"/>
      <c r="E33" s="577"/>
      <c r="F33" s="577"/>
      <c r="G33" s="579"/>
      <c r="H33" s="540"/>
      <c r="I33" s="574"/>
      <c r="J33" s="580"/>
      <c r="K33" s="581"/>
      <c r="L33" s="582"/>
      <c r="M33" s="582"/>
    </row>
    <row r="34" spans="1:13" s="49" customFormat="1" ht="35.25" customHeight="1">
      <c r="A34" s="557"/>
      <c r="B34" s="571" t="s">
        <v>90</v>
      </c>
      <c r="C34" s="569"/>
      <c r="D34" s="595"/>
      <c r="E34" s="583"/>
      <c r="F34" s="583"/>
      <c r="G34" s="579"/>
      <c r="H34" s="540"/>
      <c r="I34" s="574"/>
      <c r="J34" s="580"/>
      <c r="K34" s="581"/>
      <c r="L34" s="582"/>
      <c r="M34" s="582"/>
    </row>
    <row r="35" spans="1:13" s="49" customFormat="1" ht="48" customHeight="1">
      <c r="A35" s="570"/>
      <c r="B35" s="571" t="s">
        <v>91</v>
      </c>
      <c r="C35" s="572"/>
      <c r="D35" s="567" t="s">
        <v>448</v>
      </c>
      <c r="E35" s="596">
        <v>400</v>
      </c>
      <c r="F35" s="583">
        <f>105742+1372.24</f>
        <v>107114.24</v>
      </c>
      <c r="G35" s="579"/>
      <c r="H35" s="540"/>
      <c r="I35" s="574"/>
      <c r="J35" s="580"/>
      <c r="K35" s="581"/>
      <c r="L35" s="582"/>
      <c r="M35" s="582"/>
    </row>
    <row r="36" spans="1:13" s="49" customFormat="1" ht="40.5" customHeight="1">
      <c r="A36" s="550">
        <v>8</v>
      </c>
      <c r="B36" s="551" t="s">
        <v>53</v>
      </c>
      <c r="C36" s="592" t="s">
        <v>63</v>
      </c>
      <c r="D36" s="594"/>
      <c r="E36" s="577"/>
      <c r="F36" s="577"/>
      <c r="G36" s="579"/>
      <c r="H36" s="540"/>
      <c r="I36" s="574"/>
      <c r="J36" s="580"/>
      <c r="K36" s="581"/>
      <c r="L36" s="582"/>
      <c r="M36" s="582"/>
    </row>
    <row r="37" spans="1:13" s="49" customFormat="1" ht="35.25" customHeight="1">
      <c r="A37" s="557"/>
      <c r="B37" s="571" t="s">
        <v>58</v>
      </c>
      <c r="C37" s="569"/>
      <c r="D37" s="595"/>
      <c r="E37" s="583"/>
      <c r="F37" s="583"/>
      <c r="G37" s="579"/>
      <c r="H37" s="540"/>
      <c r="I37" s="574"/>
      <c r="J37" s="580"/>
      <c r="K37" s="581"/>
      <c r="L37" s="582"/>
      <c r="M37" s="582"/>
    </row>
    <row r="38" spans="1:13" s="49" customFormat="1" ht="74.25" customHeight="1">
      <c r="A38" s="570"/>
      <c r="B38" s="571" t="s">
        <v>92</v>
      </c>
      <c r="C38" s="572"/>
      <c r="D38" s="567" t="s">
        <v>62</v>
      </c>
      <c r="E38" s="583">
        <v>68355</v>
      </c>
      <c r="F38" s="583">
        <v>387345</v>
      </c>
      <c r="G38" s="579"/>
      <c r="H38" s="540"/>
      <c r="I38" s="574"/>
      <c r="J38" s="580"/>
      <c r="K38" s="581"/>
      <c r="L38" s="582"/>
      <c r="M38" s="582"/>
    </row>
    <row r="39" spans="1:13" s="49" customFormat="1" ht="45" customHeight="1">
      <c r="A39" s="565">
        <v>9</v>
      </c>
      <c r="B39" s="551" t="s">
        <v>53</v>
      </c>
      <c r="C39" s="592" t="s">
        <v>63</v>
      </c>
      <c r="D39" s="553"/>
      <c r="E39" s="577"/>
      <c r="F39" s="577"/>
      <c r="G39" s="579"/>
      <c r="H39" s="540"/>
      <c r="I39" s="574"/>
      <c r="J39" s="580"/>
      <c r="K39" s="581"/>
      <c r="L39" s="582"/>
      <c r="M39" s="582"/>
    </row>
    <row r="40" spans="1:13" s="49" customFormat="1" ht="51" customHeight="1">
      <c r="A40" s="557"/>
      <c r="B40" s="589" t="s">
        <v>93</v>
      </c>
      <c r="C40" s="559"/>
      <c r="D40" s="560"/>
      <c r="E40" s="583"/>
      <c r="F40" s="583"/>
      <c r="G40" s="579"/>
      <c r="H40" s="540"/>
      <c r="I40" s="574"/>
      <c r="J40" s="580"/>
      <c r="K40" s="581"/>
      <c r="L40" s="582"/>
      <c r="M40" s="582"/>
    </row>
    <row r="41" spans="1:13" s="49" customFormat="1" ht="42" customHeight="1">
      <c r="A41" s="557"/>
      <c r="B41" s="589" t="s">
        <v>94</v>
      </c>
      <c r="C41" s="591"/>
      <c r="D41" s="564" t="s">
        <v>448</v>
      </c>
      <c r="E41" s="585">
        <f>89935.11+754.55</f>
        <v>90689.66</v>
      </c>
      <c r="F41" s="585">
        <f>509632.28+4275.76</f>
        <v>513908.04000000004</v>
      </c>
      <c r="G41" s="579"/>
      <c r="H41" s="540"/>
      <c r="I41" s="574"/>
      <c r="J41" s="580"/>
      <c r="K41" s="581"/>
      <c r="L41" s="582"/>
      <c r="M41" s="582"/>
    </row>
    <row r="42" spans="1:13" s="49" customFormat="1" ht="41.25" customHeight="1">
      <c r="A42" s="565">
        <v>10</v>
      </c>
      <c r="B42" s="551" t="s">
        <v>53</v>
      </c>
      <c r="C42" s="592" t="s">
        <v>63</v>
      </c>
      <c r="D42" s="553"/>
      <c r="E42" s="577"/>
      <c r="F42" s="577"/>
      <c r="G42" s="579"/>
      <c r="H42" s="540"/>
      <c r="I42" s="574"/>
      <c r="J42" s="580"/>
      <c r="K42" s="581"/>
      <c r="L42" s="582"/>
      <c r="M42" s="582"/>
    </row>
    <row r="43" spans="1:13" s="49" customFormat="1" ht="74.25" customHeight="1">
      <c r="A43" s="557"/>
      <c r="B43" s="589" t="s">
        <v>95</v>
      </c>
      <c r="C43" s="559"/>
      <c r="D43" s="560"/>
      <c r="E43" s="583"/>
      <c r="F43" s="583"/>
      <c r="G43" s="579"/>
      <c r="H43" s="540"/>
      <c r="I43" s="574"/>
      <c r="J43" s="580"/>
      <c r="K43" s="581"/>
      <c r="L43" s="582"/>
      <c r="M43" s="582"/>
    </row>
    <row r="44" spans="1:13" s="49" customFormat="1" ht="42" customHeight="1">
      <c r="A44" s="557"/>
      <c r="B44" s="589" t="s">
        <v>96</v>
      </c>
      <c r="C44" s="591"/>
      <c r="D44" s="564" t="s">
        <v>448</v>
      </c>
      <c r="E44" s="585">
        <f>130298.25+3685.52</f>
        <v>133983.77</v>
      </c>
      <c r="F44" s="585">
        <f>738356.75+20884.58</f>
        <v>759241.33</v>
      </c>
      <c r="G44" s="579"/>
      <c r="H44" s="540"/>
      <c r="I44" s="574"/>
      <c r="J44" s="580"/>
      <c r="K44" s="581"/>
      <c r="L44" s="582"/>
      <c r="M44" s="582"/>
    </row>
    <row r="45" spans="1:13" s="49" customFormat="1" ht="39" customHeight="1">
      <c r="A45" s="565">
        <v>11</v>
      </c>
      <c r="B45" s="551" t="s">
        <v>53</v>
      </c>
      <c r="C45" s="587" t="s">
        <v>63</v>
      </c>
      <c r="D45" s="560"/>
      <c r="E45" s="583"/>
      <c r="F45" s="583"/>
      <c r="G45" s="579"/>
      <c r="H45" s="540"/>
      <c r="I45" s="574"/>
      <c r="J45" s="580"/>
      <c r="K45" s="581"/>
      <c r="L45" s="582"/>
      <c r="M45" s="582"/>
    </row>
    <row r="46" spans="1:13" s="49" customFormat="1" ht="42" customHeight="1">
      <c r="A46" s="557"/>
      <c r="B46" s="589" t="s">
        <v>97</v>
      </c>
      <c r="C46" s="563"/>
      <c r="D46" s="560"/>
      <c r="E46" s="583"/>
      <c r="F46" s="583"/>
      <c r="G46" s="579"/>
      <c r="H46" s="540"/>
      <c r="I46" s="574"/>
      <c r="J46" s="580"/>
      <c r="K46" s="581"/>
      <c r="L46" s="582"/>
      <c r="M46" s="582"/>
    </row>
    <row r="47" spans="1:13" s="49" customFormat="1" ht="39" customHeight="1">
      <c r="A47" s="557"/>
      <c r="B47" s="597" t="s">
        <v>98</v>
      </c>
      <c r="C47" s="563"/>
      <c r="D47" s="564" t="s">
        <v>99</v>
      </c>
      <c r="E47" s="583">
        <v>25172.76</v>
      </c>
      <c r="F47" s="583">
        <v>142645.62</v>
      </c>
      <c r="G47" s="579"/>
      <c r="H47" s="540"/>
      <c r="I47" s="574"/>
      <c r="J47" s="580"/>
      <c r="K47" s="581"/>
      <c r="L47" s="582"/>
      <c r="M47" s="582"/>
    </row>
    <row r="48" spans="1:13" s="49" customFormat="1" ht="42" customHeight="1">
      <c r="A48" s="565">
        <v>12</v>
      </c>
      <c r="B48" s="551" t="s">
        <v>53</v>
      </c>
      <c r="C48" s="598" t="s">
        <v>63</v>
      </c>
      <c r="D48" s="576"/>
      <c r="E48" s="577"/>
      <c r="F48" s="599"/>
      <c r="G48" s="579"/>
      <c r="H48" s="540"/>
      <c r="I48" s="574"/>
      <c r="J48" s="580"/>
      <c r="K48" s="581"/>
      <c r="L48" s="582"/>
      <c r="M48" s="582"/>
    </row>
    <row r="49" spans="1:13" s="49" customFormat="1" ht="42" customHeight="1">
      <c r="A49" s="557"/>
      <c r="B49" s="589" t="s">
        <v>100</v>
      </c>
      <c r="C49" s="559"/>
      <c r="D49" s="567"/>
      <c r="E49" s="583"/>
      <c r="F49" s="600"/>
      <c r="G49" s="579"/>
      <c r="H49" s="540"/>
      <c r="I49" s="574"/>
      <c r="J49" s="580"/>
      <c r="K49" s="581"/>
      <c r="L49" s="582"/>
      <c r="M49" s="582"/>
    </row>
    <row r="50" spans="1:13" s="49" customFormat="1" ht="42" customHeight="1">
      <c r="A50" s="570"/>
      <c r="B50" s="589" t="s">
        <v>189</v>
      </c>
      <c r="C50" s="591"/>
      <c r="D50" s="564" t="s">
        <v>448</v>
      </c>
      <c r="E50" s="585">
        <v>133415.64</v>
      </c>
      <c r="F50" s="601">
        <v>756021.95</v>
      </c>
      <c r="G50" s="579"/>
      <c r="H50" s="540"/>
      <c r="I50" s="574"/>
      <c r="J50" s="580"/>
      <c r="K50" s="581"/>
      <c r="L50" s="582"/>
      <c r="M50" s="582"/>
    </row>
    <row r="51" spans="1:13" s="49" customFormat="1" ht="42.75" customHeight="1">
      <c r="A51" s="550">
        <v>13</v>
      </c>
      <c r="B51" s="551" t="s">
        <v>53</v>
      </c>
      <c r="C51" s="602" t="s">
        <v>190</v>
      </c>
      <c r="D51" s="560"/>
      <c r="E51" s="583"/>
      <c r="F51" s="583"/>
      <c r="G51" s="579"/>
      <c r="H51" s="540"/>
      <c r="I51" s="574"/>
      <c r="J51" s="580"/>
      <c r="K51" s="581"/>
      <c r="L51" s="582"/>
      <c r="M51" s="582"/>
    </row>
    <row r="52" spans="1:13" s="49" customFormat="1" ht="35.25" customHeight="1">
      <c r="A52" s="557"/>
      <c r="B52" s="603" t="s">
        <v>191</v>
      </c>
      <c r="C52" s="569"/>
      <c r="D52" s="604"/>
      <c r="E52" s="583"/>
      <c r="F52" s="583"/>
      <c r="G52" s="579"/>
      <c r="H52" s="540"/>
      <c r="I52" s="574"/>
      <c r="J52" s="580"/>
      <c r="K52" s="581"/>
      <c r="L52" s="582"/>
      <c r="M52" s="582"/>
    </row>
    <row r="53" spans="1:13" s="49" customFormat="1" ht="86.25" customHeight="1">
      <c r="A53" s="570"/>
      <c r="B53" s="603" t="s">
        <v>192</v>
      </c>
      <c r="C53" s="572"/>
      <c r="D53" s="605" t="s">
        <v>448</v>
      </c>
      <c r="E53" s="585">
        <f>1980.96+4.22</f>
        <v>1985.18</v>
      </c>
      <c r="F53" s="585">
        <f>298488.76+2979.61</f>
        <v>301468.37</v>
      </c>
      <c r="G53" s="579"/>
      <c r="H53" s="540"/>
      <c r="I53" s="574"/>
      <c r="J53" s="580"/>
      <c r="K53" s="581"/>
      <c r="L53" s="582"/>
      <c r="M53" s="582"/>
    </row>
    <row r="54" spans="1:13" s="49" customFormat="1" ht="54" customHeight="1">
      <c r="A54" s="565">
        <v>14</v>
      </c>
      <c r="B54" s="606" t="s">
        <v>193</v>
      </c>
      <c r="C54" s="593" t="s">
        <v>89</v>
      </c>
      <c r="D54" s="553"/>
      <c r="E54" s="577"/>
      <c r="F54" s="577"/>
      <c r="G54" s="579"/>
      <c r="H54" s="540"/>
      <c r="I54" s="574"/>
      <c r="J54" s="580"/>
      <c r="K54" s="581"/>
      <c r="L54" s="582"/>
      <c r="M54" s="582"/>
    </row>
    <row r="55" spans="1:13" s="49" customFormat="1" ht="52.5" customHeight="1">
      <c r="A55" s="557"/>
      <c r="B55" s="603" t="s">
        <v>194</v>
      </c>
      <c r="C55" s="569"/>
      <c r="D55" s="604"/>
      <c r="E55" s="583"/>
      <c r="F55" s="583"/>
      <c r="G55" s="579"/>
      <c r="H55" s="540"/>
      <c r="I55" s="574"/>
      <c r="J55" s="580"/>
      <c r="K55" s="581"/>
      <c r="L55" s="582"/>
      <c r="M55" s="582"/>
    </row>
    <row r="56" spans="1:13" s="49" customFormat="1" ht="58.5" customHeight="1">
      <c r="A56" s="570"/>
      <c r="B56" s="603" t="s">
        <v>195</v>
      </c>
      <c r="C56" s="572"/>
      <c r="D56" s="605" t="s">
        <v>448</v>
      </c>
      <c r="E56" s="585"/>
      <c r="F56" s="585">
        <f>45885+7262.01</f>
        <v>53147.01</v>
      </c>
      <c r="G56" s="579"/>
      <c r="H56" s="540"/>
      <c r="I56" s="607"/>
      <c r="J56" s="580"/>
      <c r="K56" s="581"/>
      <c r="L56" s="582"/>
      <c r="M56" s="582"/>
    </row>
    <row r="57" spans="1:13" s="49" customFormat="1" ht="39" customHeight="1">
      <c r="A57" s="550">
        <v>15</v>
      </c>
      <c r="B57" s="551" t="s">
        <v>53</v>
      </c>
      <c r="C57" s="593" t="s">
        <v>89</v>
      </c>
      <c r="D57" s="594"/>
      <c r="E57" s="577"/>
      <c r="F57" s="577"/>
      <c r="G57" s="579"/>
      <c r="H57" s="540"/>
      <c r="I57" s="607"/>
      <c r="J57" s="580"/>
      <c r="K57" s="581"/>
      <c r="L57" s="582"/>
      <c r="M57" s="582"/>
    </row>
    <row r="58" spans="1:13" s="49" customFormat="1" ht="75" customHeight="1">
      <c r="A58" s="557"/>
      <c r="B58" s="571" t="s">
        <v>196</v>
      </c>
      <c r="C58" s="569"/>
      <c r="D58" s="595"/>
      <c r="E58" s="583"/>
      <c r="F58" s="583"/>
      <c r="G58" s="579"/>
      <c r="H58" s="540"/>
      <c r="I58" s="607"/>
      <c r="J58" s="580"/>
      <c r="K58" s="581"/>
      <c r="L58" s="582"/>
      <c r="M58" s="582"/>
    </row>
    <row r="59" spans="1:13" s="49" customFormat="1" ht="35.25" customHeight="1">
      <c r="A59" s="570"/>
      <c r="B59" s="571" t="s">
        <v>197</v>
      </c>
      <c r="C59" s="572"/>
      <c r="D59" s="573" t="s">
        <v>448</v>
      </c>
      <c r="E59" s="585">
        <f>26400+40.04</f>
        <v>26440.04</v>
      </c>
      <c r="F59" s="585">
        <f>77240+107215</f>
        <v>184455</v>
      </c>
      <c r="G59" s="579"/>
      <c r="H59" s="540"/>
      <c r="I59" s="607"/>
      <c r="J59" s="580"/>
      <c r="K59" s="581"/>
      <c r="L59" s="582"/>
      <c r="M59" s="582"/>
    </row>
    <row r="60" spans="1:13" s="49" customFormat="1" ht="56.25" customHeight="1">
      <c r="A60" s="565">
        <v>16</v>
      </c>
      <c r="B60" s="551" t="s">
        <v>53</v>
      </c>
      <c r="C60" s="608" t="s">
        <v>198</v>
      </c>
      <c r="D60" s="576"/>
      <c r="E60" s="577"/>
      <c r="F60" s="577"/>
      <c r="G60" s="579"/>
      <c r="H60" s="540"/>
      <c r="I60" s="607"/>
      <c r="J60" s="580"/>
      <c r="K60" s="581"/>
      <c r="L60" s="582"/>
      <c r="M60" s="582"/>
    </row>
    <row r="61" spans="1:13" s="49" customFormat="1" ht="60.75" customHeight="1">
      <c r="A61" s="557"/>
      <c r="B61" s="571" t="s">
        <v>199</v>
      </c>
      <c r="C61" s="559"/>
      <c r="D61" s="567"/>
      <c r="E61" s="583"/>
      <c r="F61" s="583"/>
      <c r="G61" s="579"/>
      <c r="H61" s="540"/>
      <c r="I61" s="607"/>
      <c r="J61" s="580"/>
      <c r="K61" s="581"/>
      <c r="L61" s="582"/>
      <c r="M61" s="582"/>
    </row>
    <row r="62" spans="1:13" s="49" customFormat="1" ht="38.25" customHeight="1">
      <c r="A62" s="570"/>
      <c r="B62" s="571" t="s">
        <v>200</v>
      </c>
      <c r="C62" s="591"/>
      <c r="D62" s="567" t="s">
        <v>201</v>
      </c>
      <c r="E62" s="583" t="s">
        <v>88</v>
      </c>
      <c r="F62" s="854">
        <f>392366.5-3500-31000</f>
        <v>357866.5</v>
      </c>
      <c r="G62" s="579"/>
      <c r="H62" s="540"/>
      <c r="I62" s="607"/>
      <c r="J62" s="580"/>
      <c r="K62" s="581"/>
      <c r="L62" s="582"/>
      <c r="M62" s="582"/>
    </row>
    <row r="63" spans="1:13" s="49" customFormat="1" ht="38.25" customHeight="1">
      <c r="A63" s="565">
        <v>17</v>
      </c>
      <c r="B63" s="551" t="s">
        <v>53</v>
      </c>
      <c r="C63" s="608" t="s">
        <v>218</v>
      </c>
      <c r="D63" s="576"/>
      <c r="E63" s="588"/>
      <c r="F63" s="577"/>
      <c r="G63" s="579"/>
      <c r="H63" s="540"/>
      <c r="I63" s="607"/>
      <c r="J63" s="580"/>
      <c r="K63" s="581"/>
      <c r="L63" s="582"/>
      <c r="M63" s="582"/>
    </row>
    <row r="64" spans="1:13" s="49" customFormat="1" ht="91.5" customHeight="1">
      <c r="A64" s="557"/>
      <c r="B64" s="571" t="s">
        <v>223</v>
      </c>
      <c r="C64" s="559"/>
      <c r="D64" s="567"/>
      <c r="E64" s="590"/>
      <c r="F64" s="583"/>
      <c r="G64" s="579"/>
      <c r="H64" s="540"/>
      <c r="I64" s="607"/>
      <c r="J64" s="580"/>
      <c r="K64" s="581"/>
      <c r="L64" s="582"/>
      <c r="M64" s="582"/>
    </row>
    <row r="65" spans="1:13" s="49" customFormat="1" ht="38.25" customHeight="1">
      <c r="A65" s="570"/>
      <c r="B65" s="571" t="s">
        <v>219</v>
      </c>
      <c r="C65" s="591"/>
      <c r="D65" s="573" t="s">
        <v>549</v>
      </c>
      <c r="E65" s="585" t="s">
        <v>88</v>
      </c>
      <c r="F65" s="685">
        <v>253578</v>
      </c>
      <c r="G65" s="579"/>
      <c r="H65" s="540"/>
      <c r="I65" s="607"/>
      <c r="J65" s="580"/>
      <c r="K65" s="581"/>
      <c r="L65" s="582"/>
      <c r="M65" s="582"/>
    </row>
    <row r="66" spans="1:13" s="49" customFormat="1" ht="56.25" customHeight="1">
      <c r="A66" s="565">
        <v>18</v>
      </c>
      <c r="B66" s="686" t="s">
        <v>53</v>
      </c>
      <c r="C66" s="598" t="s">
        <v>220</v>
      </c>
      <c r="D66" s="576"/>
      <c r="E66" s="588"/>
      <c r="F66" s="577"/>
      <c r="G66" s="579"/>
      <c r="H66" s="540"/>
      <c r="I66" s="574"/>
      <c r="J66" s="580"/>
      <c r="K66" s="581"/>
      <c r="L66" s="582"/>
      <c r="M66" s="582"/>
    </row>
    <row r="67" spans="1:13" s="49" customFormat="1" ht="42" customHeight="1">
      <c r="A67" s="557"/>
      <c r="B67" s="571" t="s">
        <v>221</v>
      </c>
      <c r="C67" s="559"/>
      <c r="D67" s="567"/>
      <c r="E67" s="590"/>
      <c r="F67" s="583"/>
      <c r="G67" s="579"/>
      <c r="H67" s="540"/>
      <c r="I67" s="574"/>
      <c r="J67" s="580"/>
      <c r="K67" s="581"/>
      <c r="L67" s="582"/>
      <c r="M67" s="582"/>
    </row>
    <row r="68" spans="1:13" s="49" customFormat="1" ht="66" customHeight="1">
      <c r="A68" s="570"/>
      <c r="B68" s="690" t="s">
        <v>222</v>
      </c>
      <c r="C68" s="591"/>
      <c r="D68" s="573">
        <v>2013</v>
      </c>
      <c r="E68" s="774">
        <f>62262.18+145278.42</f>
        <v>207540.6</v>
      </c>
      <c r="F68" s="585">
        <v>1176063.4</v>
      </c>
      <c r="G68" s="579"/>
      <c r="H68" s="540"/>
      <c r="I68" s="574"/>
      <c r="J68" s="580"/>
      <c r="K68" s="581"/>
      <c r="L68" s="582"/>
      <c r="M68" s="582"/>
    </row>
    <row r="69" spans="1:11" ht="32.25" customHeight="1">
      <c r="A69" s="609" t="s">
        <v>202</v>
      </c>
      <c r="B69" s="610"/>
      <c r="C69" s="646"/>
      <c r="D69" s="647"/>
      <c r="E69" s="648">
        <f>E72+E75+E78+E81+E84</f>
        <v>67657.86</v>
      </c>
      <c r="F69" s="648">
        <f>F72+F75+F78+F81+F84+F87</f>
        <v>1333075.03</v>
      </c>
      <c r="H69" s="540"/>
      <c r="I69" s="611"/>
      <c r="J69" s="409"/>
      <c r="K69" s="612"/>
    </row>
    <row r="70" spans="1:10" ht="51">
      <c r="A70" s="565">
        <v>1</v>
      </c>
      <c r="B70" s="551" t="s">
        <v>203</v>
      </c>
      <c r="C70" s="575" t="s">
        <v>204</v>
      </c>
      <c r="D70" s="613"/>
      <c r="E70" s="614"/>
      <c r="F70" s="614"/>
      <c r="H70" s="540"/>
      <c r="I70" s="615"/>
      <c r="J70" s="654"/>
    </row>
    <row r="71" spans="1:10" ht="34.5" customHeight="1">
      <c r="A71" s="557"/>
      <c r="B71" s="616" t="s">
        <v>58</v>
      </c>
      <c r="C71" s="617"/>
      <c r="D71" s="618"/>
      <c r="E71" s="619"/>
      <c r="F71" s="620"/>
      <c r="H71" s="540"/>
      <c r="I71" s="574"/>
      <c r="J71" s="213"/>
    </row>
    <row r="72" spans="1:10" ht="60" customHeight="1">
      <c r="A72" s="570"/>
      <c r="B72" s="621" t="s">
        <v>205</v>
      </c>
      <c r="C72" s="622"/>
      <c r="D72" s="623" t="s">
        <v>576</v>
      </c>
      <c r="E72" s="624">
        <v>35403.08</v>
      </c>
      <c r="F72" s="625">
        <f>200617.54+30295.19</f>
        <v>230912.73</v>
      </c>
      <c r="H72" s="540"/>
      <c r="I72" s="574"/>
      <c r="J72" s="213"/>
    </row>
    <row r="73" spans="1:8" ht="36.75" customHeight="1">
      <c r="A73" s="550">
        <v>2</v>
      </c>
      <c r="B73" s="551" t="s">
        <v>203</v>
      </c>
      <c r="C73" s="626" t="s">
        <v>206</v>
      </c>
      <c r="D73" s="627" t="s">
        <v>406</v>
      </c>
      <c r="E73" s="451"/>
      <c r="F73" s="628"/>
      <c r="H73" s="540"/>
    </row>
    <row r="74" spans="1:9" ht="37.5" customHeight="1">
      <c r="A74" s="557"/>
      <c r="B74" s="616" t="s">
        <v>58</v>
      </c>
      <c r="C74" s="322"/>
      <c r="D74" s="629"/>
      <c r="E74" s="500"/>
      <c r="F74" s="630"/>
      <c r="H74" s="540"/>
      <c r="I74" s="631"/>
    </row>
    <row r="75" spans="1:8" ht="27" customHeight="1">
      <c r="A75" s="570"/>
      <c r="B75" s="632" t="s">
        <v>207</v>
      </c>
      <c r="C75" s="633"/>
      <c r="D75" s="634"/>
      <c r="E75" s="459"/>
      <c r="F75" s="459">
        <f>673470-48000+7466.42</f>
        <v>632936.42</v>
      </c>
      <c r="H75" s="540"/>
    </row>
    <row r="76" spans="1:9" ht="45" customHeight="1">
      <c r="A76" s="550">
        <v>3</v>
      </c>
      <c r="B76" s="768" t="s">
        <v>193</v>
      </c>
      <c r="C76" s="635" t="s">
        <v>208</v>
      </c>
      <c r="D76" s="553"/>
      <c r="E76" s="555"/>
      <c r="F76" s="554"/>
      <c r="H76" s="540"/>
      <c r="I76" s="574"/>
    </row>
    <row r="77" spans="1:9" ht="45" customHeight="1">
      <c r="A77" s="557"/>
      <c r="B77" s="571" t="s">
        <v>209</v>
      </c>
      <c r="C77" s="569"/>
      <c r="D77" s="560"/>
      <c r="E77" s="636"/>
      <c r="F77" s="561"/>
      <c r="H77" s="540"/>
      <c r="I77" s="574"/>
    </row>
    <row r="78" spans="1:10" ht="36" customHeight="1">
      <c r="A78" s="570"/>
      <c r="B78" s="571" t="s">
        <v>210</v>
      </c>
      <c r="C78" s="572"/>
      <c r="D78" s="564" t="s">
        <v>412</v>
      </c>
      <c r="E78" s="624"/>
      <c r="F78" s="775">
        <f>62610.4-2148.8+306.52</f>
        <v>60768.119999999995</v>
      </c>
      <c r="H78" s="540"/>
      <c r="I78" s="574"/>
      <c r="J78" s="637"/>
    </row>
    <row r="79" spans="1:8" ht="42" customHeight="1">
      <c r="A79" s="550">
        <v>4</v>
      </c>
      <c r="B79" s="551" t="s">
        <v>203</v>
      </c>
      <c r="C79" s="626" t="s">
        <v>206</v>
      </c>
      <c r="D79" s="627"/>
      <c r="E79" s="451"/>
      <c r="F79" s="628"/>
      <c r="H79" s="540"/>
    </row>
    <row r="80" spans="1:9" ht="36.75" customHeight="1">
      <c r="A80" s="557"/>
      <c r="B80" s="616" t="s">
        <v>211</v>
      </c>
      <c r="C80" s="322"/>
      <c r="D80" s="629"/>
      <c r="E80" s="500"/>
      <c r="F80" s="630"/>
      <c r="H80" s="540"/>
      <c r="I80" s="631"/>
    </row>
    <row r="81" spans="1:9" ht="36" customHeight="1">
      <c r="A81" s="570"/>
      <c r="B81" s="632" t="s">
        <v>212</v>
      </c>
      <c r="C81" s="633"/>
      <c r="D81" s="564" t="s">
        <v>412</v>
      </c>
      <c r="E81" s="459">
        <f>12190.75+170.31-10106.28</f>
        <v>2254.779999999999</v>
      </c>
      <c r="F81" s="459">
        <f>7029.69+397439.25+2913.82</f>
        <v>407382.76</v>
      </c>
      <c r="H81" s="540"/>
      <c r="I81" s="631"/>
    </row>
    <row r="82" spans="1:10" ht="39" customHeight="1">
      <c r="A82" s="550">
        <v>5</v>
      </c>
      <c r="B82" s="551" t="s">
        <v>213</v>
      </c>
      <c r="C82" s="587" t="s">
        <v>63</v>
      </c>
      <c r="D82" s="627"/>
      <c r="E82" s="451"/>
      <c r="F82" s="628"/>
      <c r="H82" s="540"/>
      <c r="I82" s="631"/>
      <c r="J82" s="637"/>
    </row>
    <row r="83" spans="1:8" ht="60.75" customHeight="1">
      <c r="A83" s="557"/>
      <c r="B83" s="616" t="s">
        <v>214</v>
      </c>
      <c r="C83" s="322"/>
      <c r="D83" s="629"/>
      <c r="E83" s="500"/>
      <c r="F83" s="630"/>
      <c r="H83" s="540"/>
    </row>
    <row r="84" spans="1:8" ht="46.5" customHeight="1">
      <c r="A84" s="570"/>
      <c r="B84" s="616" t="s">
        <v>215</v>
      </c>
      <c r="C84" s="633"/>
      <c r="D84" s="564" t="s">
        <v>412</v>
      </c>
      <c r="E84" s="459">
        <v>30000</v>
      </c>
      <c r="F84" s="459"/>
      <c r="H84" s="540"/>
    </row>
    <row r="85" spans="1:11" ht="51">
      <c r="A85" s="361">
        <v>6</v>
      </c>
      <c r="B85" s="551" t="s">
        <v>203</v>
      </c>
      <c r="C85" s="575" t="s">
        <v>204</v>
      </c>
      <c r="D85" s="613"/>
      <c r="E85" s="614"/>
      <c r="F85" s="614"/>
      <c r="H85" s="540"/>
      <c r="I85" s="631"/>
      <c r="K85" s="638"/>
    </row>
    <row r="86" spans="1:11" ht="34.5" customHeight="1">
      <c r="A86" s="639"/>
      <c r="B86" s="616" t="s">
        <v>58</v>
      </c>
      <c r="C86" s="617"/>
      <c r="D86" s="618"/>
      <c r="E86" s="619"/>
      <c r="F86" s="620"/>
      <c r="H86" s="540"/>
      <c r="I86" s="640"/>
      <c r="K86" s="612"/>
    </row>
    <row r="87" spans="1:11" ht="51" customHeight="1">
      <c r="A87" s="622"/>
      <c r="B87" s="621" t="s">
        <v>216</v>
      </c>
      <c r="C87" s="622"/>
      <c r="D87" s="623" t="s">
        <v>576</v>
      </c>
      <c r="E87" s="624"/>
      <c r="F87" s="625">
        <v>1075</v>
      </c>
      <c r="H87" s="540"/>
      <c r="K87" s="641"/>
    </row>
    <row r="88" spans="4:8" ht="18.75">
      <c r="D88" s="642"/>
      <c r="E88" s="1"/>
      <c r="F88" s="1"/>
      <c r="H88" s="540"/>
    </row>
    <row r="89" spans="4:11" ht="18.75">
      <c r="D89" s="642"/>
      <c r="E89" s="1"/>
      <c r="F89" s="1"/>
      <c r="H89" s="540"/>
      <c r="K89" s="641"/>
    </row>
    <row r="90" spans="4:8" ht="18.75">
      <c r="D90" s="642"/>
      <c r="E90" s="28"/>
      <c r="F90" s="1"/>
      <c r="H90" s="540"/>
    </row>
    <row r="91" spans="4:8" ht="18.75">
      <c r="D91" s="642"/>
      <c r="E91" s="28"/>
      <c r="F91" s="1"/>
      <c r="H91" s="540"/>
    </row>
    <row r="92" spans="4:6" ht="18.75">
      <c r="D92" s="642"/>
      <c r="E92" s="1"/>
      <c r="F92" s="1"/>
    </row>
    <row r="93" spans="4:6" ht="18.75">
      <c r="D93" s="642"/>
      <c r="E93" s="1"/>
      <c r="F93" s="1"/>
    </row>
    <row r="94" spans="4:6" ht="18.75">
      <c r="D94" s="642"/>
      <c r="E94" s="1"/>
      <c r="F94" s="1"/>
    </row>
    <row r="95" spans="4:6" ht="18.75">
      <c r="D95" s="642"/>
      <c r="E95" s="1"/>
      <c r="F95" s="1"/>
    </row>
    <row r="96" spans="4:6" ht="18.75">
      <c r="D96" s="642"/>
      <c r="E96" s="1"/>
      <c r="F96" s="1"/>
    </row>
    <row r="97" spans="4:11" ht="18.75">
      <c r="D97" s="642"/>
      <c r="E97" s="28"/>
      <c r="F97" s="1"/>
      <c r="K97" s="641"/>
    </row>
    <row r="98" spans="4:6" ht="18.75">
      <c r="D98" s="642"/>
      <c r="E98" s="28"/>
      <c r="F98" s="1"/>
    </row>
    <row r="99" spans="4:6" ht="18.75">
      <c r="D99" s="642"/>
      <c r="E99" s="28"/>
      <c r="F99" s="1"/>
    </row>
    <row r="100" spans="4:6" ht="18.75">
      <c r="D100" s="642"/>
      <c r="E100" s="28"/>
      <c r="F100" s="1"/>
    </row>
    <row r="101" spans="5:6" ht="18.75">
      <c r="E101" s="643"/>
      <c r="F101" s="1"/>
    </row>
    <row r="102" spans="4:6" ht="18.75">
      <c r="D102" s="644"/>
      <c r="E102" s="1"/>
      <c r="F102" s="28"/>
    </row>
    <row r="103" spans="5:6" ht="18.75">
      <c r="E103" s="1"/>
      <c r="F103" s="28"/>
    </row>
    <row r="104" spans="3:6" ht="18.75">
      <c r="C104" s="4"/>
      <c r="D104" s="4"/>
      <c r="E104" s="643"/>
      <c r="F104" s="28"/>
    </row>
    <row r="105" spans="3:6" ht="18.75">
      <c r="C105" s="4"/>
      <c r="D105" s="4"/>
      <c r="E105" s="643"/>
      <c r="F105" s="28"/>
    </row>
    <row r="106" spans="3:11" ht="18.75">
      <c r="C106" s="4"/>
      <c r="D106" s="4"/>
      <c r="E106" s="643"/>
      <c r="F106" s="28"/>
      <c r="K106" s="641"/>
    </row>
    <row r="107" spans="3:6" ht="18.75">
      <c r="C107" s="4"/>
      <c r="D107" s="4"/>
      <c r="E107" s="72"/>
      <c r="F107" s="645"/>
    </row>
    <row r="108" spans="3:6" ht="18.75">
      <c r="C108" s="4"/>
      <c r="D108" s="4"/>
      <c r="E108" s="72"/>
      <c r="F108" s="645"/>
    </row>
    <row r="109" spans="3:6" ht="18.75">
      <c r="C109" s="4"/>
      <c r="D109" s="4"/>
      <c r="E109" s="28"/>
      <c r="F109" s="28"/>
    </row>
    <row r="110" spans="3:6" ht="18.75">
      <c r="C110" s="4"/>
      <c r="D110" s="4"/>
      <c r="E110" s="72"/>
      <c r="F110" s="645"/>
    </row>
    <row r="111" spans="3:6" ht="18.75">
      <c r="C111" s="4"/>
      <c r="D111" s="4"/>
      <c r="E111" s="28"/>
      <c r="F111" s="28"/>
    </row>
    <row r="112" spans="3:6" ht="18.75">
      <c r="C112" s="4"/>
      <c r="D112" s="4"/>
      <c r="E112" s="28"/>
      <c r="F112" s="28"/>
    </row>
    <row r="113" spans="3:6" ht="18.75">
      <c r="C113" s="4"/>
      <c r="D113" s="4"/>
      <c r="E113" s="28"/>
      <c r="F113" s="28"/>
    </row>
    <row r="114" spans="3:6" ht="18.75">
      <c r="C114" s="4"/>
      <c r="D114" s="4"/>
      <c r="E114" s="28"/>
      <c r="F114" s="28"/>
    </row>
    <row r="115" spans="3:6" ht="18.75">
      <c r="C115" s="4"/>
      <c r="D115" s="4"/>
      <c r="E115" s="28"/>
      <c r="F115" s="28"/>
    </row>
    <row r="116" spans="3:6" ht="18.75">
      <c r="C116" s="4"/>
      <c r="D116" s="4"/>
      <c r="E116" s="28"/>
      <c r="F116" s="28"/>
    </row>
    <row r="117" spans="3:6" ht="18.75">
      <c r="C117" s="4"/>
      <c r="D117" s="4"/>
      <c r="E117" s="28"/>
      <c r="F117" s="28"/>
    </row>
    <row r="118" spans="3:6" ht="18.75">
      <c r="C118" s="4"/>
      <c r="D118" s="4"/>
      <c r="E118" s="28"/>
      <c r="F118" s="28"/>
    </row>
    <row r="119" spans="5:6" ht="18.75">
      <c r="E119" s="28"/>
      <c r="F119" s="28"/>
    </row>
    <row r="120" spans="5:6" ht="18.75">
      <c r="E120" s="28"/>
      <c r="F120" s="28"/>
    </row>
    <row r="121" spans="5:6" ht="18.75">
      <c r="E121" s="28"/>
      <c r="F121" s="28"/>
    </row>
    <row r="122" spans="5:6" ht="18.75">
      <c r="E122" s="28"/>
      <c r="F122" s="28"/>
    </row>
    <row r="123" spans="5:6" ht="18.75">
      <c r="E123" s="28"/>
      <c r="F123" s="28"/>
    </row>
    <row r="124" spans="5:6" ht="18.75">
      <c r="E124" s="28"/>
      <c r="F124" s="28"/>
    </row>
    <row r="125" spans="5:6" ht="18.75">
      <c r="E125" s="28"/>
      <c r="F125" s="28"/>
    </row>
    <row r="126" spans="5:6" ht="18.75">
      <c r="E126" s="28"/>
      <c r="F126" s="28"/>
    </row>
    <row r="127" spans="5:6" ht="18.75">
      <c r="E127" s="28"/>
      <c r="F127" s="28"/>
    </row>
    <row r="128" spans="5:6" ht="18.75">
      <c r="E128" s="28"/>
      <c r="F128" s="28"/>
    </row>
    <row r="129" spans="5:6" ht="18.75">
      <c r="E129" s="28"/>
      <c r="F129" s="28"/>
    </row>
    <row r="130" spans="5:6" ht="18.75">
      <c r="E130" s="28"/>
      <c r="F130" s="28"/>
    </row>
    <row r="131" spans="5:6" ht="18.75">
      <c r="E131" s="28"/>
      <c r="F131" s="28"/>
    </row>
    <row r="132" spans="5:6" ht="18.75">
      <c r="E132" s="28"/>
      <c r="F132" s="28"/>
    </row>
    <row r="133" spans="5:6" ht="18.75">
      <c r="E133" s="28"/>
      <c r="F133" s="28"/>
    </row>
    <row r="134" spans="5:6" ht="18.75">
      <c r="E134" s="28"/>
      <c r="F134" s="28"/>
    </row>
    <row r="135" spans="5:6" ht="18.75">
      <c r="E135" s="28"/>
      <c r="F135" s="28"/>
    </row>
    <row r="136" spans="5:6" ht="18.75">
      <c r="E136" s="28"/>
      <c r="F136" s="28"/>
    </row>
    <row r="137" spans="5:6" ht="18.75">
      <c r="E137" s="28"/>
      <c r="F137" s="28"/>
    </row>
    <row r="138" spans="5:6" ht="18.75">
      <c r="E138" s="28"/>
      <c r="F138" s="28"/>
    </row>
    <row r="139" spans="5:6" ht="18.75">
      <c r="E139" s="28"/>
      <c r="F139" s="28"/>
    </row>
    <row r="140" spans="5:6" ht="18.75">
      <c r="E140" s="28"/>
      <c r="F140" s="28"/>
    </row>
    <row r="141" spans="5:6" ht="18.75">
      <c r="E141" s="28"/>
      <c r="F141" s="28"/>
    </row>
    <row r="142" spans="5:6" ht="18.75">
      <c r="E142" s="28"/>
      <c r="F142" s="28"/>
    </row>
    <row r="143" spans="5:6" ht="18.75">
      <c r="E143" s="28"/>
      <c r="F143" s="28"/>
    </row>
    <row r="144" spans="5:6" ht="18.75">
      <c r="E144" s="28"/>
      <c r="F144" s="28"/>
    </row>
    <row r="145" spans="5:6" ht="18.75">
      <c r="E145" s="28"/>
      <c r="F145" s="28"/>
    </row>
    <row r="146" spans="5:6" ht="18.75">
      <c r="E146" s="28"/>
      <c r="F146" s="28"/>
    </row>
    <row r="147" spans="5:6" ht="18.75">
      <c r="E147" s="28"/>
      <c r="F147" s="28"/>
    </row>
    <row r="148" spans="5:6" ht="18.75">
      <c r="E148" s="28"/>
      <c r="F148" s="28"/>
    </row>
    <row r="149" spans="5:6" ht="18.75">
      <c r="E149" s="28"/>
      <c r="F149" s="28"/>
    </row>
    <row r="150" spans="5:6" ht="18.75">
      <c r="E150" s="28"/>
      <c r="F150" s="28"/>
    </row>
    <row r="151" spans="5:6" ht="18.75">
      <c r="E151" s="28"/>
      <c r="F151" s="28"/>
    </row>
    <row r="152" spans="5:6" ht="18.75">
      <c r="E152" s="28"/>
      <c r="F152" s="28"/>
    </row>
    <row r="153" spans="5:6" ht="18.75">
      <c r="E153" s="28"/>
      <c r="F153" s="28"/>
    </row>
    <row r="154" spans="5:6" ht="18.75">
      <c r="E154" s="28"/>
      <c r="F154" s="28"/>
    </row>
    <row r="155" spans="5:6" ht="18.75">
      <c r="E155" s="28"/>
      <c r="F155" s="28"/>
    </row>
    <row r="156" spans="5:6" ht="18.75">
      <c r="E156" s="28"/>
      <c r="F156" s="28"/>
    </row>
    <row r="157" spans="5:6" ht="18.75">
      <c r="E157" s="28"/>
      <c r="F157" s="28"/>
    </row>
    <row r="158" spans="5:6" ht="18.75">
      <c r="E158" s="28"/>
      <c r="F158" s="28"/>
    </row>
    <row r="159" spans="5:6" ht="18.75">
      <c r="E159" s="28"/>
      <c r="F159" s="28"/>
    </row>
    <row r="160" spans="5:6" ht="18.75">
      <c r="E160" s="28"/>
      <c r="F160" s="28"/>
    </row>
    <row r="161" spans="5:6" ht="18.75">
      <c r="E161" s="28"/>
      <c r="F161" s="28"/>
    </row>
    <row r="162" spans="5:6" ht="18.75">
      <c r="E162" s="28"/>
      <c r="F162" s="28"/>
    </row>
    <row r="163" spans="5:6" ht="18.75">
      <c r="E163" s="28"/>
      <c r="F163" s="28"/>
    </row>
    <row r="164" spans="5:6" ht="18.75">
      <c r="E164" s="28"/>
      <c r="F164" s="28"/>
    </row>
    <row r="165" spans="5:6" ht="18.75">
      <c r="E165" s="28"/>
      <c r="F165" s="28"/>
    </row>
    <row r="166" spans="5:6" ht="18.75">
      <c r="E166" s="28"/>
      <c r="F166" s="28"/>
    </row>
    <row r="167" spans="5:6" ht="18.75">
      <c r="E167" s="28"/>
      <c r="F167" s="28"/>
    </row>
    <row r="168" spans="5:6" ht="18.75">
      <c r="E168" s="28"/>
      <c r="F168" s="28"/>
    </row>
    <row r="169" spans="5:6" ht="18.75">
      <c r="E169" s="28"/>
      <c r="F169" s="28"/>
    </row>
    <row r="170" spans="5:6" ht="18.75">
      <c r="E170" s="28"/>
      <c r="F170" s="28"/>
    </row>
    <row r="171" spans="5:6" ht="18.75">
      <c r="E171" s="28"/>
      <c r="F171" s="28"/>
    </row>
    <row r="172" spans="5:6" ht="18.75">
      <c r="E172" s="28"/>
      <c r="F172" s="28"/>
    </row>
    <row r="173" spans="5:6" ht="18.75">
      <c r="E173" s="28"/>
      <c r="F173" s="28"/>
    </row>
    <row r="174" spans="5:6" ht="18.75">
      <c r="E174" s="28"/>
      <c r="F174" s="28"/>
    </row>
    <row r="175" spans="5:6" ht="18.75">
      <c r="E175" s="28"/>
      <c r="F175" s="28"/>
    </row>
    <row r="176" spans="5:6" ht="18.75">
      <c r="E176" s="28"/>
      <c r="F176" s="28"/>
    </row>
    <row r="177" spans="5:6" ht="18.75">
      <c r="E177" s="28"/>
      <c r="F177" s="28"/>
    </row>
    <row r="178" spans="5:6" ht="18.75">
      <c r="E178" s="28"/>
      <c r="F178" s="28"/>
    </row>
    <row r="179" spans="5:6" ht="18.75">
      <c r="E179" s="28"/>
      <c r="F179" s="28"/>
    </row>
    <row r="180" spans="5:6" ht="18.75">
      <c r="E180" s="28"/>
      <c r="F180" s="28"/>
    </row>
    <row r="181" spans="5:6" ht="18.75">
      <c r="E181" s="28"/>
      <c r="F181" s="28"/>
    </row>
    <row r="182" spans="5:6" ht="18.75">
      <c r="E182" s="28"/>
      <c r="F182" s="28"/>
    </row>
    <row r="183" spans="5:6" ht="18.75">
      <c r="E183" s="28"/>
      <c r="F183" s="28"/>
    </row>
    <row r="184" spans="5:6" ht="18.75">
      <c r="E184" s="28"/>
      <c r="F184" s="28"/>
    </row>
    <row r="185" spans="5:6" ht="18.75">
      <c r="E185" s="28"/>
      <c r="F185" s="28"/>
    </row>
    <row r="186" spans="5:6" ht="18.75">
      <c r="E186" s="28"/>
      <c r="F186" s="28"/>
    </row>
    <row r="187" spans="5:6" ht="18.75">
      <c r="E187" s="28"/>
      <c r="F187" s="28"/>
    </row>
    <row r="188" spans="5:6" ht="18.75">
      <c r="E188" s="28"/>
      <c r="F188" s="28"/>
    </row>
    <row r="189" spans="5:6" ht="18.75">
      <c r="E189" s="28"/>
      <c r="F189" s="28"/>
    </row>
    <row r="190" spans="5:6" ht="18.75">
      <c r="E190" s="28"/>
      <c r="F190" s="28"/>
    </row>
    <row r="191" spans="5:6" ht="18.75">
      <c r="E191" s="28"/>
      <c r="F191" s="28"/>
    </row>
    <row r="192" spans="5:6" ht="18.75">
      <c r="E192" s="28"/>
      <c r="F192" s="28"/>
    </row>
    <row r="193" spans="5:6" ht="18.75">
      <c r="E193" s="28"/>
      <c r="F193" s="28"/>
    </row>
    <row r="194" spans="5:6" ht="18.75">
      <c r="E194" s="28"/>
      <c r="F194" s="28"/>
    </row>
    <row r="195" spans="5:6" ht="18.75">
      <c r="E195" s="28"/>
      <c r="F195" s="28"/>
    </row>
    <row r="196" spans="5:6" ht="18.75">
      <c r="E196" s="28"/>
      <c r="F196" s="28"/>
    </row>
    <row r="197" spans="5:6" ht="18.75">
      <c r="E197" s="28"/>
      <c r="F197" s="28"/>
    </row>
    <row r="198" spans="5:6" ht="18.75">
      <c r="E198" s="28"/>
      <c r="F198" s="28"/>
    </row>
    <row r="199" spans="5:6" ht="18.75">
      <c r="E199" s="28"/>
      <c r="F199" s="28"/>
    </row>
    <row r="200" spans="5:6" ht="18.75">
      <c r="E200" s="28"/>
      <c r="F200" s="28"/>
    </row>
    <row r="201" spans="5:6" ht="18.75">
      <c r="E201" s="28"/>
      <c r="F201" s="28"/>
    </row>
    <row r="202" spans="5:6" ht="18.75">
      <c r="E202" s="28"/>
      <c r="F202" s="28"/>
    </row>
    <row r="203" spans="5:6" ht="18.75">
      <c r="E203" s="28"/>
      <c r="F203" s="28"/>
    </row>
    <row r="204" spans="5:6" ht="18.75">
      <c r="E204" s="28"/>
      <c r="F204" s="28"/>
    </row>
    <row r="205" spans="5:6" ht="18.75">
      <c r="E205" s="28"/>
      <c r="F205" s="28"/>
    </row>
    <row r="206" spans="5:6" ht="18.75">
      <c r="E206" s="28"/>
      <c r="F206" s="28"/>
    </row>
    <row r="207" spans="5:6" ht="18.75">
      <c r="E207" s="28"/>
      <c r="F207" s="28"/>
    </row>
    <row r="208" spans="5:6" ht="18.75">
      <c r="E208" s="28"/>
      <c r="F208" s="28"/>
    </row>
    <row r="209" spans="5:6" ht="18.75">
      <c r="E209" s="28"/>
      <c r="F209" s="28"/>
    </row>
    <row r="210" spans="5:6" ht="18.75">
      <c r="E210" s="28"/>
      <c r="F210" s="28"/>
    </row>
    <row r="211" spans="5:6" ht="18.75">
      <c r="E211" s="28"/>
      <c r="F211" s="28"/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A1">
      <selection activeCell="G46" sqref="G46"/>
    </sheetView>
  </sheetViews>
  <sheetFormatPr defaultColWidth="9.140625" defaultRowHeight="12.75"/>
  <cols>
    <col min="1" max="1" width="4.57421875" style="2" customWidth="1"/>
    <col min="2" max="2" width="24.7109375" style="2" customWidth="1"/>
    <col min="3" max="3" width="45.8515625" style="425" customWidth="1"/>
    <col min="4" max="4" width="20.57421875" style="2" customWidth="1"/>
    <col min="5" max="5" width="12.7109375" style="4" customWidth="1"/>
    <col min="6" max="6" width="19.7109375" style="2" customWidth="1"/>
    <col min="7" max="7" width="18.00390625" style="2" customWidth="1"/>
    <col min="8" max="8" width="28.140625" style="2" customWidth="1"/>
    <col min="9" max="16384" width="9.140625" style="2" customWidth="1"/>
  </cols>
  <sheetData>
    <row r="1" ht="19.5" customHeight="1">
      <c r="C1" s="214" t="s">
        <v>249</v>
      </c>
    </row>
    <row r="2" ht="19.5" customHeight="1">
      <c r="C2" s="216" t="s">
        <v>175</v>
      </c>
    </row>
    <row r="3" ht="19.5" customHeight="1">
      <c r="C3" s="216" t="s">
        <v>322</v>
      </c>
    </row>
    <row r="4" ht="19.5" customHeight="1">
      <c r="C4" s="216" t="s">
        <v>376</v>
      </c>
    </row>
    <row r="5" ht="15" customHeight="1"/>
    <row r="6" ht="14.25" customHeight="1"/>
    <row r="7" spans="1:5" s="26" customFormat="1" ht="19.5" customHeight="1">
      <c r="A7" s="426" t="s">
        <v>669</v>
      </c>
      <c r="B7" s="427"/>
      <c r="C7" s="213"/>
      <c r="D7" s="2"/>
      <c r="E7" s="4"/>
    </row>
    <row r="8" spans="1:5" s="26" customFormat="1" ht="19.5" customHeight="1">
      <c r="A8" s="426" t="s">
        <v>670</v>
      </c>
      <c r="B8" s="427"/>
      <c r="C8" s="213"/>
      <c r="D8" s="2"/>
      <c r="E8" s="4"/>
    </row>
    <row r="9" spans="1:3" ht="18.75" customHeight="1">
      <c r="A9" s="426"/>
      <c r="B9" s="49"/>
      <c r="C9" s="213"/>
    </row>
    <row r="10" spans="1:2" ht="13.5">
      <c r="A10" s="115" t="s">
        <v>276</v>
      </c>
      <c r="B10" s="428"/>
    </row>
    <row r="11" spans="3:4" ht="11.25" customHeight="1">
      <c r="C11" s="429"/>
      <c r="D11" s="430" t="s">
        <v>332</v>
      </c>
    </row>
    <row r="12" spans="1:6" ht="42.75" customHeight="1">
      <c r="A12" s="299" t="s">
        <v>335</v>
      </c>
      <c r="B12" s="299" t="s">
        <v>671</v>
      </c>
      <c r="C12" s="282" t="s">
        <v>672</v>
      </c>
      <c r="D12" s="431" t="s">
        <v>673</v>
      </c>
      <c r="F12" s="432"/>
    </row>
    <row r="13" spans="1:7" s="49" customFormat="1" ht="22.5" customHeight="1">
      <c r="A13" s="433" t="s">
        <v>674</v>
      </c>
      <c r="B13" s="434"/>
      <c r="C13" s="435"/>
      <c r="D13" s="436">
        <f>D14+D28</f>
        <v>9044462.07</v>
      </c>
      <c r="E13" s="3"/>
      <c r="F13" s="437"/>
      <c r="G13" s="3"/>
    </row>
    <row r="14" spans="1:7" s="49" customFormat="1" ht="24.75" customHeight="1">
      <c r="A14" s="438" t="s">
        <v>675</v>
      </c>
      <c r="B14" s="439"/>
      <c r="C14" s="440"/>
      <c r="D14" s="436">
        <f>D15</f>
        <v>2023158</v>
      </c>
      <c r="E14" s="441"/>
      <c r="F14" s="3"/>
      <c r="G14" s="3"/>
    </row>
    <row r="15" spans="1:7" s="49" customFormat="1" ht="30" customHeight="1">
      <c r="A15" s="442">
        <v>801</v>
      </c>
      <c r="B15" s="443" t="s">
        <v>459</v>
      </c>
      <c r="C15" s="444"/>
      <c r="D15" s="445">
        <f>SUM(D16:D27)</f>
        <v>2023158</v>
      </c>
      <c r="E15" s="446"/>
      <c r="G15" s="3"/>
    </row>
    <row r="16" spans="1:5" s="49" customFormat="1" ht="25.5" customHeight="1">
      <c r="A16" s="442"/>
      <c r="B16" s="447"/>
      <c r="C16" s="444" t="s">
        <v>676</v>
      </c>
      <c r="D16" s="448">
        <v>40000</v>
      </c>
      <c r="E16" s="446"/>
    </row>
    <row r="17" spans="1:5" s="49" customFormat="1" ht="17.25" customHeight="1">
      <c r="A17" s="449"/>
      <c r="B17" s="447"/>
      <c r="C17" s="286" t="s">
        <v>677</v>
      </c>
      <c r="D17" s="448">
        <f>325260-20000</f>
        <v>305260</v>
      </c>
      <c r="E17" s="3"/>
    </row>
    <row r="18" spans="1:5" s="49" customFormat="1" ht="18.75" customHeight="1">
      <c r="A18" s="449"/>
      <c r="B18" s="450"/>
      <c r="C18" s="286" t="s">
        <v>678</v>
      </c>
      <c r="D18" s="448">
        <f>587136-20000</f>
        <v>567136</v>
      </c>
      <c r="E18" s="3"/>
    </row>
    <row r="19" spans="1:5" s="49" customFormat="1" ht="18.75" customHeight="1">
      <c r="A19" s="449"/>
      <c r="B19" s="450"/>
      <c r="C19" s="286" t="s">
        <v>679</v>
      </c>
      <c r="D19" s="448">
        <f>66720-15000</f>
        <v>51720</v>
      </c>
      <c r="E19" s="3"/>
    </row>
    <row r="20" spans="1:5" s="49" customFormat="1" ht="18.75" customHeight="1">
      <c r="A20" s="449"/>
      <c r="B20" s="450"/>
      <c r="C20" s="286" t="s">
        <v>680</v>
      </c>
      <c r="D20" s="448">
        <f>108982-90000</f>
        <v>18982</v>
      </c>
      <c r="E20" s="3"/>
    </row>
    <row r="21" spans="1:5" s="49" customFormat="1" ht="18.75" customHeight="1">
      <c r="A21" s="449"/>
      <c r="B21" s="450"/>
      <c r="C21" s="286" t="s">
        <v>681</v>
      </c>
      <c r="D21" s="448">
        <v>70060</v>
      </c>
      <c r="E21" s="3"/>
    </row>
    <row r="22" spans="1:5" s="49" customFormat="1" ht="18.75" customHeight="1">
      <c r="A22" s="449"/>
      <c r="B22" s="450"/>
      <c r="C22" s="286" t="s">
        <v>682</v>
      </c>
      <c r="D22" s="448">
        <v>570172</v>
      </c>
      <c r="E22" s="3"/>
    </row>
    <row r="23" spans="1:6" s="49" customFormat="1" ht="21.75" customHeight="1">
      <c r="A23" s="449"/>
      <c r="B23" s="450"/>
      <c r="C23" s="286" t="s">
        <v>683</v>
      </c>
      <c r="D23" s="448">
        <f>80880-30000</f>
        <v>50880</v>
      </c>
      <c r="E23" s="3"/>
      <c r="F23" s="3"/>
    </row>
    <row r="24" spans="1:5" s="49" customFormat="1" ht="18.75" customHeight="1">
      <c r="A24" s="449"/>
      <c r="B24" s="450"/>
      <c r="C24" s="286" t="s">
        <v>684</v>
      </c>
      <c r="D24" s="448">
        <v>133548</v>
      </c>
      <c r="E24" s="3"/>
    </row>
    <row r="25" spans="1:5" s="49" customFormat="1" ht="21" customHeight="1">
      <c r="A25" s="449"/>
      <c r="B25" s="450"/>
      <c r="C25" s="286" t="s">
        <v>685</v>
      </c>
      <c r="D25" s="448">
        <v>60312</v>
      </c>
      <c r="E25" s="3"/>
    </row>
    <row r="26" spans="1:5" s="49" customFormat="1" ht="21" customHeight="1">
      <c r="A26" s="449"/>
      <c r="B26" s="450"/>
      <c r="C26" s="286" t="s">
        <v>686</v>
      </c>
      <c r="D26" s="451">
        <v>103392</v>
      </c>
      <c r="E26" s="3"/>
    </row>
    <row r="27" spans="1:5" s="49" customFormat="1" ht="21" customHeight="1">
      <c r="A27" s="449"/>
      <c r="B27" s="450"/>
      <c r="C27" s="291" t="s">
        <v>687</v>
      </c>
      <c r="D27" s="451">
        <v>51696</v>
      </c>
      <c r="E27" s="3"/>
    </row>
    <row r="28" spans="1:5" s="49" customFormat="1" ht="24.75" customHeight="1">
      <c r="A28" s="438" t="s">
        <v>688</v>
      </c>
      <c r="B28" s="439"/>
      <c r="C28" s="440"/>
      <c r="D28" s="452">
        <f>D29+D40+D44+D50+D54+D58</f>
        <v>7021304.07</v>
      </c>
      <c r="E28" s="3"/>
    </row>
    <row r="29" spans="1:5" s="49" customFormat="1" ht="21.75" customHeight="1">
      <c r="A29" s="303">
        <v>851</v>
      </c>
      <c r="B29" s="453" t="s">
        <v>495</v>
      </c>
      <c r="C29" s="454"/>
      <c r="D29" s="455">
        <f>SUM(D30:D39)</f>
        <v>979000</v>
      </c>
      <c r="E29" s="446"/>
    </row>
    <row r="30" spans="1:5" s="49" customFormat="1" ht="35.25" customHeight="1">
      <c r="A30" s="361"/>
      <c r="B30" s="456"/>
      <c r="C30" s="286" t="s">
        <v>689</v>
      </c>
      <c r="D30" s="448">
        <v>95000</v>
      </c>
      <c r="E30" s="3"/>
    </row>
    <row r="31" spans="1:5" s="49" customFormat="1" ht="27.75" customHeight="1">
      <c r="A31" s="334"/>
      <c r="B31" s="457"/>
      <c r="C31" s="286" t="s">
        <v>690</v>
      </c>
      <c r="D31" s="448">
        <v>440000</v>
      </c>
      <c r="E31" s="3"/>
    </row>
    <row r="32" spans="1:5" s="49" customFormat="1" ht="48" customHeight="1">
      <c r="A32" s="334"/>
      <c r="B32" s="457"/>
      <c r="C32" s="286" t="s">
        <v>691</v>
      </c>
      <c r="D32" s="448">
        <v>50000</v>
      </c>
      <c r="E32" s="3"/>
    </row>
    <row r="33" spans="1:5" s="49" customFormat="1" ht="27.75" customHeight="1">
      <c r="A33" s="334"/>
      <c r="B33" s="457"/>
      <c r="C33" s="286" t="s">
        <v>692</v>
      </c>
      <c r="D33" s="448">
        <v>10000</v>
      </c>
      <c r="E33" s="3"/>
    </row>
    <row r="34" spans="1:5" s="49" customFormat="1" ht="48.75" customHeight="1">
      <c r="A34" s="334"/>
      <c r="B34" s="457"/>
      <c r="C34" s="286" t="s">
        <v>693</v>
      </c>
      <c r="D34" s="448">
        <f>35000+67000</f>
        <v>102000</v>
      </c>
      <c r="E34" s="3"/>
    </row>
    <row r="35" spans="1:5" s="49" customFormat="1" ht="30.75" customHeight="1">
      <c r="A35" s="334"/>
      <c r="B35" s="457"/>
      <c r="C35" s="286" t="s">
        <v>694</v>
      </c>
      <c r="D35" s="448">
        <v>60000</v>
      </c>
      <c r="E35" s="3"/>
    </row>
    <row r="36" spans="1:5" s="49" customFormat="1" ht="27.75" customHeight="1">
      <c r="A36" s="334"/>
      <c r="B36" s="457"/>
      <c r="C36" s="286" t="s">
        <v>695</v>
      </c>
      <c r="D36" s="448">
        <v>101000</v>
      </c>
      <c r="E36" s="3"/>
    </row>
    <row r="37" spans="1:5" s="49" customFormat="1" ht="31.5" customHeight="1">
      <c r="A37" s="334"/>
      <c r="B37" s="457"/>
      <c r="C37" s="286" t="s">
        <v>696</v>
      </c>
      <c r="D37" s="448">
        <v>90000</v>
      </c>
      <c r="E37" s="3"/>
    </row>
    <row r="38" spans="1:5" s="49" customFormat="1" ht="25.5" customHeight="1">
      <c r="A38" s="334"/>
      <c r="B38" s="457"/>
      <c r="C38" s="286" t="s">
        <v>697</v>
      </c>
      <c r="D38" s="448">
        <v>25000</v>
      </c>
      <c r="E38" s="3"/>
    </row>
    <row r="39" spans="1:5" s="49" customFormat="1" ht="23.25" customHeight="1">
      <c r="A39" s="334"/>
      <c r="B39" s="457"/>
      <c r="C39" s="458" t="s">
        <v>698</v>
      </c>
      <c r="D39" s="459">
        <v>6000</v>
      </c>
      <c r="E39" s="3"/>
    </row>
    <row r="40" spans="1:6" s="49" customFormat="1" ht="21" customHeight="1">
      <c r="A40" s="361">
        <v>852</v>
      </c>
      <c r="B40" s="460" t="s">
        <v>639</v>
      </c>
      <c r="C40" s="454"/>
      <c r="D40" s="461">
        <f>SUM(D41:D43)</f>
        <v>1485000</v>
      </c>
      <c r="E40" s="3"/>
      <c r="F40" s="3"/>
    </row>
    <row r="41" spans="1:6" s="49" customFormat="1" ht="27" customHeight="1">
      <c r="A41" s="462"/>
      <c r="B41" s="460"/>
      <c r="C41" s="463" t="s">
        <v>699</v>
      </c>
      <c r="D41" s="448">
        <v>1200000</v>
      </c>
      <c r="E41" s="3"/>
      <c r="F41" s="3"/>
    </row>
    <row r="42" spans="1:6" s="49" customFormat="1" ht="26.25" customHeight="1">
      <c r="A42" s="341"/>
      <c r="B42" s="464"/>
      <c r="C42" s="465" t="s">
        <v>700</v>
      </c>
      <c r="D42" s="448">
        <f>200000</f>
        <v>200000</v>
      </c>
      <c r="E42" s="3"/>
      <c r="F42" s="3"/>
    </row>
    <row r="43" spans="1:6" s="49" customFormat="1" ht="32.25" customHeight="1">
      <c r="A43" s="341"/>
      <c r="B43" s="464"/>
      <c r="C43" s="465" t="s">
        <v>701</v>
      </c>
      <c r="D43" s="448">
        <v>85000</v>
      </c>
      <c r="E43" s="3"/>
      <c r="F43" s="3"/>
    </row>
    <row r="44" spans="1:9" s="49" customFormat="1" ht="39" customHeight="1">
      <c r="A44" s="271">
        <v>853</v>
      </c>
      <c r="B44" s="466" t="s">
        <v>500</v>
      </c>
      <c r="C44" s="467"/>
      <c r="D44" s="445">
        <f>SUM(D45:D49)</f>
        <v>2113304.07</v>
      </c>
      <c r="E44" s="3"/>
      <c r="F44" s="3"/>
      <c r="H44" s="379"/>
      <c r="I44" s="379"/>
    </row>
    <row r="45" spans="1:9" s="49" customFormat="1" ht="28.5" customHeight="1">
      <c r="A45" s="341"/>
      <c r="B45" s="464"/>
      <c r="C45" s="467" t="s">
        <v>702</v>
      </c>
      <c r="D45" s="448">
        <v>168000</v>
      </c>
      <c r="E45" s="3"/>
      <c r="F45" s="3"/>
      <c r="H45" s="379"/>
      <c r="I45" s="379"/>
    </row>
    <row r="46" spans="1:9" s="49" customFormat="1" ht="36" customHeight="1">
      <c r="A46" s="341"/>
      <c r="B46" s="464"/>
      <c r="C46" s="951" t="s">
        <v>147</v>
      </c>
      <c r="D46" s="870">
        <f>9000+40000</f>
        <v>49000</v>
      </c>
      <c r="E46" s="3"/>
      <c r="F46" s="3"/>
      <c r="H46" s="969"/>
      <c r="I46" s="379"/>
    </row>
    <row r="47" spans="1:9" s="49" customFormat="1" ht="40.5" customHeight="1">
      <c r="A47" s="341"/>
      <c r="B47" s="464"/>
      <c r="C47" s="465" t="s">
        <v>703</v>
      </c>
      <c r="D47" s="448">
        <f>1360000+240000</f>
        <v>1600000</v>
      </c>
      <c r="E47" s="3"/>
      <c r="F47" s="3"/>
      <c r="H47" s="379"/>
      <c r="I47" s="379"/>
    </row>
    <row r="48" spans="1:6" s="49" customFormat="1" ht="40.5" customHeight="1">
      <c r="A48" s="341"/>
      <c r="B48" s="464"/>
      <c r="C48" s="465" t="s">
        <v>704</v>
      </c>
      <c r="D48" s="448">
        <v>221000</v>
      </c>
      <c r="E48" s="3"/>
      <c r="F48" s="3"/>
    </row>
    <row r="49" spans="1:5" s="49" customFormat="1" ht="42.75" customHeight="1">
      <c r="A49" s="341"/>
      <c r="B49" s="464"/>
      <c r="C49" s="465" t="s">
        <v>705</v>
      </c>
      <c r="D49" s="448">
        <f>58174.85+10266.15+5833.61+1029.46</f>
        <v>75304.07</v>
      </c>
      <c r="E49" s="3"/>
    </row>
    <row r="50" spans="1:5" s="49" customFormat="1" ht="37.5" customHeight="1">
      <c r="A50" s="361">
        <v>900</v>
      </c>
      <c r="B50" s="468" t="s">
        <v>706</v>
      </c>
      <c r="C50" s="469"/>
      <c r="D50" s="436">
        <f>SUM(D51:D53)</f>
        <v>450000</v>
      </c>
      <c r="E50" s="3"/>
    </row>
    <row r="51" spans="1:5" s="49" customFormat="1" ht="62.25" customHeight="1">
      <c r="A51" s="381"/>
      <c r="B51" s="470"/>
      <c r="C51" s="471" t="s">
        <v>707</v>
      </c>
      <c r="D51" s="448">
        <v>270000</v>
      </c>
      <c r="E51" s="3"/>
    </row>
    <row r="52" spans="1:5" s="475" customFormat="1" ht="42.75" customHeight="1">
      <c r="A52" s="366"/>
      <c r="B52" s="472"/>
      <c r="C52" s="473" t="s">
        <v>708</v>
      </c>
      <c r="D52" s="474">
        <v>30000</v>
      </c>
      <c r="E52" s="446"/>
    </row>
    <row r="53" spans="1:5" s="49" customFormat="1" ht="37.5" customHeight="1">
      <c r="A53" s="476"/>
      <c r="B53" s="477"/>
      <c r="C53" s="473" t="s">
        <v>709</v>
      </c>
      <c r="D53" s="448">
        <f>50000+100000</f>
        <v>150000</v>
      </c>
      <c r="E53" s="3"/>
    </row>
    <row r="54" spans="1:5" s="49" customFormat="1" ht="39" customHeight="1">
      <c r="A54" s="271">
        <v>921</v>
      </c>
      <c r="B54" s="478" t="s">
        <v>0</v>
      </c>
      <c r="C54" s="466"/>
      <c r="D54" s="436">
        <f>SUM(D55:D57)</f>
        <v>173000</v>
      </c>
      <c r="E54" s="3"/>
    </row>
    <row r="55" spans="1:5" s="49" customFormat="1" ht="31.5" customHeight="1">
      <c r="A55" s="366"/>
      <c r="B55" s="472"/>
      <c r="C55" s="479" t="s">
        <v>553</v>
      </c>
      <c r="D55" s="448">
        <f>60000+40000</f>
        <v>100000</v>
      </c>
      <c r="E55" s="3"/>
    </row>
    <row r="56" spans="1:5" s="49" customFormat="1" ht="31.5" customHeight="1">
      <c r="A56" s="366"/>
      <c r="B56" s="472"/>
      <c r="C56" s="776" t="s">
        <v>554</v>
      </c>
      <c r="D56" s="448">
        <v>45000</v>
      </c>
      <c r="E56" s="3"/>
    </row>
    <row r="57" spans="1:5" s="49" customFormat="1" ht="28.5" customHeight="1">
      <c r="A57" s="476"/>
      <c r="B57" s="477"/>
      <c r="C57" s="480" t="s">
        <v>1</v>
      </c>
      <c r="D57" s="448">
        <v>28000</v>
      </c>
      <c r="E57" s="3"/>
    </row>
    <row r="58" spans="1:10" s="49" customFormat="1" ht="29.25" customHeight="1">
      <c r="A58" s="303">
        <v>926</v>
      </c>
      <c r="B58" s="481" t="s">
        <v>2</v>
      </c>
      <c r="C58" s="469"/>
      <c r="D58" s="436">
        <f>SUM(D59:D61)</f>
        <v>1821000</v>
      </c>
      <c r="E58" s="3"/>
      <c r="F58" s="383"/>
      <c r="G58" s="383"/>
      <c r="H58" s="383"/>
      <c r="I58" s="383"/>
      <c r="J58" s="383"/>
    </row>
    <row r="59" spans="1:10" s="414" customFormat="1" ht="69.75" customHeight="1">
      <c r="A59" s="381"/>
      <c r="B59" s="234"/>
      <c r="C59" s="480" t="s">
        <v>3</v>
      </c>
      <c r="D59" s="482">
        <v>1700000</v>
      </c>
      <c r="E59" s="3"/>
      <c r="F59" s="483"/>
      <c r="G59" s="483"/>
      <c r="H59" s="483"/>
      <c r="I59" s="483"/>
      <c r="J59" s="483"/>
    </row>
    <row r="60" spans="1:10" s="414" customFormat="1" ht="33" customHeight="1">
      <c r="A60" s="484"/>
      <c r="B60" s="322"/>
      <c r="C60" s="485" t="s">
        <v>4</v>
      </c>
      <c r="D60" s="482">
        <f>115000-19000</f>
        <v>96000</v>
      </c>
      <c r="E60" s="3"/>
      <c r="F60" s="483"/>
      <c r="G60" s="483"/>
      <c r="H60" s="483"/>
      <c r="I60" s="483"/>
      <c r="J60" s="483"/>
    </row>
    <row r="61" spans="1:10" s="49" customFormat="1" ht="33.75" customHeight="1">
      <c r="A61" s="484"/>
      <c r="B61" s="322"/>
      <c r="C61" s="480" t="s">
        <v>5</v>
      </c>
      <c r="D61" s="448">
        <v>25000</v>
      </c>
      <c r="E61" s="3"/>
      <c r="F61" s="432"/>
      <c r="G61" s="415"/>
      <c r="H61" s="383"/>
      <c r="I61" s="383"/>
      <c r="J61" s="383"/>
    </row>
    <row r="62" spans="1:10" s="49" customFormat="1" ht="30" customHeight="1">
      <c r="A62" s="486" t="s">
        <v>6</v>
      </c>
      <c r="B62" s="487"/>
      <c r="C62" s="488"/>
      <c r="D62" s="461">
        <f>D63+D86</f>
        <v>11076223</v>
      </c>
      <c r="E62" s="3"/>
      <c r="F62" s="489"/>
      <c r="G62" s="415"/>
      <c r="H62" s="383"/>
      <c r="I62" s="383"/>
      <c r="J62" s="383"/>
    </row>
    <row r="63" spans="1:10" s="49" customFormat="1" ht="27" customHeight="1">
      <c r="A63" s="490" t="s">
        <v>675</v>
      </c>
      <c r="B63" s="491"/>
      <c r="C63" s="492"/>
      <c r="D63" s="493">
        <f>D64+D82+D84</f>
        <v>9786223</v>
      </c>
      <c r="E63" s="3"/>
      <c r="F63" s="415"/>
      <c r="G63" s="415"/>
      <c r="H63" s="383"/>
      <c r="I63" s="383"/>
      <c r="J63" s="383"/>
    </row>
    <row r="64" spans="1:10" s="49" customFormat="1" ht="19.5" customHeight="1">
      <c r="A64" s="442">
        <v>801</v>
      </c>
      <c r="B64" s="494" t="s">
        <v>459</v>
      </c>
      <c r="C64" s="286"/>
      <c r="D64" s="445">
        <f>SUM(D65:D81)</f>
        <v>8128118</v>
      </c>
      <c r="E64" s="3"/>
      <c r="F64" s="383"/>
      <c r="G64" s="415"/>
      <c r="H64" s="383"/>
      <c r="I64" s="383"/>
      <c r="J64" s="383"/>
    </row>
    <row r="65" spans="1:10" s="49" customFormat="1" ht="30" customHeight="1">
      <c r="A65" s="495"/>
      <c r="B65" s="337"/>
      <c r="C65" s="496" t="s">
        <v>7</v>
      </c>
      <c r="D65" s="448">
        <f>460000+956468</f>
        <v>1416468</v>
      </c>
      <c r="E65" s="3"/>
      <c r="F65" s="383"/>
      <c r="G65" s="383"/>
      <c r="H65" s="383"/>
      <c r="I65" s="383"/>
      <c r="J65" s="383"/>
    </row>
    <row r="66" spans="1:10" s="49" customFormat="1" ht="26.25" customHeight="1">
      <c r="A66" s="497"/>
      <c r="B66" s="331"/>
      <c r="C66" s="286" t="s">
        <v>8</v>
      </c>
      <c r="D66" s="448">
        <f>200000+400000-183350</f>
        <v>416650</v>
      </c>
      <c r="E66" s="3"/>
      <c r="F66" s="383"/>
      <c r="G66" s="383"/>
      <c r="H66" s="383"/>
      <c r="I66" s="383"/>
      <c r="J66" s="383"/>
    </row>
    <row r="67" spans="1:10" s="49" customFormat="1" ht="25.5" customHeight="1">
      <c r="A67" s="497"/>
      <c r="B67" s="331"/>
      <c r="C67" s="496" t="s">
        <v>9</v>
      </c>
      <c r="D67" s="448">
        <f>400000</f>
        <v>400000</v>
      </c>
      <c r="E67" s="3"/>
      <c r="F67" s="383"/>
      <c r="G67" s="383"/>
      <c r="H67" s="383"/>
      <c r="I67" s="383"/>
      <c r="J67" s="383"/>
    </row>
    <row r="68" spans="1:10" s="49" customFormat="1" ht="25.5" customHeight="1">
      <c r="A68" s="497"/>
      <c r="B68" s="331"/>
      <c r="C68" s="286" t="s">
        <v>10</v>
      </c>
      <c r="D68" s="448">
        <v>670000</v>
      </c>
      <c r="E68" s="3"/>
      <c r="F68" s="383"/>
      <c r="G68" s="383"/>
      <c r="H68" s="383"/>
      <c r="I68" s="383"/>
      <c r="J68" s="383"/>
    </row>
    <row r="69" spans="1:10" s="49" customFormat="1" ht="25.5" customHeight="1">
      <c r="A69" s="497"/>
      <c r="B69" s="331"/>
      <c r="C69" s="286" t="s">
        <v>677</v>
      </c>
      <c r="D69" s="448">
        <f>350000+175000+300000</f>
        <v>825000</v>
      </c>
      <c r="E69" s="3"/>
      <c r="F69" s="383"/>
      <c r="G69" s="383"/>
      <c r="H69" s="383"/>
      <c r="I69" s="383"/>
      <c r="J69" s="383"/>
    </row>
    <row r="70" spans="1:10" s="49" customFormat="1" ht="29.25" customHeight="1">
      <c r="A70" s="497"/>
      <c r="B70" s="331"/>
      <c r="C70" s="286" t="s">
        <v>11</v>
      </c>
      <c r="D70" s="448">
        <f>700000+200000</f>
        <v>900000</v>
      </c>
      <c r="E70" s="3"/>
      <c r="F70" s="383"/>
      <c r="G70" s="383"/>
      <c r="H70" s="383"/>
      <c r="I70" s="383"/>
      <c r="J70" s="383"/>
    </row>
    <row r="71" spans="1:10" s="49" customFormat="1" ht="24.75" customHeight="1">
      <c r="A71" s="497"/>
      <c r="B71" s="331"/>
      <c r="C71" s="496" t="s">
        <v>12</v>
      </c>
      <c r="D71" s="448">
        <f>350000+800000</f>
        <v>1150000</v>
      </c>
      <c r="E71" s="3"/>
      <c r="F71" s="383"/>
      <c r="G71" s="383"/>
      <c r="H71" s="383"/>
      <c r="I71" s="383"/>
      <c r="J71" s="383"/>
    </row>
    <row r="72" spans="1:10" s="49" customFormat="1" ht="30.75" customHeight="1">
      <c r="A72" s="497"/>
      <c r="B72" s="331"/>
      <c r="C72" s="286" t="s">
        <v>23</v>
      </c>
      <c r="D72" s="448">
        <v>170000</v>
      </c>
      <c r="E72" s="3"/>
      <c r="F72" s="383"/>
      <c r="G72" s="383"/>
      <c r="H72" s="383"/>
      <c r="I72" s="383"/>
      <c r="J72" s="383"/>
    </row>
    <row r="73" spans="1:10" s="49" customFormat="1" ht="23.25" customHeight="1">
      <c r="A73" s="497"/>
      <c r="B73" s="331"/>
      <c r="C73" s="496" t="s">
        <v>24</v>
      </c>
      <c r="D73" s="448">
        <f>200000+500000</f>
        <v>700000</v>
      </c>
      <c r="E73" s="3"/>
      <c r="F73" s="383"/>
      <c r="G73" s="383"/>
      <c r="H73" s="383"/>
      <c r="I73" s="383"/>
      <c r="J73" s="383"/>
    </row>
    <row r="74" spans="1:10" s="49" customFormat="1" ht="27" customHeight="1">
      <c r="A74" s="497"/>
      <c r="B74" s="331"/>
      <c r="C74" s="496" t="s">
        <v>25</v>
      </c>
      <c r="D74" s="448">
        <f>70000+100000</f>
        <v>170000</v>
      </c>
      <c r="E74" s="3"/>
      <c r="F74" s="383"/>
      <c r="G74" s="383"/>
      <c r="H74" s="383"/>
      <c r="I74" s="383"/>
      <c r="J74" s="383"/>
    </row>
    <row r="75" spans="1:10" s="49" customFormat="1" ht="23.25" customHeight="1">
      <c r="A75" s="497"/>
      <c r="B75" s="331"/>
      <c r="C75" s="496" t="s">
        <v>26</v>
      </c>
      <c r="D75" s="448">
        <f>20000+60000</f>
        <v>80000</v>
      </c>
      <c r="E75" s="3"/>
      <c r="F75" s="383"/>
      <c r="G75" s="383"/>
      <c r="H75" s="383"/>
      <c r="I75" s="383"/>
      <c r="J75" s="383"/>
    </row>
    <row r="76" spans="1:10" s="49" customFormat="1" ht="24" customHeight="1">
      <c r="A76" s="497"/>
      <c r="B76" s="331"/>
      <c r="C76" s="496" t="s">
        <v>27</v>
      </c>
      <c r="D76" s="448">
        <v>100000</v>
      </c>
      <c r="E76" s="3"/>
      <c r="F76" s="383"/>
      <c r="G76" s="383"/>
      <c r="H76" s="383"/>
      <c r="I76" s="383"/>
      <c r="J76" s="383"/>
    </row>
    <row r="77" spans="1:10" s="49" customFormat="1" ht="27" customHeight="1">
      <c r="A77" s="497"/>
      <c r="B77" s="331"/>
      <c r="C77" s="496" t="s">
        <v>28</v>
      </c>
      <c r="D77" s="448">
        <f>50000</f>
        <v>50000</v>
      </c>
      <c r="E77" s="3"/>
      <c r="F77" s="383"/>
      <c r="G77" s="383"/>
      <c r="H77" s="383"/>
      <c r="I77" s="383"/>
      <c r="J77" s="383"/>
    </row>
    <row r="78" spans="1:10" s="49" customFormat="1" ht="24.75" customHeight="1">
      <c r="A78" s="497"/>
      <c r="B78" s="331"/>
      <c r="C78" s="286" t="s">
        <v>29</v>
      </c>
      <c r="D78" s="448">
        <f>50000+50000</f>
        <v>100000</v>
      </c>
      <c r="E78" s="3"/>
      <c r="F78" s="383"/>
      <c r="G78" s="383"/>
      <c r="H78" s="383"/>
      <c r="I78" s="383"/>
      <c r="J78" s="383"/>
    </row>
    <row r="79" spans="1:10" s="49" customFormat="1" ht="28.5" customHeight="1">
      <c r="A79" s="497"/>
      <c r="B79" s="331"/>
      <c r="C79" s="286" t="s">
        <v>30</v>
      </c>
      <c r="D79" s="474">
        <f>130000</f>
        <v>130000</v>
      </c>
      <c r="E79" s="3"/>
      <c r="F79" s="383"/>
      <c r="G79" s="383"/>
      <c r="H79" s="383"/>
      <c r="I79" s="383"/>
      <c r="J79" s="383"/>
    </row>
    <row r="80" spans="1:10" s="49" customFormat="1" ht="24.75" customHeight="1">
      <c r="A80" s="497"/>
      <c r="B80" s="331"/>
      <c r="C80" s="223" t="s">
        <v>31</v>
      </c>
      <c r="D80" s="448">
        <v>600000</v>
      </c>
      <c r="E80" s="3"/>
      <c r="F80" s="383"/>
      <c r="G80" s="383"/>
      <c r="H80" s="383"/>
      <c r="I80" s="383"/>
      <c r="J80" s="383"/>
    </row>
    <row r="81" spans="1:10" s="49" customFormat="1" ht="28.5" customHeight="1">
      <c r="A81" s="498"/>
      <c r="B81" s="499"/>
      <c r="C81" s="286" t="s">
        <v>32</v>
      </c>
      <c r="D81" s="500">
        <v>250000</v>
      </c>
      <c r="E81" s="3"/>
      <c r="F81" s="383"/>
      <c r="G81" s="383"/>
      <c r="H81" s="383"/>
      <c r="I81" s="383"/>
      <c r="J81" s="383"/>
    </row>
    <row r="82" spans="1:10" s="49" customFormat="1" ht="37.5" customHeight="1">
      <c r="A82" s="361">
        <v>853</v>
      </c>
      <c r="B82" s="494" t="s">
        <v>500</v>
      </c>
      <c r="C82" s="485"/>
      <c r="D82" s="436">
        <f>SUM(D83:D83)</f>
        <v>308105</v>
      </c>
      <c r="E82" s="3"/>
      <c r="F82" s="383"/>
      <c r="G82" s="383"/>
      <c r="H82" s="383"/>
      <c r="I82" s="383"/>
      <c r="J82" s="383"/>
    </row>
    <row r="83" spans="1:10" s="216" customFormat="1" ht="36" customHeight="1">
      <c r="A83" s="462"/>
      <c r="B83" s="494"/>
      <c r="C83" s="501" t="s">
        <v>33</v>
      </c>
      <c r="D83" s="474">
        <v>308105</v>
      </c>
      <c r="E83" s="3"/>
      <c r="F83" s="502"/>
      <c r="G83" s="502"/>
      <c r="H83" s="502"/>
      <c r="I83" s="502"/>
      <c r="J83" s="502"/>
    </row>
    <row r="84" spans="1:10" s="49" customFormat="1" ht="33.75" customHeight="1">
      <c r="A84" s="503">
        <v>854</v>
      </c>
      <c r="B84" s="443" t="s">
        <v>34</v>
      </c>
      <c r="C84" s="286"/>
      <c r="D84" s="504">
        <f>D85</f>
        <v>1350000</v>
      </c>
      <c r="E84" s="446"/>
      <c r="F84" s="415"/>
      <c r="G84" s="383"/>
      <c r="H84" s="383"/>
      <c r="I84" s="383"/>
      <c r="J84" s="383"/>
    </row>
    <row r="85" spans="1:10" s="49" customFormat="1" ht="37.5" customHeight="1">
      <c r="A85" s="505"/>
      <c r="B85" s="506"/>
      <c r="C85" s="286" t="s">
        <v>35</v>
      </c>
      <c r="D85" s="448">
        <v>1350000</v>
      </c>
      <c r="E85" s="3"/>
      <c r="F85" s="383"/>
      <c r="G85" s="383"/>
      <c r="H85" s="383"/>
      <c r="I85" s="383"/>
      <c r="J85" s="383"/>
    </row>
    <row r="86" spans="1:10" s="49" customFormat="1" ht="26.25" customHeight="1">
      <c r="A86" s="438" t="s">
        <v>688</v>
      </c>
      <c r="B86" s="507"/>
      <c r="C86" s="508"/>
      <c r="D86" s="509">
        <f>D87+D90+D92</f>
        <v>1290000</v>
      </c>
      <c r="E86" s="3"/>
      <c r="F86" s="383"/>
      <c r="G86" s="383"/>
      <c r="H86" s="383"/>
      <c r="I86" s="383"/>
      <c r="J86" s="383"/>
    </row>
    <row r="87" spans="1:10" s="49" customFormat="1" ht="28.5" customHeight="1">
      <c r="A87" s="334">
        <v>630</v>
      </c>
      <c r="B87" s="510" t="s">
        <v>36</v>
      </c>
      <c r="C87" s="496" t="s">
        <v>276</v>
      </c>
      <c r="D87" s="436">
        <f>SUM(D88:D89)</f>
        <v>90000</v>
      </c>
      <c r="E87" s="3"/>
      <c r="F87" s="383"/>
      <c r="G87" s="383"/>
      <c r="H87" s="383"/>
      <c r="I87" s="383"/>
      <c r="J87" s="383"/>
    </row>
    <row r="88" spans="1:10" s="49" customFormat="1" ht="35.25" customHeight="1">
      <c r="A88" s="462"/>
      <c r="B88" s="511"/>
      <c r="C88" s="512" t="s">
        <v>37</v>
      </c>
      <c r="D88" s="474">
        <f>30000+30000</f>
        <v>60000</v>
      </c>
      <c r="E88" s="3"/>
      <c r="F88" s="415"/>
      <c r="G88" s="383"/>
      <c r="H88" s="383"/>
      <c r="I88" s="383"/>
      <c r="J88" s="383"/>
    </row>
    <row r="89" spans="1:10" s="49" customFormat="1" ht="30" customHeight="1">
      <c r="A89" s="366"/>
      <c r="B89" s="513"/>
      <c r="C89" s="471" t="s">
        <v>38</v>
      </c>
      <c r="D89" s="448">
        <v>30000</v>
      </c>
      <c r="E89" s="3"/>
      <c r="F89" s="383"/>
      <c r="G89" s="383"/>
      <c r="H89" s="383"/>
      <c r="I89" s="383"/>
      <c r="J89" s="383"/>
    </row>
    <row r="90" spans="1:10" s="49" customFormat="1" ht="26.25" customHeight="1">
      <c r="A90" s="271">
        <v>852</v>
      </c>
      <c r="B90" s="514" t="s">
        <v>639</v>
      </c>
      <c r="C90" s="485"/>
      <c r="D90" s="436">
        <f>SUM(D91:D91)</f>
        <v>200000</v>
      </c>
      <c r="E90" s="3"/>
      <c r="F90" s="383"/>
      <c r="G90" s="383"/>
      <c r="H90" s="383"/>
      <c r="I90" s="383"/>
      <c r="J90" s="383"/>
    </row>
    <row r="91" spans="1:5" s="49" customFormat="1" ht="29.25" customHeight="1">
      <c r="A91" s="322"/>
      <c r="B91" s="322"/>
      <c r="C91" s="501" t="s">
        <v>39</v>
      </c>
      <c r="D91" s="448">
        <v>200000</v>
      </c>
      <c r="E91" s="441"/>
    </row>
    <row r="92" spans="1:5" s="49" customFormat="1" ht="32.25" customHeight="1">
      <c r="A92" s="361">
        <v>853</v>
      </c>
      <c r="B92" s="494" t="s">
        <v>500</v>
      </c>
      <c r="C92" s="501"/>
      <c r="D92" s="445">
        <f>D93</f>
        <v>1000000</v>
      </c>
      <c r="E92" s="441"/>
    </row>
    <row r="93" spans="1:6" s="49" customFormat="1" ht="33.75" customHeight="1">
      <c r="A93" s="515"/>
      <c r="B93" s="515"/>
      <c r="C93" s="501" t="s">
        <v>40</v>
      </c>
      <c r="D93" s="448">
        <v>1000000</v>
      </c>
      <c r="E93" s="441"/>
      <c r="F93" s="432"/>
    </row>
    <row r="94" spans="1:6" s="49" customFormat="1" ht="29.25" customHeight="1">
      <c r="A94" s="976" t="s">
        <v>41</v>
      </c>
      <c r="B94" s="977"/>
      <c r="C94" s="978"/>
      <c r="D94" s="516">
        <f>D13+D62</f>
        <v>20120685.07</v>
      </c>
      <c r="E94" s="441"/>
      <c r="F94" s="437"/>
    </row>
    <row r="95" spans="3:6" s="49" customFormat="1" ht="12.75">
      <c r="C95" s="213"/>
      <c r="E95" s="441"/>
      <c r="F95" s="3"/>
    </row>
    <row r="96" spans="3:5" s="49" customFormat="1" ht="12.75">
      <c r="C96" s="213"/>
      <c r="E96" s="3"/>
    </row>
    <row r="97" spans="3:5" s="49" customFormat="1" ht="12.75">
      <c r="C97" s="213"/>
      <c r="E97" s="3"/>
    </row>
    <row r="98" spans="3:5" s="49" customFormat="1" ht="12.75">
      <c r="C98" s="213"/>
      <c r="E98" s="3"/>
    </row>
    <row r="99" spans="3:5" s="49" customFormat="1" ht="12.75">
      <c r="C99" s="213"/>
      <c r="E99" s="3"/>
    </row>
    <row r="100" spans="3:5" s="49" customFormat="1" ht="12.75">
      <c r="C100" s="213"/>
      <c r="E100" s="3"/>
    </row>
    <row r="101" spans="3:5" s="49" customFormat="1" ht="12.75">
      <c r="C101" s="213"/>
      <c r="E101" s="3"/>
    </row>
    <row r="102" spans="3:5" s="49" customFormat="1" ht="12.75">
      <c r="C102" s="213"/>
      <c r="E102" s="3"/>
    </row>
    <row r="103" spans="3:5" s="49" customFormat="1" ht="12.75">
      <c r="C103" s="213"/>
      <c r="E103" s="3"/>
    </row>
    <row r="104" spans="3:5" s="49" customFormat="1" ht="12.75">
      <c r="C104" s="213"/>
      <c r="E104" s="3"/>
    </row>
    <row r="105" spans="3:5" s="49" customFormat="1" ht="12.75">
      <c r="C105" s="213"/>
      <c r="E105" s="3"/>
    </row>
    <row r="106" spans="3:5" s="49" customFormat="1" ht="12.75">
      <c r="C106" s="213"/>
      <c r="E106" s="3"/>
    </row>
    <row r="107" spans="3:5" s="49" customFormat="1" ht="12.75">
      <c r="C107" s="213"/>
      <c r="E107" s="3"/>
    </row>
    <row r="108" spans="3:5" s="49" customFormat="1" ht="12.75">
      <c r="C108" s="213"/>
      <c r="E108" s="3"/>
    </row>
    <row r="109" spans="3:5" s="49" customFormat="1" ht="12.75">
      <c r="C109" s="213"/>
      <c r="E109" s="3"/>
    </row>
    <row r="110" spans="3:5" s="49" customFormat="1" ht="12.75">
      <c r="C110" s="213"/>
      <c r="E110" s="3"/>
    </row>
    <row r="111" spans="3:5" s="49" customFormat="1" ht="12.75">
      <c r="C111" s="213"/>
      <c r="E111" s="3"/>
    </row>
    <row r="112" spans="3:5" s="49" customFormat="1" ht="12.75">
      <c r="C112" s="213"/>
      <c r="E112" s="3"/>
    </row>
  </sheetData>
  <sheetProtection/>
  <mergeCells count="1">
    <mergeCell ref="A94:C94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5.421875" style="2" customWidth="1"/>
    <col min="2" max="2" width="30.7109375" style="2" customWidth="1"/>
    <col min="3" max="3" width="33.57421875" style="2" customWidth="1"/>
    <col min="4" max="4" width="19.7109375" style="2" customWidth="1"/>
    <col min="5" max="5" width="17.8515625" style="4" customWidth="1"/>
    <col min="6" max="6" width="24.7109375" style="2" customWidth="1"/>
    <col min="7" max="7" width="9.140625" style="2" customWidth="1"/>
    <col min="8" max="8" width="8.8515625" style="2" customWidth="1"/>
    <col min="9" max="16384" width="9.140625" style="2" customWidth="1"/>
  </cols>
  <sheetData>
    <row r="1" spans="3:6" ht="19.5" customHeight="1">
      <c r="C1" s="691" t="s">
        <v>172</v>
      </c>
      <c r="F1" s="691"/>
    </row>
    <row r="2" spans="3:6" ht="23.25" customHeight="1">
      <c r="C2" s="556" t="s">
        <v>175</v>
      </c>
      <c r="F2" s="556"/>
    </row>
    <row r="3" spans="3:6" ht="21.75" customHeight="1">
      <c r="C3" s="556" t="s">
        <v>322</v>
      </c>
      <c r="F3" s="556"/>
    </row>
    <row r="4" spans="3:6" ht="21" customHeight="1">
      <c r="C4" s="556" t="s">
        <v>148</v>
      </c>
      <c r="F4" s="556"/>
    </row>
    <row r="5" spans="3:6" ht="21" customHeight="1">
      <c r="C5" s="556"/>
      <c r="F5" s="556"/>
    </row>
    <row r="6" ht="18" customHeight="1">
      <c r="C6" s="692"/>
    </row>
    <row r="7" spans="1:5" s="26" customFormat="1" ht="17.25" customHeight="1">
      <c r="A7" s="426" t="s">
        <v>101</v>
      </c>
      <c r="B7" s="426"/>
      <c r="C7" s="693"/>
      <c r="D7" s="2"/>
      <c r="E7" s="694"/>
    </row>
    <row r="8" spans="1:5" s="26" customFormat="1" ht="17.25" customHeight="1">
      <c r="A8" s="426" t="s">
        <v>102</v>
      </c>
      <c r="B8" s="426"/>
      <c r="C8" s="693"/>
      <c r="D8" s="2"/>
      <c r="E8" s="694"/>
    </row>
    <row r="9" spans="1:3" ht="17.25" customHeight="1">
      <c r="A9" s="426" t="s">
        <v>103</v>
      </c>
      <c r="B9" s="426"/>
      <c r="C9" s="693"/>
    </row>
    <row r="10" spans="1:3" ht="17.25" customHeight="1">
      <c r="A10" s="426"/>
      <c r="B10" s="426"/>
      <c r="C10" s="693"/>
    </row>
    <row r="11" spans="1:2" ht="13.5">
      <c r="A11" s="115" t="s">
        <v>276</v>
      </c>
      <c r="B11" s="428"/>
    </row>
    <row r="12" spans="3:4" ht="11.25" customHeight="1">
      <c r="C12" s="695"/>
      <c r="D12" s="696" t="s">
        <v>332</v>
      </c>
    </row>
    <row r="13" spans="1:4" ht="29.25" customHeight="1">
      <c r="A13" s="299" t="s">
        <v>335</v>
      </c>
      <c r="B13" s="299" t="s">
        <v>671</v>
      </c>
      <c r="C13" s="299" t="s">
        <v>672</v>
      </c>
      <c r="D13" s="431" t="s">
        <v>673</v>
      </c>
    </row>
    <row r="14" spans="1:4" ht="24" customHeight="1">
      <c r="A14" s="486" t="s">
        <v>674</v>
      </c>
      <c r="B14" s="697"/>
      <c r="C14" s="698"/>
      <c r="D14" s="699">
        <f>D15+D19+D22</f>
        <v>15900932.14</v>
      </c>
    </row>
    <row r="15" spans="1:5" s="679" customFormat="1" ht="24" customHeight="1">
      <c r="A15" s="490" t="s">
        <v>104</v>
      </c>
      <c r="B15" s="700"/>
      <c r="C15" s="701"/>
      <c r="D15" s="702">
        <f>D16</f>
        <v>4885000</v>
      </c>
      <c r="E15" s="85"/>
    </row>
    <row r="16" spans="1:6" ht="37.5" customHeight="1">
      <c r="A16" s="703">
        <v>921</v>
      </c>
      <c r="B16" s="468" t="s">
        <v>0</v>
      </c>
      <c r="C16" s="704"/>
      <c r="D16" s="699">
        <f>D17+D18</f>
        <v>4885000</v>
      </c>
      <c r="F16" s="705"/>
    </row>
    <row r="17" spans="1:6" ht="22.5" customHeight="1">
      <c r="A17" s="706"/>
      <c r="B17" s="707"/>
      <c r="C17" s="708" t="s">
        <v>105</v>
      </c>
      <c r="D17" s="448">
        <f>3496900+10000+15000</f>
        <v>3521900</v>
      </c>
      <c r="F17" s="705"/>
    </row>
    <row r="18" spans="1:6" ht="22.5" customHeight="1">
      <c r="A18" s="687"/>
      <c r="B18" s="688"/>
      <c r="C18" s="708" t="s">
        <v>106</v>
      </c>
      <c r="D18" s="459">
        <f>1253100+50000+60000</f>
        <v>1363100</v>
      </c>
      <c r="F18" s="705"/>
    </row>
    <row r="19" spans="1:6" ht="29.25" customHeight="1">
      <c r="A19" s="490" t="s">
        <v>107</v>
      </c>
      <c r="B19" s="689"/>
      <c r="C19" s="708"/>
      <c r="D19" s="702">
        <f>D20</f>
        <v>10903932.14</v>
      </c>
      <c r="F19" s="705"/>
    </row>
    <row r="20" spans="1:6" ht="27" customHeight="1">
      <c r="A20" s="709">
        <v>600</v>
      </c>
      <c r="B20" s="514" t="s">
        <v>345</v>
      </c>
      <c r="C20" s="708"/>
      <c r="D20" s="699">
        <f>D21</f>
        <v>10903932.14</v>
      </c>
      <c r="F20" s="705"/>
    </row>
    <row r="21" spans="1:6" ht="30.75" customHeight="1">
      <c r="A21" s="710"/>
      <c r="B21" s="711"/>
      <c r="C21" s="471" t="s">
        <v>108</v>
      </c>
      <c r="D21" s="870">
        <f>10995992.22-92060.08</f>
        <v>10903932.14</v>
      </c>
      <c r="F21" s="705"/>
    </row>
    <row r="22" spans="1:6" ht="29.25" customHeight="1">
      <c r="A22" s="438" t="s">
        <v>688</v>
      </c>
      <c r="B22" s="712"/>
      <c r="C22" s="704"/>
      <c r="D22" s="702">
        <f>D23+D25</f>
        <v>112000</v>
      </c>
      <c r="F22" s="705"/>
    </row>
    <row r="23" spans="1:6" ht="29.25" customHeight="1">
      <c r="A23" s="271">
        <v>851</v>
      </c>
      <c r="B23" s="732" t="s">
        <v>495</v>
      </c>
      <c r="C23" s="729"/>
      <c r="D23" s="699">
        <f>D24</f>
        <v>100000</v>
      </c>
      <c r="F23" s="705"/>
    </row>
    <row r="24" spans="1:6" ht="57.75" customHeight="1">
      <c r="A24" s="730"/>
      <c r="B24" s="729"/>
      <c r="C24" s="485" t="s">
        <v>173</v>
      </c>
      <c r="D24" s="731">
        <v>100000</v>
      </c>
      <c r="F24" s="705"/>
    </row>
    <row r="25" spans="1:6" ht="34.5" customHeight="1">
      <c r="A25" s="334">
        <v>900</v>
      </c>
      <c r="B25" s="713" t="s">
        <v>109</v>
      </c>
      <c r="C25" s="708"/>
      <c r="D25" s="648">
        <f>D26</f>
        <v>12000</v>
      </c>
      <c r="F25" s="705"/>
    </row>
    <row r="26" spans="1:10" ht="42.75" customHeight="1">
      <c r="A26" s="706"/>
      <c r="B26" s="714"/>
      <c r="C26" s="422" t="s">
        <v>708</v>
      </c>
      <c r="D26" s="482">
        <v>12000</v>
      </c>
      <c r="E26" s="1"/>
      <c r="F26" s="62"/>
      <c r="G26" s="62"/>
      <c r="H26" s="62"/>
      <c r="I26" s="62"/>
      <c r="J26" s="62"/>
    </row>
    <row r="27" spans="1:10" ht="30.75" customHeight="1">
      <c r="A27" s="486" t="s">
        <v>6</v>
      </c>
      <c r="B27" s="715"/>
      <c r="C27" s="716"/>
      <c r="D27" s="461">
        <f>D28+D31</f>
        <v>4727200</v>
      </c>
      <c r="E27" s="717"/>
      <c r="F27" s="62"/>
      <c r="G27" s="62"/>
      <c r="H27" s="62"/>
      <c r="I27" s="62"/>
      <c r="J27" s="62"/>
    </row>
    <row r="28" spans="1:10" ht="33" customHeight="1">
      <c r="A28" s="718" t="s">
        <v>104</v>
      </c>
      <c r="B28" s="719"/>
      <c r="C28" s="720"/>
      <c r="D28" s="721">
        <f>D29</f>
        <v>2612200</v>
      </c>
      <c r="E28" s="717"/>
      <c r="F28" s="62"/>
      <c r="G28" s="62"/>
      <c r="H28" s="62"/>
      <c r="I28" s="62"/>
      <c r="J28" s="62"/>
    </row>
    <row r="29" spans="1:5" ht="33.75" customHeight="1">
      <c r="A29" s="709">
        <v>921</v>
      </c>
      <c r="B29" s="468" t="s">
        <v>0</v>
      </c>
      <c r="C29" s="488"/>
      <c r="D29" s="722">
        <f>D30</f>
        <v>2612200</v>
      </c>
      <c r="E29" s="85"/>
    </row>
    <row r="30" spans="1:5" ht="26.25" customHeight="1">
      <c r="A30" s="723"/>
      <c r="B30" s="469"/>
      <c r="C30" s="471" t="s">
        <v>110</v>
      </c>
      <c r="D30" s="870">
        <f>2610000+2200</f>
        <v>2612200</v>
      </c>
      <c r="E30" s="72"/>
    </row>
    <row r="31" spans="1:5" ht="30.75" customHeight="1">
      <c r="A31" s="438" t="s">
        <v>688</v>
      </c>
      <c r="B31" s="724"/>
      <c r="C31" s="471"/>
      <c r="D31" s="509">
        <f>D32+D35</f>
        <v>2115000</v>
      </c>
      <c r="E31" s="72"/>
    </row>
    <row r="32" spans="1:5" ht="21" customHeight="1">
      <c r="A32" s="714">
        <v>852</v>
      </c>
      <c r="B32" s="511" t="s">
        <v>639</v>
      </c>
      <c r="C32" s="485"/>
      <c r="D32" s="436">
        <f>D33+D34</f>
        <v>965000</v>
      </c>
      <c r="E32" s="72"/>
    </row>
    <row r="33" spans="1:5" ht="39.75" customHeight="1">
      <c r="A33" s="707"/>
      <c r="B33" s="725"/>
      <c r="C33" s="501" t="s">
        <v>111</v>
      </c>
      <c r="D33" s="448">
        <v>558000</v>
      </c>
      <c r="E33" s="72"/>
    </row>
    <row r="34" spans="1:5" ht="36">
      <c r="A34" s="688"/>
      <c r="B34" s="726"/>
      <c r="C34" s="501" t="s">
        <v>112</v>
      </c>
      <c r="D34" s="448">
        <v>407000</v>
      </c>
      <c r="E34" s="1"/>
    </row>
    <row r="35" spans="1:5" ht="30" customHeight="1">
      <c r="A35" s="727">
        <v>853</v>
      </c>
      <c r="B35" s="728" t="s">
        <v>500</v>
      </c>
      <c r="C35" s="501"/>
      <c r="D35" s="436">
        <f>D36</f>
        <v>1150000</v>
      </c>
      <c r="E35" s="1"/>
    </row>
    <row r="36" spans="1:5" ht="30.75" customHeight="1">
      <c r="A36" s="729"/>
      <c r="B36" s="349"/>
      <c r="C36" s="501" t="s">
        <v>171</v>
      </c>
      <c r="D36" s="448">
        <v>1150000</v>
      </c>
      <c r="E36" s="1"/>
    </row>
    <row r="37" spans="1:5" ht="27.75" customHeight="1">
      <c r="A37" s="979" t="s">
        <v>41</v>
      </c>
      <c r="B37" s="980"/>
      <c r="C37" s="978"/>
      <c r="D37" s="516">
        <f>D14+D27</f>
        <v>20628132.14</v>
      </c>
      <c r="E37" s="1"/>
    </row>
    <row r="38" spans="4:5" ht="15.75">
      <c r="D38" s="1"/>
      <c r="E38" s="1"/>
    </row>
    <row r="39" ht="15.75">
      <c r="D39" s="1"/>
    </row>
    <row r="40" ht="12.75">
      <c r="D40" s="4"/>
    </row>
    <row r="41" ht="12.75">
      <c r="D41" s="4"/>
    </row>
    <row r="42" ht="12.75">
      <c r="D42" s="4"/>
    </row>
    <row r="43" ht="12.75">
      <c r="D43" s="4"/>
    </row>
    <row r="44" ht="12.75">
      <c r="D44" s="4"/>
    </row>
    <row r="45" ht="12.75">
      <c r="D45" s="4"/>
    </row>
  </sheetData>
  <sheetProtection/>
  <mergeCells count="1">
    <mergeCell ref="A37:C37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X216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4.28125" style="62" customWidth="1"/>
    <col min="2" max="2" width="28.421875" style="62" customWidth="1"/>
    <col min="3" max="3" width="7.57421875" style="62" customWidth="1"/>
    <col min="4" max="4" width="13.8515625" style="62" customWidth="1"/>
    <col min="5" max="5" width="14.57421875" style="62" customWidth="1"/>
    <col min="6" max="6" width="14.8515625" style="62" customWidth="1"/>
    <col min="7" max="7" width="12.57421875" style="62" customWidth="1"/>
    <col min="8" max="8" width="15.140625" style="62" customWidth="1"/>
    <col min="9" max="9" width="9.7109375" style="62" customWidth="1"/>
    <col min="10" max="10" width="14.00390625" style="62" customWidth="1"/>
    <col min="11" max="11" width="12.8515625" style="62" customWidth="1"/>
    <col min="12" max="12" width="14.57421875" style="62" customWidth="1"/>
    <col min="13" max="16384" width="9.140625" style="62" customWidth="1"/>
  </cols>
  <sheetData>
    <row r="2" ht="19.5">
      <c r="H2" s="691" t="s">
        <v>160</v>
      </c>
    </row>
    <row r="3" ht="18.75">
      <c r="H3" s="556" t="s">
        <v>175</v>
      </c>
    </row>
    <row r="4" ht="18.75">
      <c r="H4" s="556" t="s">
        <v>322</v>
      </c>
    </row>
    <row r="5" spans="1:24" ht="21" customHeight="1">
      <c r="A5" s="82"/>
      <c r="B5" s="26"/>
      <c r="C5" s="2"/>
      <c r="D5" s="2"/>
      <c r="E5" s="2"/>
      <c r="F5" s="2"/>
      <c r="G5" s="792"/>
      <c r="H5" s="556" t="s">
        <v>632</v>
      </c>
      <c r="I5" s="875"/>
      <c r="J5" s="876"/>
      <c r="K5" s="212"/>
      <c r="L5" s="212"/>
      <c r="M5" s="21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8.75" customHeight="1">
      <c r="A6" s="82"/>
      <c r="B6" s="26"/>
      <c r="C6" s="2"/>
      <c r="D6" s="2"/>
      <c r="E6" s="2"/>
      <c r="F6" s="2"/>
      <c r="G6" s="93"/>
      <c r="H6" s="93"/>
      <c r="I6" s="875"/>
      <c r="J6" s="876"/>
      <c r="K6" s="212"/>
      <c r="L6" s="212"/>
      <c r="M6" s="21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" customHeight="1">
      <c r="A7" s="82"/>
      <c r="B7" s="26"/>
      <c r="C7" s="2"/>
      <c r="D7" s="2"/>
      <c r="E7" s="2"/>
      <c r="F7" s="2"/>
      <c r="G7" s="2"/>
      <c r="H7" s="877"/>
      <c r="I7" s="875"/>
      <c r="J7" s="876"/>
      <c r="K7" s="212"/>
      <c r="L7" s="212"/>
      <c r="M7" s="21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879" customFormat="1" ht="18.75">
      <c r="A8" s="122" t="s">
        <v>614</v>
      </c>
      <c r="B8" s="24"/>
      <c r="C8" s="24"/>
      <c r="D8" s="24"/>
      <c r="E8" s="24"/>
      <c r="F8" s="24"/>
      <c r="G8" s="24"/>
      <c r="H8" s="24"/>
      <c r="I8" s="24"/>
      <c r="J8" s="878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s="879" customFormat="1" ht="18.75">
      <c r="A9" s="122" t="s">
        <v>615</v>
      </c>
      <c r="B9" s="122"/>
      <c r="C9" s="24"/>
      <c r="D9" s="24"/>
      <c r="E9" s="24"/>
      <c r="F9" s="24"/>
      <c r="G9" s="24"/>
      <c r="H9" s="24"/>
      <c r="I9" s="24"/>
      <c r="J9" s="878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s="879" customFormat="1" ht="18.75">
      <c r="A10" s="122"/>
      <c r="B10" s="24"/>
      <c r="C10" s="24"/>
      <c r="D10" s="24"/>
      <c r="E10" s="24"/>
      <c r="F10" s="24"/>
      <c r="G10" s="24"/>
      <c r="H10" s="24"/>
      <c r="I10" s="430" t="s">
        <v>332</v>
      </c>
      <c r="J10" s="878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9.5" customHeight="1">
      <c r="A11" s="880"/>
      <c r="B11" s="881"/>
      <c r="C11" s="882"/>
      <c r="D11" s="881"/>
      <c r="E11" s="883" t="s">
        <v>616</v>
      </c>
      <c r="F11" s="884"/>
      <c r="G11" s="954"/>
      <c r="H11" s="961" t="s">
        <v>165</v>
      </c>
      <c r="I11" s="962"/>
      <c r="J11" s="963"/>
      <c r="K11" s="885"/>
      <c r="L11" s="212"/>
      <c r="M11" s="21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21.75" customHeight="1">
      <c r="A12" s="617"/>
      <c r="B12" s="617"/>
      <c r="C12" s="617"/>
      <c r="D12" s="955" t="s">
        <v>161</v>
      </c>
      <c r="E12" s="886"/>
      <c r="F12" s="887" t="s">
        <v>617</v>
      </c>
      <c r="G12" s="888"/>
      <c r="H12" s="484"/>
      <c r="I12" s="889" t="s">
        <v>275</v>
      </c>
      <c r="J12" s="956" t="s">
        <v>161</v>
      </c>
      <c r="K12" s="212"/>
      <c r="L12" s="212"/>
      <c r="M12" s="21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.75">
      <c r="A13" s="871" t="s">
        <v>46</v>
      </c>
      <c r="B13" s="872" t="s">
        <v>618</v>
      </c>
      <c r="C13" s="873" t="s">
        <v>335</v>
      </c>
      <c r="D13" s="957" t="s">
        <v>162</v>
      </c>
      <c r="E13" s="890" t="s">
        <v>619</v>
      </c>
      <c r="F13" s="981" t="s">
        <v>620</v>
      </c>
      <c r="G13" s="983" t="s">
        <v>621</v>
      </c>
      <c r="H13" s="872" t="s">
        <v>622</v>
      </c>
      <c r="I13" s="985" t="s">
        <v>623</v>
      </c>
      <c r="J13" s="958" t="s">
        <v>163</v>
      </c>
      <c r="K13" s="212"/>
      <c r="L13" s="212"/>
      <c r="M13" s="21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9.5" customHeight="1">
      <c r="A14" s="622"/>
      <c r="B14" s="622"/>
      <c r="C14" s="891" t="s">
        <v>624</v>
      </c>
      <c r="D14" s="959" t="s">
        <v>164</v>
      </c>
      <c r="E14" s="892"/>
      <c r="F14" s="982"/>
      <c r="G14" s="984"/>
      <c r="H14" s="633"/>
      <c r="I14" s="986"/>
      <c r="J14" s="960" t="s">
        <v>164</v>
      </c>
      <c r="K14" s="212"/>
      <c r="L14" s="212"/>
      <c r="M14" s="21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2.75">
      <c r="A15" s="893">
        <v>1</v>
      </c>
      <c r="B15" s="893">
        <v>2</v>
      </c>
      <c r="C15" s="893">
        <v>3</v>
      </c>
      <c r="D15" s="893">
        <v>4</v>
      </c>
      <c r="E15" s="893">
        <v>5</v>
      </c>
      <c r="F15" s="893">
        <v>6</v>
      </c>
      <c r="G15" s="893">
        <v>7</v>
      </c>
      <c r="H15" s="893">
        <v>8</v>
      </c>
      <c r="I15" s="893">
        <v>9</v>
      </c>
      <c r="J15" s="893">
        <v>10</v>
      </c>
      <c r="K15" s="212"/>
      <c r="L15" s="212"/>
      <c r="M15" s="21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21" customHeight="1">
      <c r="A16" s="886"/>
      <c r="B16" s="894" t="s">
        <v>41</v>
      </c>
      <c r="C16" s="622"/>
      <c r="D16" s="895">
        <f>SUM(D18:D22)</f>
        <v>-2569903.24</v>
      </c>
      <c r="E16" s="895">
        <f>SUM(E18:E22)</f>
        <v>27894368.14</v>
      </c>
      <c r="F16" s="896">
        <f>SUM(F18,)</f>
        <v>10903932.14</v>
      </c>
      <c r="G16" s="896"/>
      <c r="H16" s="897">
        <f>SUM(H18:H22)</f>
        <v>27860973.970000003</v>
      </c>
      <c r="I16" s="897">
        <f>SUM(I18:I22)</f>
        <v>0</v>
      </c>
      <c r="J16" s="897">
        <f>SUM(J18:J22)</f>
        <v>-2536509.07</v>
      </c>
      <c r="K16" s="898"/>
      <c r="L16" s="898"/>
      <c r="M16" s="21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7.25" customHeight="1">
      <c r="A17" s="886"/>
      <c r="B17" s="899" t="s">
        <v>625</v>
      </c>
      <c r="C17" s="639"/>
      <c r="D17" s="639"/>
      <c r="E17" s="900"/>
      <c r="F17" s="901"/>
      <c r="G17" s="886"/>
      <c r="H17" s="902"/>
      <c r="I17" s="903"/>
      <c r="J17" s="964"/>
      <c r="K17" s="898"/>
      <c r="L17" s="898"/>
      <c r="M17" s="21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8.75" customHeight="1">
      <c r="A18" s="347" t="s">
        <v>626</v>
      </c>
      <c r="B18" s="904" t="s">
        <v>627</v>
      </c>
      <c r="C18" s="905">
        <v>600</v>
      </c>
      <c r="D18" s="922">
        <v>-2569903.24</v>
      </c>
      <c r="E18" s="923">
        <f>28320739.22-426371.08</f>
        <v>27894368.14</v>
      </c>
      <c r="F18" s="924">
        <f>SUM(F20,)</f>
        <v>10903932.14</v>
      </c>
      <c r="G18" s="906"/>
      <c r="H18" s="923">
        <f>28320737.26+1.96-459765.25</f>
        <v>27860973.970000003</v>
      </c>
      <c r="I18" s="907"/>
      <c r="J18" s="967">
        <v>-2536509.07</v>
      </c>
      <c r="K18" s="446"/>
      <c r="L18" s="908"/>
      <c r="M18" s="909"/>
      <c r="N18" s="475"/>
      <c r="O18" s="475"/>
      <c r="P18" s="475"/>
      <c r="Q18" s="475"/>
      <c r="R18" s="475"/>
      <c r="S18" s="475"/>
      <c r="T18" s="475"/>
      <c r="U18" s="475"/>
      <c r="V18" s="475"/>
      <c r="W18" s="475"/>
      <c r="X18" s="475"/>
    </row>
    <row r="19" spans="1:24" ht="12.75">
      <c r="A19" s="353"/>
      <c r="B19" s="484" t="s">
        <v>275</v>
      </c>
      <c r="C19" s="910">
        <v>60004</v>
      </c>
      <c r="D19" s="910"/>
      <c r="E19" s="911"/>
      <c r="F19" s="912"/>
      <c r="G19" s="913"/>
      <c r="H19" s="911"/>
      <c r="I19" s="914"/>
      <c r="J19" s="964"/>
      <c r="K19" s="915"/>
      <c r="L19" s="915"/>
      <c r="M19" s="90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</row>
    <row r="20" spans="1:24" ht="68.25" customHeight="1">
      <c r="A20" s="353"/>
      <c r="B20" s="484" t="s">
        <v>628</v>
      </c>
      <c r="C20" s="910"/>
      <c r="D20" s="910"/>
      <c r="E20" s="911"/>
      <c r="F20" s="925">
        <f>10995992.22-92060.08</f>
        <v>10903932.14</v>
      </c>
      <c r="G20" s="916" t="s">
        <v>629</v>
      </c>
      <c r="H20" s="911"/>
      <c r="I20" s="914"/>
      <c r="J20" s="965"/>
      <c r="K20" s="915"/>
      <c r="L20" s="915"/>
      <c r="M20" s="21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</row>
    <row r="21" spans="1:24" ht="12" customHeight="1">
      <c r="A21" s="353"/>
      <c r="B21" s="484" t="s">
        <v>630</v>
      </c>
      <c r="C21" s="910"/>
      <c r="D21" s="910"/>
      <c r="E21" s="911"/>
      <c r="F21" s="912"/>
      <c r="G21" s="913"/>
      <c r="H21" s="911"/>
      <c r="I21" s="914"/>
      <c r="J21" s="965"/>
      <c r="K21" s="915"/>
      <c r="L21" s="915"/>
      <c r="M21" s="21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</row>
    <row r="22" spans="1:24" ht="21" customHeight="1">
      <c r="A22" s="917"/>
      <c r="B22" s="918" t="s">
        <v>631</v>
      </c>
      <c r="C22" s="267"/>
      <c r="D22" s="267"/>
      <c r="E22" s="919"/>
      <c r="F22" s="926">
        <f>1184442.22-92060.08</f>
        <v>1092382.14</v>
      </c>
      <c r="G22" s="920"/>
      <c r="H22" s="919"/>
      <c r="I22" s="921"/>
      <c r="J22" s="966"/>
      <c r="K22" s="915"/>
      <c r="L22" s="915"/>
      <c r="M22" s="21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</row>
    <row r="23" spans="1:24" ht="12.75">
      <c r="A23" s="2"/>
      <c r="B23" s="2"/>
      <c r="C23" s="2"/>
      <c r="D23" s="2"/>
      <c r="E23" s="2"/>
      <c r="F23" s="2"/>
      <c r="G23" s="2"/>
      <c r="H23" s="2"/>
      <c r="I23" s="2"/>
      <c r="J23" s="876"/>
      <c r="K23" s="212"/>
      <c r="L23" s="212"/>
      <c r="M23" s="21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2.75">
      <c r="A24" s="2"/>
      <c r="B24" s="2"/>
      <c r="C24" s="2"/>
      <c r="D24" s="2"/>
      <c r="E24" s="2"/>
      <c r="F24" s="2"/>
      <c r="G24" s="2"/>
      <c r="H24" s="2"/>
      <c r="I24" s="2"/>
      <c r="J24" s="876"/>
      <c r="K24" s="212"/>
      <c r="L24" s="212"/>
      <c r="M24" s="21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>
      <c r="A25" s="2"/>
      <c r="B25" s="2"/>
      <c r="C25" s="2"/>
      <c r="D25" s="2"/>
      <c r="E25" s="2"/>
      <c r="F25" s="2"/>
      <c r="G25" s="2"/>
      <c r="H25" s="2"/>
      <c r="I25" s="2"/>
      <c r="J25" s="876"/>
      <c r="K25" s="212"/>
      <c r="L25" s="212"/>
      <c r="M25" s="21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>
      <c r="A26" s="2"/>
      <c r="B26" s="2"/>
      <c r="C26" s="2"/>
      <c r="D26" s="2"/>
      <c r="E26" s="4"/>
      <c r="F26" s="2"/>
      <c r="G26" s="2"/>
      <c r="H26" s="4"/>
      <c r="I26" s="2"/>
      <c r="J26" s="876"/>
      <c r="K26" s="212"/>
      <c r="L26" s="212"/>
      <c r="M26" s="21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.75">
      <c r="A27" s="2"/>
      <c r="B27" s="2"/>
      <c r="C27" s="4"/>
      <c r="D27" s="4"/>
      <c r="E27" s="4"/>
      <c r="F27" s="4"/>
      <c r="G27" s="4"/>
      <c r="H27" s="2"/>
      <c r="I27" s="2"/>
      <c r="J27" s="876"/>
      <c r="K27" s="212"/>
      <c r="L27" s="212"/>
      <c r="M27" s="21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2.75">
      <c r="A28" s="2"/>
      <c r="B28" s="2"/>
      <c r="C28" s="4"/>
      <c r="D28" s="4"/>
      <c r="E28" s="4"/>
      <c r="F28" s="4"/>
      <c r="G28" s="4"/>
      <c r="H28" s="2"/>
      <c r="I28" s="2"/>
      <c r="J28" s="876"/>
      <c r="K28" s="212"/>
      <c r="L28" s="212"/>
      <c r="M28" s="21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2"/>
      <c r="B29" s="2"/>
      <c r="C29" s="2"/>
      <c r="D29" s="2"/>
      <c r="E29" s="2"/>
      <c r="F29" s="2"/>
      <c r="G29" s="2"/>
      <c r="H29" s="2"/>
      <c r="I29" s="2"/>
      <c r="J29" s="876"/>
      <c r="K29" s="212"/>
      <c r="L29" s="212"/>
      <c r="M29" s="21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2"/>
      <c r="B30" s="2"/>
      <c r="C30" s="2"/>
      <c r="D30" s="2"/>
      <c r="E30" s="2"/>
      <c r="F30" s="2"/>
      <c r="G30" s="2"/>
      <c r="H30" s="2"/>
      <c r="I30" s="2"/>
      <c r="J30" s="876"/>
      <c r="K30" s="212"/>
      <c r="L30" s="212"/>
      <c r="M30" s="21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2"/>
      <c r="B31" s="2"/>
      <c r="C31" s="2"/>
      <c r="D31" s="2"/>
      <c r="E31" s="2"/>
      <c r="F31" s="2"/>
      <c r="G31" s="2"/>
      <c r="H31" s="2"/>
      <c r="I31" s="2"/>
      <c r="J31" s="876"/>
      <c r="K31" s="212"/>
      <c r="L31" s="212"/>
      <c r="M31" s="21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2"/>
      <c r="B32" s="2"/>
      <c r="C32" s="2"/>
      <c r="D32" s="2"/>
      <c r="E32" s="2"/>
      <c r="F32" s="2"/>
      <c r="G32" s="2"/>
      <c r="H32" s="2"/>
      <c r="I32" s="2"/>
      <c r="J32" s="876"/>
      <c r="K32" s="212"/>
      <c r="L32" s="212"/>
      <c r="M32" s="21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2"/>
      <c r="B33" s="2"/>
      <c r="C33" s="2"/>
      <c r="D33" s="2"/>
      <c r="E33" s="2"/>
      <c r="F33" s="2"/>
      <c r="G33" s="2"/>
      <c r="H33" s="2"/>
      <c r="I33" s="2"/>
      <c r="J33" s="876"/>
      <c r="K33" s="212"/>
      <c r="L33" s="212"/>
      <c r="M33" s="21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2"/>
      <c r="B34" s="2"/>
      <c r="C34" s="2"/>
      <c r="D34" s="2"/>
      <c r="E34" s="2"/>
      <c r="F34" s="2"/>
      <c r="G34" s="2"/>
      <c r="H34" s="2"/>
      <c r="I34" s="2"/>
      <c r="J34" s="876"/>
      <c r="K34" s="212"/>
      <c r="L34" s="212"/>
      <c r="M34" s="21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2"/>
      <c r="B35" s="2"/>
      <c r="C35" s="2"/>
      <c r="D35" s="2"/>
      <c r="E35" s="2"/>
      <c r="F35" s="2"/>
      <c r="G35" s="2"/>
      <c r="H35" s="2"/>
      <c r="I35" s="2"/>
      <c r="J35" s="876"/>
      <c r="K35" s="212"/>
      <c r="L35" s="212"/>
      <c r="M35" s="21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2"/>
      <c r="B36" s="2"/>
      <c r="C36" s="2"/>
      <c r="D36" s="2"/>
      <c r="E36" s="2"/>
      <c r="F36" s="2"/>
      <c r="G36" s="2"/>
      <c r="H36" s="2"/>
      <c r="I36" s="2"/>
      <c r="J36" s="876"/>
      <c r="K36" s="212"/>
      <c r="L36" s="212"/>
      <c r="M36" s="21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2"/>
      <c r="B37" s="2"/>
      <c r="C37" s="2"/>
      <c r="D37" s="2"/>
      <c r="E37" s="2"/>
      <c r="F37" s="2"/>
      <c r="G37" s="2"/>
      <c r="H37" s="2"/>
      <c r="I37" s="2"/>
      <c r="J37" s="876"/>
      <c r="K37" s="212"/>
      <c r="L37" s="212"/>
      <c r="M37" s="21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2"/>
      <c r="B38" s="2"/>
      <c r="C38" s="2"/>
      <c r="D38" s="2"/>
      <c r="E38" s="2"/>
      <c r="F38" s="2"/>
      <c r="G38" s="2"/>
      <c r="H38" s="2"/>
      <c r="I38" s="2"/>
      <c r="J38" s="876"/>
      <c r="K38" s="212"/>
      <c r="L38" s="212"/>
      <c r="M38" s="21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2"/>
      <c r="B39" s="2"/>
      <c r="C39" s="2"/>
      <c r="D39" s="2"/>
      <c r="E39" s="2"/>
      <c r="F39" s="2"/>
      <c r="G39" s="2"/>
      <c r="H39" s="2"/>
      <c r="I39" s="2"/>
      <c r="J39" s="876"/>
      <c r="K39" s="212"/>
      <c r="L39" s="212"/>
      <c r="M39" s="21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2"/>
      <c r="B40" s="2"/>
      <c r="C40" s="2"/>
      <c r="D40" s="2"/>
      <c r="E40" s="2"/>
      <c r="F40" s="2"/>
      <c r="G40" s="2"/>
      <c r="H40" s="2"/>
      <c r="I40" s="2"/>
      <c r="J40" s="876"/>
      <c r="K40" s="212"/>
      <c r="L40" s="212"/>
      <c r="M40" s="21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2"/>
      <c r="B41" s="2"/>
      <c r="C41" s="2"/>
      <c r="D41" s="2"/>
      <c r="E41" s="2"/>
      <c r="F41" s="2"/>
      <c r="G41" s="2"/>
      <c r="H41" s="2"/>
      <c r="I41" s="2"/>
      <c r="J41" s="876"/>
      <c r="K41" s="212"/>
      <c r="L41" s="212"/>
      <c r="M41" s="21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2"/>
      <c r="B42" s="2"/>
      <c r="C42" s="2"/>
      <c r="D42" s="2"/>
      <c r="E42" s="2"/>
      <c r="F42" s="2"/>
      <c r="G42" s="2"/>
      <c r="H42" s="2"/>
      <c r="I42" s="2"/>
      <c r="J42" s="876"/>
      <c r="K42" s="212"/>
      <c r="L42" s="212"/>
      <c r="M42" s="21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2"/>
      <c r="B43" s="2"/>
      <c r="C43" s="2"/>
      <c r="D43" s="2"/>
      <c r="E43" s="2"/>
      <c r="F43" s="2"/>
      <c r="G43" s="2"/>
      <c r="H43" s="2"/>
      <c r="I43" s="2"/>
      <c r="J43" s="876"/>
      <c r="K43" s="212"/>
      <c r="L43" s="212"/>
      <c r="M43" s="21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2"/>
      <c r="B44" s="2"/>
      <c r="C44" s="2"/>
      <c r="D44" s="2"/>
      <c r="E44" s="2"/>
      <c r="F44" s="2"/>
      <c r="G44" s="2"/>
      <c r="H44" s="2"/>
      <c r="I44" s="2"/>
      <c r="J44" s="876"/>
      <c r="K44" s="212"/>
      <c r="L44" s="212"/>
      <c r="M44" s="21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2"/>
      <c r="B45" s="2"/>
      <c r="C45" s="2"/>
      <c r="D45" s="2"/>
      <c r="E45" s="2"/>
      <c r="F45" s="2"/>
      <c r="G45" s="2"/>
      <c r="H45" s="2"/>
      <c r="I45" s="2"/>
      <c r="J45" s="876"/>
      <c r="K45" s="212"/>
      <c r="L45" s="212"/>
      <c r="M45" s="21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2"/>
      <c r="B46" s="2"/>
      <c r="C46" s="2"/>
      <c r="D46" s="2"/>
      <c r="E46" s="2"/>
      <c r="F46" s="2"/>
      <c r="G46" s="2"/>
      <c r="H46" s="2"/>
      <c r="I46" s="2"/>
      <c r="J46" s="876"/>
      <c r="K46" s="212"/>
      <c r="L46" s="212"/>
      <c r="M46" s="21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2"/>
      <c r="B47" s="2"/>
      <c r="C47" s="2"/>
      <c r="D47" s="2"/>
      <c r="E47" s="2"/>
      <c r="F47" s="2"/>
      <c r="G47" s="2"/>
      <c r="H47" s="2"/>
      <c r="I47" s="2"/>
      <c r="J47" s="876"/>
      <c r="K47" s="212"/>
      <c r="L47" s="212"/>
      <c r="M47" s="21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>
      <c r="A48" s="2"/>
      <c r="B48" s="2"/>
      <c r="C48" s="2"/>
      <c r="D48" s="2"/>
      <c r="E48" s="2"/>
      <c r="F48" s="2"/>
      <c r="G48" s="2"/>
      <c r="H48" s="2"/>
      <c r="I48" s="2"/>
      <c r="J48" s="876"/>
      <c r="K48" s="212"/>
      <c r="L48" s="212"/>
      <c r="M48" s="21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2"/>
      <c r="B49" s="2"/>
      <c r="C49" s="2"/>
      <c r="D49" s="2"/>
      <c r="E49" s="2"/>
      <c r="F49" s="2"/>
      <c r="G49" s="2"/>
      <c r="H49" s="2"/>
      <c r="I49" s="2"/>
      <c r="J49" s="876"/>
      <c r="K49" s="212"/>
      <c r="L49" s="212"/>
      <c r="M49" s="21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2"/>
      <c r="B50" s="2"/>
      <c r="C50" s="2"/>
      <c r="D50" s="2"/>
      <c r="E50" s="2"/>
      <c r="F50" s="2"/>
      <c r="G50" s="2"/>
      <c r="H50" s="2"/>
      <c r="I50" s="2"/>
      <c r="J50" s="876"/>
      <c r="K50" s="212"/>
      <c r="L50" s="212"/>
      <c r="M50" s="21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2"/>
      <c r="B51" s="2"/>
      <c r="C51" s="2"/>
      <c r="D51" s="2"/>
      <c r="E51" s="2"/>
      <c r="F51" s="2"/>
      <c r="G51" s="2"/>
      <c r="H51" s="2"/>
      <c r="I51" s="2"/>
      <c r="J51" s="876"/>
      <c r="K51" s="212"/>
      <c r="L51" s="212"/>
      <c r="M51" s="21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2"/>
      <c r="B52" s="2"/>
      <c r="C52" s="2"/>
      <c r="D52" s="2"/>
      <c r="E52" s="2"/>
      <c r="F52" s="2"/>
      <c r="G52" s="2"/>
      <c r="H52" s="2"/>
      <c r="I52" s="2"/>
      <c r="J52" s="876"/>
      <c r="K52" s="212"/>
      <c r="L52" s="212"/>
      <c r="M52" s="21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2"/>
      <c r="B53" s="2"/>
      <c r="C53" s="2"/>
      <c r="D53" s="2"/>
      <c r="E53" s="2"/>
      <c r="F53" s="2"/>
      <c r="G53" s="2"/>
      <c r="H53" s="2"/>
      <c r="I53" s="2"/>
      <c r="J53" s="876"/>
      <c r="K53" s="212"/>
      <c r="L53" s="212"/>
      <c r="M53" s="21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>
      <c r="A54" s="2"/>
      <c r="B54" s="2"/>
      <c r="C54" s="2"/>
      <c r="D54" s="2"/>
      <c r="E54" s="2"/>
      <c r="F54" s="2"/>
      <c r="G54" s="2"/>
      <c r="H54" s="2"/>
      <c r="I54" s="2"/>
      <c r="J54" s="876"/>
      <c r="K54" s="212"/>
      <c r="L54" s="212"/>
      <c r="M54" s="21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876"/>
      <c r="K55" s="212"/>
      <c r="L55" s="212"/>
      <c r="M55" s="21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876"/>
      <c r="K56" s="212"/>
      <c r="L56" s="212"/>
      <c r="M56" s="21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2"/>
      <c r="C57" s="2"/>
      <c r="D57" s="2"/>
      <c r="E57" s="2"/>
      <c r="F57" s="2"/>
      <c r="G57" s="2"/>
      <c r="H57" s="2"/>
      <c r="I57" s="2"/>
      <c r="J57" s="876"/>
      <c r="K57" s="212"/>
      <c r="L57" s="212"/>
      <c r="M57" s="21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2"/>
      <c r="B58" s="2"/>
      <c r="C58" s="2"/>
      <c r="D58" s="2"/>
      <c r="E58" s="2"/>
      <c r="F58" s="2"/>
      <c r="G58" s="2"/>
      <c r="H58" s="2"/>
      <c r="I58" s="2"/>
      <c r="J58" s="876"/>
      <c r="K58" s="212"/>
      <c r="L58" s="212"/>
      <c r="M58" s="21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2"/>
      <c r="B59" s="2"/>
      <c r="C59" s="2"/>
      <c r="D59" s="2"/>
      <c r="E59" s="2"/>
      <c r="F59" s="2"/>
      <c r="G59" s="2"/>
      <c r="H59" s="2"/>
      <c r="I59" s="2"/>
      <c r="J59" s="876"/>
      <c r="K59" s="212"/>
      <c r="L59" s="212"/>
      <c r="M59" s="21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2"/>
      <c r="B60" s="2"/>
      <c r="C60" s="2"/>
      <c r="D60" s="2"/>
      <c r="E60" s="2"/>
      <c r="F60" s="2"/>
      <c r="G60" s="2"/>
      <c r="H60" s="2"/>
      <c r="I60" s="2"/>
      <c r="J60" s="876"/>
      <c r="K60" s="212"/>
      <c r="L60" s="212"/>
      <c r="M60" s="21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2"/>
      <c r="B61" s="2"/>
      <c r="C61" s="2"/>
      <c r="D61" s="2"/>
      <c r="E61" s="2"/>
      <c r="F61" s="2"/>
      <c r="G61" s="2"/>
      <c r="H61" s="2"/>
      <c r="I61" s="2"/>
      <c r="J61" s="876"/>
      <c r="K61" s="212"/>
      <c r="L61" s="212"/>
      <c r="M61" s="21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2"/>
      <c r="B62" s="2"/>
      <c r="C62" s="2"/>
      <c r="D62" s="2"/>
      <c r="E62" s="2"/>
      <c r="F62" s="2"/>
      <c r="G62" s="2"/>
      <c r="H62" s="2"/>
      <c r="I62" s="2"/>
      <c r="J62" s="876"/>
      <c r="K62" s="212"/>
      <c r="L62" s="212"/>
      <c r="M62" s="21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2"/>
      <c r="B63" s="2"/>
      <c r="C63" s="2"/>
      <c r="D63" s="2"/>
      <c r="E63" s="2"/>
      <c r="F63" s="2"/>
      <c r="G63" s="2"/>
      <c r="H63" s="2"/>
      <c r="I63" s="2"/>
      <c r="J63" s="876"/>
      <c r="K63" s="212"/>
      <c r="L63" s="212"/>
      <c r="M63" s="21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2"/>
      <c r="B64" s="2"/>
      <c r="C64" s="2"/>
      <c r="D64" s="2"/>
      <c r="E64" s="2"/>
      <c r="F64" s="2"/>
      <c r="G64" s="2"/>
      <c r="H64" s="2"/>
      <c r="I64" s="2"/>
      <c r="J64" s="876"/>
      <c r="K64" s="212"/>
      <c r="L64" s="212"/>
      <c r="M64" s="21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2"/>
      <c r="B65" s="2"/>
      <c r="C65" s="2"/>
      <c r="D65" s="2"/>
      <c r="E65" s="2"/>
      <c r="F65" s="2"/>
      <c r="G65" s="2"/>
      <c r="H65" s="2"/>
      <c r="I65" s="2"/>
      <c r="J65" s="876"/>
      <c r="K65" s="212"/>
      <c r="L65" s="212"/>
      <c r="M65" s="21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2"/>
      <c r="B66" s="2"/>
      <c r="C66" s="2"/>
      <c r="D66" s="2"/>
      <c r="E66" s="2"/>
      <c r="F66" s="2"/>
      <c r="G66" s="2"/>
      <c r="H66" s="2"/>
      <c r="I66" s="2"/>
      <c r="J66" s="876"/>
      <c r="K66" s="212"/>
      <c r="L66" s="212"/>
      <c r="M66" s="21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2"/>
      <c r="D67" s="2"/>
      <c r="E67" s="2"/>
      <c r="F67" s="2"/>
      <c r="G67" s="2"/>
      <c r="H67" s="2"/>
      <c r="I67" s="2"/>
      <c r="J67" s="876"/>
      <c r="K67" s="212"/>
      <c r="L67" s="212"/>
      <c r="M67" s="21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2"/>
      <c r="D68" s="2"/>
      <c r="E68" s="2"/>
      <c r="F68" s="2"/>
      <c r="G68" s="2"/>
      <c r="H68" s="2"/>
      <c r="I68" s="2"/>
      <c r="J68" s="876"/>
      <c r="K68" s="212"/>
      <c r="L68" s="212"/>
      <c r="M68" s="21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2"/>
      <c r="D69" s="2"/>
      <c r="E69" s="2"/>
      <c r="F69" s="2"/>
      <c r="G69" s="2"/>
      <c r="H69" s="2"/>
      <c r="I69" s="2"/>
      <c r="J69" s="876"/>
      <c r="K69" s="212"/>
      <c r="L69" s="212"/>
      <c r="M69" s="21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2"/>
      <c r="D70" s="2"/>
      <c r="E70" s="2"/>
      <c r="F70" s="2"/>
      <c r="G70" s="2"/>
      <c r="H70" s="2"/>
      <c r="I70" s="2"/>
      <c r="J70" s="876"/>
      <c r="K70" s="212"/>
      <c r="L70" s="212"/>
      <c r="M70" s="21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2"/>
      <c r="D71" s="2"/>
      <c r="E71" s="2"/>
      <c r="F71" s="2"/>
      <c r="G71" s="2"/>
      <c r="H71" s="2"/>
      <c r="I71" s="2"/>
      <c r="J71" s="876"/>
      <c r="K71" s="212"/>
      <c r="L71" s="212"/>
      <c r="M71" s="21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2"/>
      <c r="D72" s="2"/>
      <c r="E72" s="2"/>
      <c r="F72" s="2"/>
      <c r="G72" s="2"/>
      <c r="H72" s="2"/>
      <c r="I72" s="2"/>
      <c r="J72" s="876"/>
      <c r="K72" s="212"/>
      <c r="L72" s="212"/>
      <c r="M72" s="21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"/>
      <c r="D73" s="2"/>
      <c r="E73" s="2"/>
      <c r="F73" s="2"/>
      <c r="G73" s="2"/>
      <c r="H73" s="2"/>
      <c r="I73" s="2"/>
      <c r="J73" s="876"/>
      <c r="K73" s="212"/>
      <c r="L73" s="212"/>
      <c r="M73" s="21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2"/>
      <c r="D74" s="2"/>
      <c r="E74" s="2"/>
      <c r="F74" s="2"/>
      <c r="G74" s="2"/>
      <c r="H74" s="2"/>
      <c r="I74" s="2"/>
      <c r="J74" s="876"/>
      <c r="K74" s="212"/>
      <c r="L74" s="212"/>
      <c r="M74" s="21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2"/>
      <c r="F75" s="2"/>
      <c r="G75" s="2"/>
      <c r="H75" s="2"/>
      <c r="I75" s="2"/>
      <c r="J75" s="876"/>
      <c r="K75" s="212"/>
      <c r="L75" s="212"/>
      <c r="M75" s="21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2"/>
      <c r="F76" s="2"/>
      <c r="G76" s="2"/>
      <c r="H76" s="2"/>
      <c r="I76" s="2"/>
      <c r="J76" s="876"/>
      <c r="K76" s="212"/>
      <c r="L76" s="212"/>
      <c r="M76" s="21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2"/>
      <c r="F77" s="2"/>
      <c r="G77" s="2"/>
      <c r="H77" s="2"/>
      <c r="I77" s="2"/>
      <c r="J77" s="876"/>
      <c r="K77" s="212"/>
      <c r="L77" s="212"/>
      <c r="M77" s="21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2"/>
      <c r="F78" s="2"/>
      <c r="G78" s="2"/>
      <c r="H78" s="2"/>
      <c r="I78" s="2"/>
      <c r="J78" s="876"/>
      <c r="K78" s="212"/>
      <c r="L78" s="212"/>
      <c r="M78" s="21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2"/>
      <c r="F79" s="2"/>
      <c r="G79" s="2"/>
      <c r="H79" s="2"/>
      <c r="I79" s="2"/>
      <c r="J79" s="876"/>
      <c r="K79" s="212"/>
      <c r="L79" s="212"/>
      <c r="M79" s="21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2"/>
      <c r="F80" s="2"/>
      <c r="G80" s="2"/>
      <c r="H80" s="2"/>
      <c r="I80" s="2"/>
      <c r="J80" s="876"/>
      <c r="K80" s="212"/>
      <c r="L80" s="212"/>
      <c r="M80" s="21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2"/>
      <c r="D81" s="2"/>
      <c r="E81" s="2"/>
      <c r="F81" s="2"/>
      <c r="G81" s="2"/>
      <c r="H81" s="2"/>
      <c r="I81" s="2"/>
      <c r="J81" s="876"/>
      <c r="K81" s="212"/>
      <c r="L81" s="212"/>
      <c r="M81" s="21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2"/>
      <c r="D82" s="2"/>
      <c r="E82" s="2"/>
      <c r="F82" s="2"/>
      <c r="G82" s="2"/>
      <c r="H82" s="2"/>
      <c r="I82" s="2"/>
      <c r="J82" s="876"/>
      <c r="K82" s="212"/>
      <c r="L82" s="212"/>
      <c r="M82" s="21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2"/>
      <c r="D83" s="2"/>
      <c r="E83" s="2"/>
      <c r="F83" s="2"/>
      <c r="G83" s="2"/>
      <c r="H83" s="2"/>
      <c r="I83" s="2"/>
      <c r="J83" s="876"/>
      <c r="K83" s="212"/>
      <c r="L83" s="212"/>
      <c r="M83" s="21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2"/>
      <c r="D84" s="2"/>
      <c r="E84" s="2"/>
      <c r="F84" s="2"/>
      <c r="G84" s="2"/>
      <c r="H84" s="2"/>
      <c r="I84" s="2"/>
      <c r="J84" s="876"/>
      <c r="K84" s="212"/>
      <c r="L84" s="212"/>
      <c r="M84" s="21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2"/>
      <c r="D85" s="2"/>
      <c r="E85" s="2"/>
      <c r="F85" s="2"/>
      <c r="G85" s="2"/>
      <c r="H85" s="2"/>
      <c r="I85" s="2"/>
      <c r="J85" s="876"/>
      <c r="K85" s="212"/>
      <c r="L85" s="212"/>
      <c r="M85" s="21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2"/>
      <c r="D86" s="2"/>
      <c r="E86" s="2"/>
      <c r="F86" s="2"/>
      <c r="G86" s="2"/>
      <c r="H86" s="2"/>
      <c r="I86" s="2"/>
      <c r="J86" s="876"/>
      <c r="K86" s="212"/>
      <c r="L86" s="212"/>
      <c r="M86" s="21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2"/>
      <c r="D87" s="2"/>
      <c r="E87" s="2"/>
      <c r="F87" s="2"/>
      <c r="G87" s="2"/>
      <c r="H87" s="2"/>
      <c r="I87" s="2"/>
      <c r="J87" s="876"/>
      <c r="K87" s="212"/>
      <c r="L87" s="212"/>
      <c r="M87" s="21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2"/>
      <c r="D88" s="2"/>
      <c r="E88" s="2"/>
      <c r="F88" s="2"/>
      <c r="G88" s="2"/>
      <c r="H88" s="2"/>
      <c r="I88" s="2"/>
      <c r="J88" s="876"/>
      <c r="K88" s="212"/>
      <c r="L88" s="212"/>
      <c r="M88" s="21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2"/>
      <c r="D89" s="2"/>
      <c r="E89" s="2"/>
      <c r="F89" s="2"/>
      <c r="G89" s="2"/>
      <c r="H89" s="2"/>
      <c r="I89" s="2"/>
      <c r="J89" s="876"/>
      <c r="K89" s="212"/>
      <c r="L89" s="212"/>
      <c r="M89" s="21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2"/>
      <c r="D90" s="2"/>
      <c r="E90" s="2"/>
      <c r="F90" s="2"/>
      <c r="G90" s="2"/>
      <c r="H90" s="2"/>
      <c r="I90" s="2"/>
      <c r="J90" s="876"/>
      <c r="K90" s="212"/>
      <c r="L90" s="212"/>
      <c r="M90" s="21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2"/>
      <c r="D91" s="2"/>
      <c r="E91" s="2"/>
      <c r="F91" s="2"/>
      <c r="G91" s="2"/>
      <c r="H91" s="2"/>
      <c r="I91" s="2"/>
      <c r="J91" s="876"/>
      <c r="K91" s="212"/>
      <c r="L91" s="212"/>
      <c r="M91" s="21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2"/>
      <c r="D92" s="2"/>
      <c r="E92" s="2"/>
      <c r="F92" s="2"/>
      <c r="G92" s="2"/>
      <c r="H92" s="2"/>
      <c r="I92" s="2"/>
      <c r="J92" s="876"/>
      <c r="K92" s="212"/>
      <c r="L92" s="212"/>
      <c r="M92" s="21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2"/>
      <c r="D93" s="2"/>
      <c r="E93" s="2"/>
      <c r="F93" s="2"/>
      <c r="G93" s="2"/>
      <c r="H93" s="2"/>
      <c r="I93" s="2"/>
      <c r="J93" s="876"/>
      <c r="K93" s="212"/>
      <c r="L93" s="212"/>
      <c r="M93" s="21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2"/>
      <c r="D94" s="2"/>
      <c r="E94" s="2"/>
      <c r="F94" s="2"/>
      <c r="G94" s="2"/>
      <c r="H94" s="2"/>
      <c r="I94" s="2"/>
      <c r="J94" s="876"/>
      <c r="K94" s="212"/>
      <c r="L94" s="212"/>
      <c r="M94" s="21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2"/>
      <c r="F95" s="2"/>
      <c r="G95" s="2"/>
      <c r="H95" s="2"/>
      <c r="I95" s="2"/>
      <c r="J95" s="876"/>
      <c r="K95" s="212"/>
      <c r="L95" s="212"/>
      <c r="M95" s="21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"/>
      <c r="D96" s="2"/>
      <c r="E96" s="2"/>
      <c r="F96" s="2"/>
      <c r="G96" s="2"/>
      <c r="H96" s="2"/>
      <c r="I96" s="2"/>
      <c r="J96" s="876"/>
      <c r="K96" s="212"/>
      <c r="L96" s="212"/>
      <c r="M96" s="21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"/>
      <c r="D97" s="2"/>
      <c r="E97" s="2"/>
      <c r="F97" s="2"/>
      <c r="G97" s="2"/>
      <c r="H97" s="2"/>
      <c r="I97" s="2"/>
      <c r="J97" s="876"/>
      <c r="K97" s="212"/>
      <c r="L97" s="212"/>
      <c r="M97" s="21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"/>
      <c r="D98" s="2"/>
      <c r="E98" s="2"/>
      <c r="F98" s="2"/>
      <c r="G98" s="2"/>
      <c r="H98" s="2"/>
      <c r="I98" s="2"/>
      <c r="J98" s="876"/>
      <c r="K98" s="212"/>
      <c r="L98" s="212"/>
      <c r="M98" s="21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"/>
      <c r="D99" s="2"/>
      <c r="E99" s="2"/>
      <c r="F99" s="2"/>
      <c r="G99" s="2"/>
      <c r="H99" s="2"/>
      <c r="I99" s="2"/>
      <c r="J99" s="876"/>
      <c r="K99" s="212"/>
      <c r="L99" s="212"/>
      <c r="M99" s="21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"/>
      <c r="D100" s="2"/>
      <c r="E100" s="2"/>
      <c r="F100" s="2"/>
      <c r="G100" s="2"/>
      <c r="H100" s="2"/>
      <c r="I100" s="2"/>
      <c r="J100" s="876"/>
      <c r="K100" s="212"/>
      <c r="L100" s="212"/>
      <c r="M100" s="21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"/>
      <c r="D101" s="2"/>
      <c r="E101" s="2"/>
      <c r="F101" s="2"/>
      <c r="G101" s="2"/>
      <c r="H101" s="2"/>
      <c r="I101" s="2"/>
      <c r="J101" s="876"/>
      <c r="K101" s="212"/>
      <c r="L101" s="212"/>
      <c r="M101" s="21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"/>
      <c r="D102" s="2"/>
      <c r="E102" s="2"/>
      <c r="F102" s="2"/>
      <c r="G102" s="2"/>
      <c r="H102" s="2"/>
      <c r="I102" s="2"/>
      <c r="J102" s="876"/>
      <c r="K102" s="212"/>
      <c r="L102" s="212"/>
      <c r="M102" s="21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2"/>
      <c r="D103" s="2"/>
      <c r="E103" s="2"/>
      <c r="F103" s="2"/>
      <c r="G103" s="2"/>
      <c r="H103" s="2"/>
      <c r="I103" s="2"/>
      <c r="J103" s="876"/>
      <c r="K103" s="212"/>
      <c r="L103" s="212"/>
      <c r="M103" s="21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2"/>
      <c r="D104" s="2"/>
      <c r="E104" s="2"/>
      <c r="F104" s="2"/>
      <c r="G104" s="2"/>
      <c r="H104" s="2"/>
      <c r="I104" s="2"/>
      <c r="J104" s="876"/>
      <c r="K104" s="212"/>
      <c r="L104" s="212"/>
      <c r="M104" s="21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2"/>
      <c r="B105" s="2"/>
      <c r="C105" s="2"/>
      <c r="D105" s="2"/>
      <c r="E105" s="2"/>
      <c r="F105" s="2"/>
      <c r="G105" s="2"/>
      <c r="H105" s="2"/>
      <c r="I105" s="2"/>
      <c r="J105" s="876"/>
      <c r="K105" s="212"/>
      <c r="L105" s="212"/>
      <c r="M105" s="21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2"/>
      <c r="B106" s="2"/>
      <c r="C106" s="2"/>
      <c r="D106" s="2"/>
      <c r="E106" s="2"/>
      <c r="F106" s="2"/>
      <c r="G106" s="2"/>
      <c r="H106" s="2"/>
      <c r="I106" s="2"/>
      <c r="J106" s="876"/>
      <c r="K106" s="212"/>
      <c r="L106" s="212"/>
      <c r="M106" s="21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>
      <c r="A107" s="2"/>
      <c r="B107" s="2"/>
      <c r="C107" s="2"/>
      <c r="D107" s="2"/>
      <c r="E107" s="2"/>
      <c r="F107" s="2"/>
      <c r="G107" s="2"/>
      <c r="H107" s="2"/>
      <c r="I107" s="2"/>
      <c r="J107" s="876"/>
      <c r="K107" s="212"/>
      <c r="L107" s="212"/>
      <c r="M107" s="21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2"/>
      <c r="B108" s="2"/>
      <c r="C108" s="2"/>
      <c r="D108" s="2"/>
      <c r="E108" s="2"/>
      <c r="F108" s="2"/>
      <c r="G108" s="2"/>
      <c r="H108" s="2"/>
      <c r="I108" s="2"/>
      <c r="J108" s="876"/>
      <c r="K108" s="212"/>
      <c r="L108" s="212"/>
      <c r="M108" s="21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2.75">
      <c r="A109" s="2"/>
      <c r="B109" s="2"/>
      <c r="C109" s="2"/>
      <c r="D109" s="2"/>
      <c r="E109" s="2"/>
      <c r="F109" s="2"/>
      <c r="G109" s="2"/>
      <c r="H109" s="2"/>
      <c r="I109" s="2"/>
      <c r="J109" s="876"/>
      <c r="K109" s="212"/>
      <c r="L109" s="212"/>
      <c r="M109" s="21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2.75">
      <c r="A110" s="2"/>
      <c r="B110" s="2"/>
      <c r="C110" s="2"/>
      <c r="D110" s="2"/>
      <c r="E110" s="2"/>
      <c r="F110" s="2"/>
      <c r="G110" s="2"/>
      <c r="H110" s="2"/>
      <c r="I110" s="2"/>
      <c r="J110" s="876"/>
      <c r="K110" s="212"/>
      <c r="L110" s="212"/>
      <c r="M110" s="21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2.75">
      <c r="A111" s="2"/>
      <c r="B111" s="2"/>
      <c r="C111" s="2"/>
      <c r="D111" s="2"/>
      <c r="E111" s="2"/>
      <c r="F111" s="2"/>
      <c r="G111" s="2"/>
      <c r="H111" s="2"/>
      <c r="I111" s="2"/>
      <c r="J111" s="876"/>
      <c r="K111" s="212"/>
      <c r="L111" s="212"/>
      <c r="M111" s="21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2.75">
      <c r="A112" s="2"/>
      <c r="B112" s="2"/>
      <c r="C112" s="2"/>
      <c r="D112" s="2"/>
      <c r="E112" s="2"/>
      <c r="F112" s="2"/>
      <c r="G112" s="2"/>
      <c r="H112" s="2"/>
      <c r="I112" s="2"/>
      <c r="J112" s="876"/>
      <c r="K112" s="212"/>
      <c r="L112" s="212"/>
      <c r="M112" s="21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2.75">
      <c r="A113" s="2"/>
      <c r="B113" s="2"/>
      <c r="C113" s="2"/>
      <c r="D113" s="2"/>
      <c r="E113" s="2"/>
      <c r="F113" s="2"/>
      <c r="G113" s="2"/>
      <c r="H113" s="2"/>
      <c r="I113" s="2"/>
      <c r="J113" s="876"/>
      <c r="K113" s="212"/>
      <c r="L113" s="212"/>
      <c r="M113" s="21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2.75">
      <c r="A114" s="2"/>
      <c r="B114" s="2"/>
      <c r="C114" s="2"/>
      <c r="D114" s="2"/>
      <c r="E114" s="2"/>
      <c r="F114" s="2"/>
      <c r="G114" s="2"/>
      <c r="H114" s="2"/>
      <c r="I114" s="2"/>
      <c r="J114" s="876"/>
      <c r="K114" s="212"/>
      <c r="L114" s="212"/>
      <c r="M114" s="21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2.75">
      <c r="A115" s="2"/>
      <c r="B115" s="2"/>
      <c r="C115" s="2"/>
      <c r="D115" s="2"/>
      <c r="E115" s="2"/>
      <c r="F115" s="2"/>
      <c r="G115" s="2"/>
      <c r="H115" s="2"/>
      <c r="I115" s="2"/>
      <c r="J115" s="876"/>
      <c r="K115" s="212"/>
      <c r="L115" s="212"/>
      <c r="M115" s="21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2.75">
      <c r="A116" s="2"/>
      <c r="B116" s="2"/>
      <c r="C116" s="2"/>
      <c r="D116" s="2"/>
      <c r="E116" s="2"/>
      <c r="F116" s="2"/>
      <c r="G116" s="2"/>
      <c r="H116" s="2"/>
      <c r="I116" s="2"/>
      <c r="J116" s="876"/>
      <c r="K116" s="212"/>
      <c r="L116" s="212"/>
      <c r="M116" s="21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2.75">
      <c r="A117" s="2"/>
      <c r="B117" s="2"/>
      <c r="C117" s="2"/>
      <c r="D117" s="2"/>
      <c r="E117" s="2"/>
      <c r="F117" s="2"/>
      <c r="G117" s="2"/>
      <c r="H117" s="2"/>
      <c r="I117" s="2"/>
      <c r="J117" s="876"/>
      <c r="K117" s="212"/>
      <c r="L117" s="212"/>
      <c r="M117" s="21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2.75">
      <c r="A118" s="2"/>
      <c r="B118" s="2"/>
      <c r="C118" s="2"/>
      <c r="D118" s="2"/>
      <c r="E118" s="2"/>
      <c r="F118" s="2"/>
      <c r="G118" s="2"/>
      <c r="H118" s="2"/>
      <c r="I118" s="2"/>
      <c r="J118" s="876"/>
      <c r="K118" s="212"/>
      <c r="L118" s="212"/>
      <c r="M118" s="21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2.75">
      <c r="A119" s="2"/>
      <c r="B119" s="2"/>
      <c r="C119" s="2"/>
      <c r="D119" s="2"/>
      <c r="E119" s="2"/>
      <c r="F119" s="2"/>
      <c r="G119" s="2"/>
      <c r="H119" s="2"/>
      <c r="I119" s="2"/>
      <c r="J119" s="876"/>
      <c r="K119" s="212"/>
      <c r="L119" s="212"/>
      <c r="M119" s="21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2.75">
      <c r="A120" s="2"/>
      <c r="B120" s="2"/>
      <c r="C120" s="2"/>
      <c r="D120" s="2"/>
      <c r="E120" s="2"/>
      <c r="F120" s="2"/>
      <c r="G120" s="2"/>
      <c r="H120" s="2"/>
      <c r="I120" s="2"/>
      <c r="J120" s="876"/>
      <c r="K120" s="212"/>
      <c r="L120" s="212"/>
      <c r="M120" s="21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2.75">
      <c r="A121" s="2"/>
      <c r="B121" s="2"/>
      <c r="C121" s="2"/>
      <c r="D121" s="2"/>
      <c r="E121" s="2"/>
      <c r="F121" s="2"/>
      <c r="G121" s="2"/>
      <c r="H121" s="2"/>
      <c r="I121" s="2"/>
      <c r="J121" s="876"/>
      <c r="K121" s="212"/>
      <c r="L121" s="212"/>
      <c r="M121" s="21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2.75">
      <c r="A122" s="2"/>
      <c r="B122" s="2"/>
      <c r="C122" s="2"/>
      <c r="D122" s="2"/>
      <c r="E122" s="2"/>
      <c r="F122" s="2"/>
      <c r="G122" s="2"/>
      <c r="H122" s="2"/>
      <c r="I122" s="2"/>
      <c r="J122" s="876"/>
      <c r="K122" s="212"/>
      <c r="L122" s="212"/>
      <c r="M122" s="21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2.75">
      <c r="A123" s="2"/>
      <c r="B123" s="2"/>
      <c r="C123" s="2"/>
      <c r="D123" s="2"/>
      <c r="E123" s="2"/>
      <c r="F123" s="2"/>
      <c r="G123" s="2"/>
      <c r="H123" s="2"/>
      <c r="I123" s="2"/>
      <c r="J123" s="876"/>
      <c r="K123" s="212"/>
      <c r="L123" s="212"/>
      <c r="M123" s="21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2.75">
      <c r="A124" s="2"/>
      <c r="B124" s="2"/>
      <c r="C124" s="2"/>
      <c r="D124" s="2"/>
      <c r="E124" s="2"/>
      <c r="F124" s="2"/>
      <c r="G124" s="2"/>
      <c r="H124" s="2"/>
      <c r="I124" s="2"/>
      <c r="J124" s="876"/>
      <c r="K124" s="212"/>
      <c r="L124" s="212"/>
      <c r="M124" s="21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2.75">
      <c r="A125" s="2"/>
      <c r="B125" s="2"/>
      <c r="C125" s="2"/>
      <c r="D125" s="2"/>
      <c r="E125" s="2"/>
      <c r="F125" s="2"/>
      <c r="G125" s="2"/>
      <c r="H125" s="2"/>
      <c r="I125" s="2"/>
      <c r="J125" s="876"/>
      <c r="K125" s="212"/>
      <c r="L125" s="212"/>
      <c r="M125" s="21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2.75">
      <c r="A126" s="2"/>
      <c r="B126" s="2"/>
      <c r="C126" s="2"/>
      <c r="D126" s="2"/>
      <c r="E126" s="2"/>
      <c r="F126" s="2"/>
      <c r="G126" s="2"/>
      <c r="H126" s="2"/>
      <c r="I126" s="2"/>
      <c r="J126" s="876"/>
      <c r="K126" s="212"/>
      <c r="L126" s="212"/>
      <c r="M126" s="21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2.75">
      <c r="A127" s="2"/>
      <c r="B127" s="2"/>
      <c r="C127" s="2"/>
      <c r="D127" s="2"/>
      <c r="E127" s="2"/>
      <c r="F127" s="2"/>
      <c r="G127" s="2"/>
      <c r="H127" s="2"/>
      <c r="I127" s="2"/>
      <c r="J127" s="876"/>
      <c r="K127" s="212"/>
      <c r="L127" s="212"/>
      <c r="M127" s="21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2.75">
      <c r="A128" s="2"/>
      <c r="B128" s="2"/>
      <c r="C128" s="2"/>
      <c r="D128" s="2"/>
      <c r="E128" s="2"/>
      <c r="F128" s="2"/>
      <c r="G128" s="2"/>
      <c r="H128" s="2"/>
      <c r="I128" s="2"/>
      <c r="J128" s="876"/>
      <c r="K128" s="212"/>
      <c r="L128" s="212"/>
      <c r="M128" s="21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2.75">
      <c r="A129" s="2"/>
      <c r="B129" s="2"/>
      <c r="C129" s="2"/>
      <c r="D129" s="2"/>
      <c r="E129" s="2"/>
      <c r="F129" s="2"/>
      <c r="G129" s="2"/>
      <c r="H129" s="2"/>
      <c r="I129" s="2"/>
      <c r="J129" s="876"/>
      <c r="K129" s="212"/>
      <c r="L129" s="212"/>
      <c r="M129" s="21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2.75">
      <c r="A130" s="2"/>
      <c r="B130" s="2"/>
      <c r="C130" s="2"/>
      <c r="D130" s="2"/>
      <c r="E130" s="2"/>
      <c r="F130" s="2"/>
      <c r="G130" s="2"/>
      <c r="H130" s="2"/>
      <c r="I130" s="2"/>
      <c r="J130" s="876"/>
      <c r="K130" s="212"/>
      <c r="L130" s="212"/>
      <c r="M130" s="21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2.75">
      <c r="A131" s="2"/>
      <c r="B131" s="2"/>
      <c r="C131" s="2"/>
      <c r="D131" s="2"/>
      <c r="E131" s="2"/>
      <c r="F131" s="2"/>
      <c r="G131" s="2"/>
      <c r="H131" s="2"/>
      <c r="I131" s="2"/>
      <c r="J131" s="876"/>
      <c r="K131" s="212"/>
      <c r="L131" s="212"/>
      <c r="M131" s="21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2.75">
      <c r="A132" s="2"/>
      <c r="B132" s="2"/>
      <c r="C132" s="2"/>
      <c r="D132" s="2"/>
      <c r="E132" s="2"/>
      <c r="F132" s="2"/>
      <c r="G132" s="2"/>
      <c r="H132" s="2"/>
      <c r="I132" s="2"/>
      <c r="J132" s="876"/>
      <c r="K132" s="212"/>
      <c r="L132" s="212"/>
      <c r="M132" s="21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2.75">
      <c r="A133" s="2"/>
      <c r="B133" s="2"/>
      <c r="C133" s="2"/>
      <c r="D133" s="2"/>
      <c r="E133" s="2"/>
      <c r="F133" s="2"/>
      <c r="G133" s="2"/>
      <c r="H133" s="2"/>
      <c r="I133" s="2"/>
      <c r="J133" s="876"/>
      <c r="K133" s="212"/>
      <c r="L133" s="212"/>
      <c r="M133" s="21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2.75">
      <c r="A134" s="2"/>
      <c r="B134" s="2"/>
      <c r="C134" s="2"/>
      <c r="D134" s="2"/>
      <c r="E134" s="2"/>
      <c r="F134" s="2"/>
      <c r="G134" s="2"/>
      <c r="H134" s="2"/>
      <c r="I134" s="2"/>
      <c r="J134" s="876"/>
      <c r="K134" s="212"/>
      <c r="L134" s="212"/>
      <c r="M134" s="21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2.75">
      <c r="A135" s="2"/>
      <c r="B135" s="2"/>
      <c r="C135" s="2"/>
      <c r="D135" s="2"/>
      <c r="E135" s="2"/>
      <c r="F135" s="2"/>
      <c r="G135" s="2"/>
      <c r="H135" s="2"/>
      <c r="I135" s="2"/>
      <c r="J135" s="876"/>
      <c r="K135" s="212"/>
      <c r="L135" s="212"/>
      <c r="M135" s="21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2.75">
      <c r="A136" s="2"/>
      <c r="B136" s="2"/>
      <c r="C136" s="2"/>
      <c r="D136" s="2"/>
      <c r="E136" s="2"/>
      <c r="F136" s="2"/>
      <c r="G136" s="2"/>
      <c r="H136" s="2"/>
      <c r="I136" s="2"/>
      <c r="J136" s="876"/>
      <c r="K136" s="212"/>
      <c r="L136" s="212"/>
      <c r="M136" s="21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2.75">
      <c r="A137" s="2"/>
      <c r="B137" s="2"/>
      <c r="C137" s="2"/>
      <c r="D137" s="2"/>
      <c r="E137" s="2"/>
      <c r="F137" s="2"/>
      <c r="G137" s="2"/>
      <c r="H137" s="2"/>
      <c r="I137" s="2"/>
      <c r="J137" s="876"/>
      <c r="K137" s="212"/>
      <c r="L137" s="212"/>
      <c r="M137" s="21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2.75">
      <c r="A138" s="2"/>
      <c r="B138" s="2"/>
      <c r="C138" s="2"/>
      <c r="D138" s="2"/>
      <c r="E138" s="2"/>
      <c r="F138" s="2"/>
      <c r="G138" s="2"/>
      <c r="H138" s="2"/>
      <c r="I138" s="2"/>
      <c r="J138" s="876"/>
      <c r="K138" s="212"/>
      <c r="L138" s="212"/>
      <c r="M138" s="21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2.75">
      <c r="A139" s="2"/>
      <c r="B139" s="2"/>
      <c r="C139" s="2"/>
      <c r="D139" s="2"/>
      <c r="E139" s="2"/>
      <c r="F139" s="2"/>
      <c r="G139" s="2"/>
      <c r="H139" s="2"/>
      <c r="I139" s="2"/>
      <c r="J139" s="876"/>
      <c r="K139" s="212"/>
      <c r="L139" s="212"/>
      <c r="M139" s="21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2.75">
      <c r="A140" s="2"/>
      <c r="B140" s="2"/>
      <c r="C140" s="2"/>
      <c r="D140" s="2"/>
      <c r="E140" s="2"/>
      <c r="F140" s="2"/>
      <c r="G140" s="2"/>
      <c r="H140" s="2"/>
      <c r="I140" s="2"/>
      <c r="J140" s="876"/>
      <c r="K140" s="212"/>
      <c r="L140" s="212"/>
      <c r="M140" s="21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2.75">
      <c r="A141" s="2"/>
      <c r="B141" s="2"/>
      <c r="C141" s="2"/>
      <c r="D141" s="2"/>
      <c r="E141" s="2"/>
      <c r="F141" s="2"/>
      <c r="G141" s="2"/>
      <c r="H141" s="2"/>
      <c r="I141" s="2"/>
      <c r="J141" s="876"/>
      <c r="K141" s="212"/>
      <c r="L141" s="212"/>
      <c r="M141" s="21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2.75">
      <c r="A142" s="2"/>
      <c r="B142" s="2"/>
      <c r="C142" s="2"/>
      <c r="D142" s="2"/>
      <c r="E142" s="2"/>
      <c r="F142" s="2"/>
      <c r="G142" s="2"/>
      <c r="H142" s="2"/>
      <c r="I142" s="2"/>
      <c r="J142" s="876"/>
      <c r="K142" s="212"/>
      <c r="L142" s="212"/>
      <c r="M142" s="21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2.75">
      <c r="A143" s="2"/>
      <c r="B143" s="2"/>
      <c r="C143" s="2"/>
      <c r="D143" s="2"/>
      <c r="E143" s="2"/>
      <c r="F143" s="2"/>
      <c r="G143" s="2"/>
      <c r="H143" s="2"/>
      <c r="I143" s="2"/>
      <c r="J143" s="876"/>
      <c r="K143" s="212"/>
      <c r="L143" s="212"/>
      <c r="M143" s="21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2.75">
      <c r="A144" s="2"/>
      <c r="B144" s="2"/>
      <c r="C144" s="2"/>
      <c r="D144" s="2"/>
      <c r="E144" s="2"/>
      <c r="F144" s="2"/>
      <c r="G144" s="2"/>
      <c r="H144" s="2"/>
      <c r="I144" s="2"/>
      <c r="J144" s="876"/>
      <c r="K144" s="212"/>
      <c r="L144" s="212"/>
      <c r="M144" s="21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2.75">
      <c r="A145" s="2"/>
      <c r="B145" s="2"/>
      <c r="C145" s="2"/>
      <c r="D145" s="2"/>
      <c r="E145" s="2"/>
      <c r="F145" s="2"/>
      <c r="G145" s="2"/>
      <c r="H145" s="2"/>
      <c r="I145" s="2"/>
      <c r="J145" s="876"/>
      <c r="K145" s="212"/>
      <c r="L145" s="212"/>
      <c r="M145" s="21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2.75">
      <c r="A146" s="2"/>
      <c r="B146" s="2"/>
      <c r="C146" s="2"/>
      <c r="D146" s="2"/>
      <c r="E146" s="2"/>
      <c r="F146" s="2"/>
      <c r="G146" s="2"/>
      <c r="H146" s="2"/>
      <c r="I146" s="2"/>
      <c r="J146" s="876"/>
      <c r="K146" s="212"/>
      <c r="L146" s="212"/>
      <c r="M146" s="21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2.75">
      <c r="A147" s="2"/>
      <c r="B147" s="2"/>
      <c r="C147" s="2"/>
      <c r="D147" s="2"/>
      <c r="E147" s="2"/>
      <c r="F147" s="2"/>
      <c r="G147" s="2"/>
      <c r="H147" s="2"/>
      <c r="I147" s="2"/>
      <c r="J147" s="876"/>
      <c r="K147" s="212"/>
      <c r="L147" s="212"/>
      <c r="M147" s="21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2.75">
      <c r="A148" s="2"/>
      <c r="B148" s="2"/>
      <c r="C148" s="2"/>
      <c r="D148" s="2"/>
      <c r="E148" s="2"/>
      <c r="F148" s="2"/>
      <c r="G148" s="2"/>
      <c r="H148" s="2"/>
      <c r="I148" s="2"/>
      <c r="J148" s="876"/>
      <c r="K148" s="212"/>
      <c r="L148" s="212"/>
      <c r="M148" s="21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2.75">
      <c r="A149" s="2"/>
      <c r="B149" s="2"/>
      <c r="C149" s="2"/>
      <c r="D149" s="2"/>
      <c r="E149" s="2"/>
      <c r="F149" s="2"/>
      <c r="G149" s="2"/>
      <c r="H149" s="2"/>
      <c r="I149" s="2"/>
      <c r="J149" s="876"/>
      <c r="K149" s="212"/>
      <c r="L149" s="212"/>
      <c r="M149" s="21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2.75">
      <c r="A150" s="2"/>
      <c r="B150" s="2"/>
      <c r="C150" s="2"/>
      <c r="D150" s="2"/>
      <c r="E150" s="2"/>
      <c r="F150" s="2"/>
      <c r="G150" s="2"/>
      <c r="H150" s="2"/>
      <c r="I150" s="2"/>
      <c r="J150" s="876"/>
      <c r="K150" s="212"/>
      <c r="L150" s="212"/>
      <c r="M150" s="21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2.75">
      <c r="A151" s="2"/>
      <c r="B151" s="2"/>
      <c r="C151" s="2"/>
      <c r="D151" s="2"/>
      <c r="E151" s="2"/>
      <c r="F151" s="2"/>
      <c r="G151" s="2"/>
      <c r="H151" s="2"/>
      <c r="I151" s="2"/>
      <c r="J151" s="876"/>
      <c r="K151" s="212"/>
      <c r="L151" s="212"/>
      <c r="M151" s="21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2.75">
      <c r="A152" s="2"/>
      <c r="B152" s="2"/>
      <c r="C152" s="2"/>
      <c r="D152" s="2"/>
      <c r="E152" s="2"/>
      <c r="F152" s="2"/>
      <c r="G152" s="2"/>
      <c r="H152" s="2"/>
      <c r="I152" s="2"/>
      <c r="J152" s="876"/>
      <c r="K152" s="212"/>
      <c r="L152" s="212"/>
      <c r="M152" s="21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2.75">
      <c r="A153" s="2"/>
      <c r="B153" s="2"/>
      <c r="C153" s="2"/>
      <c r="D153" s="2"/>
      <c r="E153" s="2"/>
      <c r="F153" s="2"/>
      <c r="G153" s="2"/>
      <c r="H153" s="2"/>
      <c r="I153" s="2"/>
      <c r="J153" s="876"/>
      <c r="K153" s="212"/>
      <c r="L153" s="212"/>
      <c r="M153" s="21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2.75">
      <c r="A154" s="2"/>
      <c r="B154" s="2"/>
      <c r="C154" s="2"/>
      <c r="D154" s="2"/>
      <c r="E154" s="2"/>
      <c r="F154" s="2"/>
      <c r="G154" s="2"/>
      <c r="H154" s="2"/>
      <c r="I154" s="2"/>
      <c r="J154" s="876"/>
      <c r="K154" s="212"/>
      <c r="L154" s="212"/>
      <c r="M154" s="21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2.75">
      <c r="A155" s="2"/>
      <c r="B155" s="2"/>
      <c r="C155" s="2"/>
      <c r="D155" s="2"/>
      <c r="E155" s="2"/>
      <c r="F155" s="2"/>
      <c r="G155" s="2"/>
      <c r="H155" s="2"/>
      <c r="I155" s="2"/>
      <c r="J155" s="876"/>
      <c r="K155" s="212"/>
      <c r="L155" s="212"/>
      <c r="M155" s="21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2.75">
      <c r="A156" s="2"/>
      <c r="B156" s="2"/>
      <c r="C156" s="2"/>
      <c r="D156" s="2"/>
      <c r="E156" s="2"/>
      <c r="F156" s="2"/>
      <c r="G156" s="2"/>
      <c r="H156" s="2"/>
      <c r="I156" s="2"/>
      <c r="J156" s="876"/>
      <c r="K156" s="212"/>
      <c r="L156" s="212"/>
      <c r="M156" s="21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2.75">
      <c r="A157" s="2"/>
      <c r="B157" s="2"/>
      <c r="C157" s="2"/>
      <c r="D157" s="2"/>
      <c r="E157" s="2"/>
      <c r="F157" s="2"/>
      <c r="G157" s="2"/>
      <c r="H157" s="2"/>
      <c r="I157" s="2"/>
      <c r="J157" s="876"/>
      <c r="K157" s="212"/>
      <c r="L157" s="212"/>
      <c r="M157" s="21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2.75">
      <c r="A158" s="2"/>
      <c r="B158" s="2"/>
      <c r="C158" s="2"/>
      <c r="D158" s="2"/>
      <c r="E158" s="2"/>
      <c r="F158" s="2"/>
      <c r="G158" s="2"/>
      <c r="H158" s="2"/>
      <c r="I158" s="2"/>
      <c r="J158" s="876"/>
      <c r="K158" s="212"/>
      <c r="L158" s="212"/>
      <c r="M158" s="21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2.75">
      <c r="A159" s="2"/>
      <c r="B159" s="2"/>
      <c r="C159" s="2"/>
      <c r="D159" s="2"/>
      <c r="E159" s="2"/>
      <c r="F159" s="2"/>
      <c r="G159" s="2"/>
      <c r="H159" s="2"/>
      <c r="I159" s="2"/>
      <c r="J159" s="876"/>
      <c r="K159" s="212"/>
      <c r="L159" s="212"/>
      <c r="M159" s="21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2.75">
      <c r="A160" s="2"/>
      <c r="B160" s="2"/>
      <c r="C160" s="2"/>
      <c r="D160" s="2"/>
      <c r="E160" s="2"/>
      <c r="F160" s="2"/>
      <c r="G160" s="2"/>
      <c r="H160" s="2"/>
      <c r="I160" s="2"/>
      <c r="J160" s="876"/>
      <c r="K160" s="212"/>
      <c r="L160" s="212"/>
      <c r="M160" s="21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2.75">
      <c r="A161" s="2"/>
      <c r="B161" s="2"/>
      <c r="C161" s="2"/>
      <c r="D161" s="2"/>
      <c r="E161" s="2"/>
      <c r="F161" s="2"/>
      <c r="G161" s="2"/>
      <c r="H161" s="2"/>
      <c r="I161" s="2"/>
      <c r="J161" s="876"/>
      <c r="K161" s="212"/>
      <c r="L161" s="212"/>
      <c r="M161" s="21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2.75">
      <c r="A162" s="2"/>
      <c r="B162" s="2"/>
      <c r="C162" s="2"/>
      <c r="D162" s="2"/>
      <c r="E162" s="2"/>
      <c r="F162" s="2"/>
      <c r="G162" s="2"/>
      <c r="H162" s="2"/>
      <c r="I162" s="2"/>
      <c r="J162" s="876"/>
      <c r="K162" s="212"/>
      <c r="L162" s="212"/>
      <c r="M162" s="21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2.75">
      <c r="A163" s="2"/>
      <c r="B163" s="2"/>
      <c r="C163" s="2"/>
      <c r="D163" s="2"/>
      <c r="E163" s="2"/>
      <c r="F163" s="2"/>
      <c r="G163" s="2"/>
      <c r="H163" s="2"/>
      <c r="I163" s="2"/>
      <c r="J163" s="876"/>
      <c r="K163" s="212"/>
      <c r="L163" s="212"/>
      <c r="M163" s="21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2.75">
      <c r="A164" s="2"/>
      <c r="B164" s="2"/>
      <c r="C164" s="2"/>
      <c r="D164" s="2"/>
      <c r="E164" s="2"/>
      <c r="F164" s="2"/>
      <c r="G164" s="2"/>
      <c r="H164" s="2"/>
      <c r="I164" s="2"/>
      <c r="J164" s="876"/>
      <c r="K164" s="212"/>
      <c r="L164" s="212"/>
      <c r="M164" s="21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2.75">
      <c r="A165" s="2"/>
      <c r="B165" s="2"/>
      <c r="C165" s="2"/>
      <c r="D165" s="2"/>
      <c r="E165" s="2"/>
      <c r="F165" s="2"/>
      <c r="G165" s="2"/>
      <c r="H165" s="2"/>
      <c r="I165" s="2"/>
      <c r="J165" s="876"/>
      <c r="K165" s="212"/>
      <c r="L165" s="212"/>
      <c r="M165" s="21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2.75">
      <c r="A166" s="2"/>
      <c r="B166" s="2"/>
      <c r="C166" s="2"/>
      <c r="D166" s="2"/>
      <c r="E166" s="2"/>
      <c r="F166" s="2"/>
      <c r="G166" s="2"/>
      <c r="H166" s="2"/>
      <c r="I166" s="2"/>
      <c r="J166" s="876"/>
      <c r="K166" s="212"/>
      <c r="L166" s="212"/>
      <c r="M166" s="21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2.75">
      <c r="A167" s="2"/>
      <c r="B167" s="2"/>
      <c r="C167" s="2"/>
      <c r="D167" s="2"/>
      <c r="E167" s="2"/>
      <c r="F167" s="2"/>
      <c r="G167" s="2"/>
      <c r="H167" s="2"/>
      <c r="I167" s="2"/>
      <c r="J167" s="876"/>
      <c r="K167" s="212"/>
      <c r="L167" s="212"/>
      <c r="M167" s="21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2.75">
      <c r="A168" s="2"/>
      <c r="B168" s="2"/>
      <c r="C168" s="2"/>
      <c r="D168" s="2"/>
      <c r="E168" s="2"/>
      <c r="F168" s="2"/>
      <c r="G168" s="2"/>
      <c r="H168" s="2"/>
      <c r="I168" s="2"/>
      <c r="J168" s="876"/>
      <c r="K168" s="212"/>
      <c r="L168" s="212"/>
      <c r="M168" s="21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2.75">
      <c r="A169" s="2"/>
      <c r="B169" s="2"/>
      <c r="C169" s="2"/>
      <c r="D169" s="2"/>
      <c r="E169" s="2"/>
      <c r="F169" s="2"/>
      <c r="G169" s="2"/>
      <c r="H169" s="2"/>
      <c r="I169" s="2"/>
      <c r="J169" s="876"/>
      <c r="K169" s="212"/>
      <c r="L169" s="212"/>
      <c r="M169" s="21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2.75">
      <c r="A170" s="2"/>
      <c r="B170" s="2"/>
      <c r="C170" s="2"/>
      <c r="D170" s="2"/>
      <c r="E170" s="2"/>
      <c r="F170" s="2"/>
      <c r="G170" s="2"/>
      <c r="H170" s="2"/>
      <c r="I170" s="2"/>
      <c r="J170" s="876"/>
      <c r="K170" s="212"/>
      <c r="L170" s="212"/>
      <c r="M170" s="21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2.75">
      <c r="A171" s="2"/>
      <c r="B171" s="2"/>
      <c r="C171" s="2"/>
      <c r="D171" s="2"/>
      <c r="E171" s="2"/>
      <c r="F171" s="2"/>
      <c r="G171" s="2"/>
      <c r="H171" s="2"/>
      <c r="I171" s="2"/>
      <c r="J171" s="876"/>
      <c r="K171" s="212"/>
      <c r="L171" s="212"/>
      <c r="M171" s="21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2.75">
      <c r="A172" s="2"/>
      <c r="B172" s="2"/>
      <c r="C172" s="2"/>
      <c r="D172" s="2"/>
      <c r="E172" s="2"/>
      <c r="F172" s="2"/>
      <c r="G172" s="2"/>
      <c r="H172" s="2"/>
      <c r="I172" s="2"/>
      <c r="J172" s="876"/>
      <c r="K172" s="212"/>
      <c r="L172" s="212"/>
      <c r="M172" s="21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2.75">
      <c r="A173" s="2"/>
      <c r="B173" s="2"/>
      <c r="C173" s="2"/>
      <c r="D173" s="2"/>
      <c r="E173" s="2"/>
      <c r="F173" s="2"/>
      <c r="G173" s="2"/>
      <c r="H173" s="2"/>
      <c r="I173" s="2"/>
      <c r="J173" s="876"/>
      <c r="K173" s="212"/>
      <c r="L173" s="212"/>
      <c r="M173" s="21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2.75">
      <c r="A174" s="2"/>
      <c r="B174" s="2"/>
      <c r="C174" s="2"/>
      <c r="D174" s="2"/>
      <c r="E174" s="2"/>
      <c r="F174" s="2"/>
      <c r="G174" s="2"/>
      <c r="H174" s="2"/>
      <c r="I174" s="2"/>
      <c r="J174" s="876"/>
      <c r="K174" s="212"/>
      <c r="L174" s="212"/>
      <c r="M174" s="21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2.75">
      <c r="A175" s="2"/>
      <c r="B175" s="2"/>
      <c r="C175" s="2"/>
      <c r="D175" s="2"/>
      <c r="E175" s="2"/>
      <c r="F175" s="2"/>
      <c r="G175" s="2"/>
      <c r="H175" s="2"/>
      <c r="I175" s="2"/>
      <c r="J175" s="876"/>
      <c r="K175" s="212"/>
      <c r="L175" s="212"/>
      <c r="M175" s="21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2.75">
      <c r="A176" s="2"/>
      <c r="B176" s="2"/>
      <c r="C176" s="2"/>
      <c r="D176" s="2"/>
      <c r="E176" s="2"/>
      <c r="F176" s="2"/>
      <c r="G176" s="2"/>
      <c r="H176" s="2"/>
      <c r="I176" s="2"/>
      <c r="J176" s="876"/>
      <c r="K176" s="212"/>
      <c r="L176" s="212"/>
      <c r="M176" s="21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2.75">
      <c r="A177" s="2"/>
      <c r="B177" s="2"/>
      <c r="C177" s="2"/>
      <c r="D177" s="2"/>
      <c r="E177" s="2"/>
      <c r="F177" s="2"/>
      <c r="G177" s="2"/>
      <c r="H177" s="2"/>
      <c r="I177" s="2"/>
      <c r="J177" s="876"/>
      <c r="K177" s="212"/>
      <c r="L177" s="212"/>
      <c r="M177" s="21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2.75">
      <c r="A178" s="2"/>
      <c r="B178" s="2"/>
      <c r="C178" s="2"/>
      <c r="D178" s="2"/>
      <c r="E178" s="2"/>
      <c r="F178" s="2"/>
      <c r="G178" s="2"/>
      <c r="H178" s="2"/>
      <c r="I178" s="2"/>
      <c r="J178" s="876"/>
      <c r="K178" s="212"/>
      <c r="L178" s="212"/>
      <c r="M178" s="21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2.75">
      <c r="A179" s="2"/>
      <c r="B179" s="2"/>
      <c r="C179" s="2"/>
      <c r="D179" s="2"/>
      <c r="E179" s="2"/>
      <c r="F179" s="2"/>
      <c r="G179" s="2"/>
      <c r="H179" s="2"/>
      <c r="I179" s="2"/>
      <c r="J179" s="876"/>
      <c r="K179" s="212"/>
      <c r="L179" s="212"/>
      <c r="M179" s="21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2.75">
      <c r="A180" s="2"/>
      <c r="B180" s="2"/>
      <c r="C180" s="2"/>
      <c r="D180" s="2"/>
      <c r="E180" s="2"/>
      <c r="F180" s="2"/>
      <c r="G180" s="2"/>
      <c r="H180" s="2"/>
      <c r="I180" s="2"/>
      <c r="J180" s="876"/>
      <c r="K180" s="212"/>
      <c r="L180" s="212"/>
      <c r="M180" s="21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2.75">
      <c r="A181" s="2"/>
      <c r="B181" s="2"/>
      <c r="C181" s="2"/>
      <c r="D181" s="2"/>
      <c r="E181" s="2"/>
      <c r="F181" s="2"/>
      <c r="G181" s="2"/>
      <c r="H181" s="2"/>
      <c r="I181" s="2"/>
      <c r="J181" s="876"/>
      <c r="K181" s="212"/>
      <c r="L181" s="212"/>
      <c r="M181" s="21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2.75">
      <c r="A182" s="2"/>
      <c r="B182" s="2"/>
      <c r="C182" s="2"/>
      <c r="D182" s="2"/>
      <c r="E182" s="2"/>
      <c r="F182" s="2"/>
      <c r="G182" s="2"/>
      <c r="H182" s="2"/>
      <c r="I182" s="2"/>
      <c r="J182" s="876"/>
      <c r="K182" s="212"/>
      <c r="L182" s="212"/>
      <c r="M182" s="21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2.75">
      <c r="A183" s="2"/>
      <c r="B183" s="2"/>
      <c r="C183" s="2"/>
      <c r="D183" s="2"/>
      <c r="E183" s="2"/>
      <c r="F183" s="2"/>
      <c r="G183" s="2"/>
      <c r="H183" s="2"/>
      <c r="I183" s="2"/>
      <c r="J183" s="876"/>
      <c r="K183" s="212"/>
      <c r="L183" s="212"/>
      <c r="M183" s="21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2.75">
      <c r="A184" s="2"/>
      <c r="B184" s="2"/>
      <c r="C184" s="2"/>
      <c r="D184" s="2"/>
      <c r="E184" s="2"/>
      <c r="F184" s="2"/>
      <c r="G184" s="2"/>
      <c r="H184" s="2"/>
      <c r="I184" s="2"/>
      <c r="J184" s="876"/>
      <c r="K184" s="212"/>
      <c r="L184" s="212"/>
      <c r="M184" s="21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2.75">
      <c r="A185" s="2"/>
      <c r="B185" s="2"/>
      <c r="C185" s="2"/>
      <c r="D185" s="2"/>
      <c r="E185" s="2"/>
      <c r="F185" s="2"/>
      <c r="G185" s="2"/>
      <c r="H185" s="2"/>
      <c r="I185" s="2"/>
      <c r="J185" s="876"/>
      <c r="K185" s="212"/>
      <c r="L185" s="212"/>
      <c r="M185" s="21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2.75">
      <c r="A186" s="2"/>
      <c r="B186" s="2"/>
      <c r="C186" s="2"/>
      <c r="D186" s="2"/>
      <c r="E186" s="2"/>
      <c r="F186" s="2"/>
      <c r="G186" s="2"/>
      <c r="H186" s="2"/>
      <c r="I186" s="2"/>
      <c r="J186" s="876"/>
      <c r="K186" s="212"/>
      <c r="L186" s="212"/>
      <c r="M186" s="21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2.75">
      <c r="A187" s="2"/>
      <c r="B187" s="2"/>
      <c r="C187" s="2"/>
      <c r="D187" s="2"/>
      <c r="E187" s="2"/>
      <c r="F187" s="2"/>
      <c r="G187" s="2"/>
      <c r="H187" s="2"/>
      <c r="I187" s="2"/>
      <c r="J187" s="876"/>
      <c r="K187" s="212"/>
      <c r="L187" s="212"/>
      <c r="M187" s="21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2.75">
      <c r="A188" s="2"/>
      <c r="B188" s="2"/>
      <c r="C188" s="2"/>
      <c r="D188" s="2"/>
      <c r="E188" s="2"/>
      <c r="F188" s="2"/>
      <c r="G188" s="2"/>
      <c r="H188" s="2"/>
      <c r="I188" s="2"/>
      <c r="J188" s="876"/>
      <c r="K188" s="212"/>
      <c r="L188" s="212"/>
      <c r="M188" s="21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2.75">
      <c r="A189" s="2"/>
      <c r="B189" s="2"/>
      <c r="C189" s="2"/>
      <c r="D189" s="2"/>
      <c r="E189" s="2"/>
      <c r="F189" s="2"/>
      <c r="G189" s="2"/>
      <c r="H189" s="2"/>
      <c r="I189" s="2"/>
      <c r="J189" s="876"/>
      <c r="K189" s="212"/>
      <c r="L189" s="212"/>
      <c r="M189" s="21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2.75">
      <c r="A190" s="2"/>
      <c r="B190" s="2"/>
      <c r="C190" s="2"/>
      <c r="D190" s="2"/>
      <c r="E190" s="2"/>
      <c r="F190" s="2"/>
      <c r="G190" s="2"/>
      <c r="H190" s="2"/>
      <c r="I190" s="2"/>
      <c r="J190" s="876"/>
      <c r="K190" s="212"/>
      <c r="L190" s="212"/>
      <c r="M190" s="21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2.75">
      <c r="A191" s="2"/>
      <c r="B191" s="2"/>
      <c r="C191" s="2"/>
      <c r="D191" s="2"/>
      <c r="E191" s="2"/>
      <c r="F191" s="2"/>
      <c r="G191" s="2"/>
      <c r="H191" s="2"/>
      <c r="I191" s="2"/>
      <c r="J191" s="876"/>
      <c r="K191" s="212"/>
      <c r="L191" s="212"/>
      <c r="M191" s="21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2.75">
      <c r="A192" s="2"/>
      <c r="B192" s="2"/>
      <c r="C192" s="2"/>
      <c r="D192" s="2"/>
      <c r="E192" s="2"/>
      <c r="F192" s="2"/>
      <c r="G192" s="2"/>
      <c r="H192" s="2"/>
      <c r="I192" s="2"/>
      <c r="J192" s="876"/>
      <c r="K192" s="212"/>
      <c r="L192" s="212"/>
      <c r="M192" s="21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2.75">
      <c r="A193" s="2"/>
      <c r="B193" s="2"/>
      <c r="C193" s="2"/>
      <c r="D193" s="2"/>
      <c r="E193" s="2"/>
      <c r="F193" s="2"/>
      <c r="G193" s="2"/>
      <c r="H193" s="2"/>
      <c r="I193" s="2"/>
      <c r="J193" s="876"/>
      <c r="K193" s="212"/>
      <c r="L193" s="212"/>
      <c r="M193" s="21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2.75">
      <c r="A194" s="2"/>
      <c r="B194" s="2"/>
      <c r="C194" s="2"/>
      <c r="D194" s="2"/>
      <c r="E194" s="2"/>
      <c r="F194" s="2"/>
      <c r="G194" s="2"/>
      <c r="H194" s="2"/>
      <c r="I194" s="2"/>
      <c r="J194" s="876"/>
      <c r="K194" s="212"/>
      <c r="L194" s="212"/>
      <c r="M194" s="21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2.75">
      <c r="A195" s="2"/>
      <c r="B195" s="2"/>
      <c r="C195" s="2"/>
      <c r="D195" s="2"/>
      <c r="E195" s="2"/>
      <c r="F195" s="2"/>
      <c r="G195" s="2"/>
      <c r="H195" s="2"/>
      <c r="I195" s="2"/>
      <c r="J195" s="876"/>
      <c r="K195" s="212"/>
      <c r="L195" s="212"/>
      <c r="M195" s="21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2.75">
      <c r="A196" s="2"/>
      <c r="B196" s="2"/>
      <c r="C196" s="2"/>
      <c r="D196" s="2"/>
      <c r="E196" s="2"/>
      <c r="F196" s="2"/>
      <c r="G196" s="2"/>
      <c r="H196" s="2"/>
      <c r="I196" s="2"/>
      <c r="J196" s="876"/>
      <c r="K196" s="212"/>
      <c r="L196" s="212"/>
      <c r="M196" s="21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2.75">
      <c r="A197" s="2"/>
      <c r="B197" s="2"/>
      <c r="C197" s="2"/>
      <c r="D197" s="2"/>
      <c r="E197" s="2"/>
      <c r="F197" s="2"/>
      <c r="G197" s="2"/>
      <c r="H197" s="2"/>
      <c r="I197" s="2"/>
      <c r="J197" s="876"/>
      <c r="K197" s="212"/>
      <c r="L197" s="212"/>
      <c r="M197" s="21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2.75">
      <c r="A198" s="2"/>
      <c r="B198" s="2"/>
      <c r="C198" s="2"/>
      <c r="D198" s="2"/>
      <c r="E198" s="2"/>
      <c r="F198" s="2"/>
      <c r="G198" s="2"/>
      <c r="H198" s="2"/>
      <c r="I198" s="2"/>
      <c r="J198" s="876"/>
      <c r="K198" s="212"/>
      <c r="L198" s="212"/>
      <c r="M198" s="21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2.75">
      <c r="A199" s="2"/>
      <c r="B199" s="2"/>
      <c r="C199" s="2"/>
      <c r="D199" s="2"/>
      <c r="E199" s="2"/>
      <c r="F199" s="2"/>
      <c r="G199" s="2"/>
      <c r="H199" s="2"/>
      <c r="I199" s="2"/>
      <c r="J199" s="876"/>
      <c r="K199" s="212"/>
      <c r="L199" s="212"/>
      <c r="M199" s="21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2.75">
      <c r="A200" s="2"/>
      <c r="B200" s="2"/>
      <c r="C200" s="2"/>
      <c r="D200" s="2"/>
      <c r="E200" s="2"/>
      <c r="F200" s="2"/>
      <c r="G200" s="2"/>
      <c r="H200" s="2"/>
      <c r="I200" s="2"/>
      <c r="J200" s="876"/>
      <c r="K200" s="212"/>
      <c r="L200" s="212"/>
      <c r="M200" s="21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2.75">
      <c r="A201" s="2"/>
      <c r="B201" s="2"/>
      <c r="C201" s="2"/>
      <c r="D201" s="2"/>
      <c r="E201" s="2"/>
      <c r="F201" s="2"/>
      <c r="G201" s="2"/>
      <c r="H201" s="2"/>
      <c r="I201" s="2"/>
      <c r="J201" s="876"/>
      <c r="K201" s="212"/>
      <c r="L201" s="212"/>
      <c r="M201" s="21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2.75">
      <c r="A202" s="2"/>
      <c r="B202" s="2"/>
      <c r="C202" s="2"/>
      <c r="D202" s="2"/>
      <c r="E202" s="2"/>
      <c r="F202" s="2"/>
      <c r="G202" s="2"/>
      <c r="H202" s="2"/>
      <c r="I202" s="2"/>
      <c r="J202" s="876"/>
      <c r="K202" s="212"/>
      <c r="L202" s="212"/>
      <c r="M202" s="21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2.75">
      <c r="A203" s="2"/>
      <c r="B203" s="2"/>
      <c r="C203" s="2"/>
      <c r="D203" s="2"/>
      <c r="E203" s="2"/>
      <c r="F203" s="2"/>
      <c r="G203" s="2"/>
      <c r="H203" s="2"/>
      <c r="I203" s="2"/>
      <c r="J203" s="876"/>
      <c r="K203" s="212"/>
      <c r="L203" s="212"/>
      <c r="M203" s="21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2.75">
      <c r="A204" s="2"/>
      <c r="B204" s="2"/>
      <c r="C204" s="2"/>
      <c r="D204" s="2"/>
      <c r="E204" s="2"/>
      <c r="F204" s="2"/>
      <c r="G204" s="2"/>
      <c r="H204" s="2"/>
      <c r="I204" s="2"/>
      <c r="J204" s="876"/>
      <c r="K204" s="212"/>
      <c r="L204" s="212"/>
      <c r="M204" s="21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2.75">
      <c r="A205" s="2"/>
      <c r="B205" s="2"/>
      <c r="C205" s="2"/>
      <c r="D205" s="2"/>
      <c r="E205" s="2"/>
      <c r="F205" s="2"/>
      <c r="G205" s="2"/>
      <c r="H205" s="2"/>
      <c r="I205" s="2"/>
      <c r="J205" s="876"/>
      <c r="K205" s="212"/>
      <c r="L205" s="212"/>
      <c r="M205" s="21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2.75">
      <c r="A206" s="2"/>
      <c r="B206" s="2"/>
      <c r="C206" s="2"/>
      <c r="D206" s="2"/>
      <c r="E206" s="2"/>
      <c r="F206" s="2"/>
      <c r="G206" s="2"/>
      <c r="H206" s="2"/>
      <c r="I206" s="2"/>
      <c r="J206" s="876"/>
      <c r="K206" s="212"/>
      <c r="L206" s="212"/>
      <c r="M206" s="21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2.75">
      <c r="A207" s="2"/>
      <c r="B207" s="2"/>
      <c r="C207" s="2"/>
      <c r="D207" s="2"/>
      <c r="E207" s="2"/>
      <c r="F207" s="2"/>
      <c r="G207" s="2"/>
      <c r="H207" s="2"/>
      <c r="I207" s="2"/>
      <c r="J207" s="876"/>
      <c r="K207" s="212"/>
      <c r="L207" s="212"/>
      <c r="M207" s="21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2.75">
      <c r="A208" s="2"/>
      <c r="B208" s="2"/>
      <c r="C208" s="2"/>
      <c r="D208" s="2"/>
      <c r="E208" s="2"/>
      <c r="F208" s="2"/>
      <c r="G208" s="2"/>
      <c r="H208" s="2"/>
      <c r="I208" s="2"/>
      <c r="J208" s="876"/>
      <c r="K208" s="212"/>
      <c r="L208" s="212"/>
      <c r="M208" s="21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2.75">
      <c r="A209" s="2"/>
      <c r="B209" s="2"/>
      <c r="C209" s="2"/>
      <c r="D209" s="2"/>
      <c r="E209" s="2"/>
      <c r="F209" s="2"/>
      <c r="G209" s="2"/>
      <c r="H209" s="2"/>
      <c r="I209" s="2"/>
      <c r="J209" s="876"/>
      <c r="K209" s="212"/>
      <c r="L209" s="212"/>
      <c r="M209" s="21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2.75">
      <c r="A210" s="2"/>
      <c r="B210" s="2"/>
      <c r="C210" s="2"/>
      <c r="D210" s="2"/>
      <c r="E210" s="2"/>
      <c r="F210" s="2"/>
      <c r="G210" s="2"/>
      <c r="H210" s="2"/>
      <c r="I210" s="2"/>
      <c r="J210" s="876"/>
      <c r="K210" s="212"/>
      <c r="L210" s="212"/>
      <c r="M210" s="21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2.75">
      <c r="A211" s="2"/>
      <c r="B211" s="2"/>
      <c r="C211" s="2"/>
      <c r="D211" s="2"/>
      <c r="E211" s="2"/>
      <c r="F211" s="2"/>
      <c r="G211" s="2"/>
      <c r="H211" s="2"/>
      <c r="I211" s="2"/>
      <c r="J211" s="876"/>
      <c r="K211" s="212"/>
      <c r="L211" s="212"/>
      <c r="M211" s="21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2.75">
      <c r="A212" s="2"/>
      <c r="B212" s="2"/>
      <c r="C212" s="2"/>
      <c r="D212" s="2"/>
      <c r="E212" s="2"/>
      <c r="F212" s="2"/>
      <c r="G212" s="2"/>
      <c r="H212" s="2"/>
      <c r="I212" s="2"/>
      <c r="J212" s="876"/>
      <c r="K212" s="212"/>
      <c r="L212" s="212"/>
      <c r="M212" s="21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2.75">
      <c r="A213" s="2"/>
      <c r="B213" s="2"/>
      <c r="C213" s="2"/>
      <c r="D213" s="2"/>
      <c r="E213" s="2"/>
      <c r="F213" s="2"/>
      <c r="G213" s="2"/>
      <c r="H213" s="2"/>
      <c r="I213" s="2"/>
      <c r="J213" s="876"/>
      <c r="K213" s="212"/>
      <c r="L213" s="212"/>
      <c r="M213" s="21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2.75">
      <c r="A214" s="2"/>
      <c r="B214" s="2"/>
      <c r="C214" s="2"/>
      <c r="D214" s="2"/>
      <c r="E214" s="2"/>
      <c r="F214" s="2"/>
      <c r="G214" s="2"/>
      <c r="H214" s="2"/>
      <c r="I214" s="2"/>
      <c r="J214" s="876"/>
      <c r="K214" s="212"/>
      <c r="L214" s="212"/>
      <c r="M214" s="21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2.75">
      <c r="A215" s="2"/>
      <c r="B215" s="2"/>
      <c r="C215" s="2"/>
      <c r="D215" s="2"/>
      <c r="E215" s="2"/>
      <c r="F215" s="2"/>
      <c r="G215" s="2"/>
      <c r="H215" s="2"/>
      <c r="I215" s="2"/>
      <c r="J215" s="876"/>
      <c r="K215" s="212"/>
      <c r="L215" s="212"/>
      <c r="M215" s="21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2.75">
      <c r="A216" s="2"/>
      <c r="B216" s="2"/>
      <c r="C216" s="2"/>
      <c r="D216" s="2"/>
      <c r="E216" s="2"/>
      <c r="F216" s="2"/>
      <c r="G216" s="2"/>
      <c r="H216" s="2"/>
      <c r="I216" s="2"/>
      <c r="J216" s="876"/>
      <c r="K216" s="212"/>
      <c r="L216" s="212"/>
      <c r="M216" s="21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</sheetData>
  <sheetProtection/>
  <mergeCells count="3">
    <mergeCell ref="F13:F14"/>
    <mergeCell ref="G13:G14"/>
    <mergeCell ref="I13:I14"/>
  </mergeCells>
  <printOptions/>
  <pageMargins left="0.1968503937007874" right="0" top="0.984251968503937" bottom="0.984251968503937" header="0.5118110236220472" footer="0.5118110236220472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5.7109375" style="2" customWidth="1"/>
    <col min="2" max="2" width="31.28125" style="2" customWidth="1"/>
    <col min="3" max="3" width="9.421875" style="2" customWidth="1"/>
    <col min="4" max="4" width="14.421875" style="2" customWidth="1"/>
    <col min="5" max="5" width="14.421875" style="655" customWidth="1"/>
    <col min="6" max="6" width="14.421875" style="4" customWidth="1"/>
    <col min="7" max="8" width="23.00390625" style="631" customWidth="1"/>
    <col min="9" max="9" width="17.00390625" style="637" customWidth="1"/>
    <col min="10" max="10" width="18.140625" style="93" customWidth="1"/>
    <col min="11" max="11" width="20.8515625" style="93" customWidth="1"/>
    <col min="12" max="12" width="15.140625" style="93" customWidth="1"/>
    <col min="13" max="13" width="26.421875" style="93" customWidth="1"/>
    <col min="14" max="14" width="13.8515625" style="2" customWidth="1"/>
    <col min="15" max="16384" width="9.140625" style="2" customWidth="1"/>
  </cols>
  <sheetData/>
  <sheetProtection/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6:G39"/>
  <sheetViews>
    <sheetView zoomScalePageLayoutView="0" workbookViewId="0" topLeftCell="A16">
      <selection activeCell="H44" sqref="H44"/>
    </sheetView>
  </sheetViews>
  <sheetFormatPr defaultColWidth="9.140625" defaultRowHeight="12.75"/>
  <cols>
    <col min="1" max="1" width="17.8515625" style="0" customWidth="1"/>
    <col min="2" max="2" width="20.140625" style="0" customWidth="1"/>
    <col min="3" max="3" width="23.140625" style="0" customWidth="1"/>
    <col min="4" max="4" width="17.00390625" style="0" customWidth="1"/>
    <col min="5" max="5" width="12.7109375" style="0" customWidth="1"/>
    <col min="6" max="6" width="16.28125" style="416" customWidth="1"/>
    <col min="7" max="7" width="14.28125" style="0" customWidth="1"/>
  </cols>
  <sheetData>
    <row r="6" s="517" customFormat="1" ht="18">
      <c r="F6" s="653"/>
    </row>
    <row r="10" spans="1:6" s="662" customFormat="1" ht="18">
      <c r="A10" s="660"/>
      <c r="B10" s="661" t="s">
        <v>285</v>
      </c>
      <c r="C10" s="661" t="s">
        <v>262</v>
      </c>
      <c r="D10" s="661" t="s">
        <v>263</v>
      </c>
      <c r="F10" s="663"/>
    </row>
    <row r="11" spans="1:6" s="517" customFormat="1" ht="32.25" customHeight="1">
      <c r="A11" s="664" t="s">
        <v>673</v>
      </c>
      <c r="B11" s="675">
        <f>3850000+125000+122352</f>
        <v>4097352</v>
      </c>
      <c r="C11" s="675">
        <f>B11-D11</f>
        <v>2123272</v>
      </c>
      <c r="D11" s="675">
        <f>2141080-167000</f>
        <v>1974080</v>
      </c>
      <c r="E11" s="665"/>
      <c r="F11" s="653"/>
    </row>
    <row r="12" spans="1:6" s="517" customFormat="1" ht="41.25" customHeight="1">
      <c r="A12" s="666" t="s">
        <v>264</v>
      </c>
      <c r="B12" s="676">
        <f>C12+D12</f>
        <v>1100419.1700000002</v>
      </c>
      <c r="C12" s="676">
        <v>1100160.81</v>
      </c>
      <c r="D12" s="676">
        <v>258.36</v>
      </c>
      <c r="E12" s="665"/>
      <c r="F12" s="653"/>
    </row>
    <row r="13" spans="1:6" s="671" customFormat="1" ht="33.75" customHeight="1">
      <c r="A13" s="668" t="s">
        <v>267</v>
      </c>
      <c r="B13" s="677">
        <f>B11+B12</f>
        <v>5197771.17</v>
      </c>
      <c r="C13" s="677">
        <f>C11+C12</f>
        <v>3223432.81</v>
      </c>
      <c r="D13" s="677">
        <f>D11+D12</f>
        <v>1974338.36</v>
      </c>
      <c r="E13" s="669"/>
      <c r="F13" s="670"/>
    </row>
    <row r="14" spans="1:6" s="517" customFormat="1" ht="35.25" customHeight="1">
      <c r="A14" s="666" t="s">
        <v>266</v>
      </c>
      <c r="B14" s="676">
        <f>C14+D14</f>
        <v>0</v>
      </c>
      <c r="C14" s="676">
        <v>1921497.48</v>
      </c>
      <c r="D14" s="676">
        <v>-1921497.48</v>
      </c>
      <c r="E14" s="665"/>
      <c r="F14" s="653"/>
    </row>
    <row r="15" spans="1:6" s="672" customFormat="1" ht="36">
      <c r="A15" s="673" t="s">
        <v>265</v>
      </c>
      <c r="B15" s="674">
        <f>SUM(B13:B14)</f>
        <v>5197771.17</v>
      </c>
      <c r="C15" s="674">
        <f>SUM(C13:C14)</f>
        <v>5144930.29</v>
      </c>
      <c r="D15" s="674">
        <f>SUM(D13:D14)</f>
        <v>52840.88000000012</v>
      </c>
      <c r="E15" s="670"/>
      <c r="F15" s="670"/>
    </row>
    <row r="16" spans="1:6" s="517" customFormat="1" ht="18">
      <c r="A16" s="667"/>
      <c r="B16" s="665"/>
      <c r="C16" s="665"/>
      <c r="D16" s="665"/>
      <c r="E16" s="665"/>
      <c r="F16" s="653"/>
    </row>
    <row r="17" spans="1:6" s="517" customFormat="1" ht="18">
      <c r="A17" s="667"/>
      <c r="B17" s="665"/>
      <c r="C17" s="665"/>
      <c r="D17" s="665"/>
      <c r="E17" s="665"/>
      <c r="F17" s="653"/>
    </row>
    <row r="18" spans="1:6" s="517" customFormat="1" ht="18">
      <c r="A18" s="667"/>
      <c r="B18" s="665"/>
      <c r="C18" s="665"/>
      <c r="D18" s="665"/>
      <c r="E18" s="665"/>
      <c r="F18" s="653"/>
    </row>
    <row r="19" spans="2:6" s="517" customFormat="1" ht="18">
      <c r="B19" s="665"/>
      <c r="C19" s="665"/>
      <c r="D19" s="665"/>
      <c r="E19" s="665"/>
      <c r="F19" s="653"/>
    </row>
    <row r="20" spans="2:6" s="517" customFormat="1" ht="18">
      <c r="B20" s="665"/>
      <c r="C20" s="665"/>
      <c r="D20" s="665"/>
      <c r="E20" s="665"/>
      <c r="F20" s="653"/>
    </row>
    <row r="21" spans="2:6" s="517" customFormat="1" ht="18">
      <c r="B21" s="665"/>
      <c r="C21" s="665"/>
      <c r="D21" s="665"/>
      <c r="E21" s="665"/>
      <c r="F21" s="653"/>
    </row>
    <row r="22" spans="2:6" s="517" customFormat="1" ht="18">
      <c r="B22" s="665"/>
      <c r="C22" s="665"/>
      <c r="D22" s="665"/>
      <c r="E22" s="665"/>
      <c r="F22" s="653"/>
    </row>
    <row r="23" spans="2:6" s="517" customFormat="1" ht="18">
      <c r="B23" s="665"/>
      <c r="C23" s="665"/>
      <c r="D23" s="665"/>
      <c r="E23" s="665"/>
      <c r="F23" s="653"/>
    </row>
    <row r="24" s="517" customFormat="1" ht="18">
      <c r="F24" s="653"/>
    </row>
    <row r="31" spans="2:7" ht="18">
      <c r="B31" s="874">
        <v>28320739.22</v>
      </c>
      <c r="C31" s="874">
        <v>27894368.14</v>
      </c>
      <c r="D31" s="874">
        <f>B31-C31</f>
        <v>426371.0799999982</v>
      </c>
      <c r="E31" s="874"/>
      <c r="G31" s="874"/>
    </row>
    <row r="32" spans="2:7" ht="18">
      <c r="B32" s="874"/>
      <c r="C32" s="874"/>
      <c r="D32" s="874">
        <f>B32-C32</f>
        <v>0</v>
      </c>
      <c r="E32" s="874"/>
      <c r="G32" s="874"/>
    </row>
    <row r="33" spans="2:7" ht="18">
      <c r="B33" s="874">
        <v>28320739.22</v>
      </c>
      <c r="C33" s="874">
        <v>27860973.97</v>
      </c>
      <c r="D33" s="874">
        <f>B33-C33</f>
        <v>459765.25</v>
      </c>
      <c r="E33" s="874"/>
      <c r="G33" s="874"/>
    </row>
    <row r="34" spans="2:7" ht="18">
      <c r="B34" s="874"/>
      <c r="C34" s="874"/>
      <c r="D34" s="874"/>
      <c r="E34" s="874"/>
      <c r="G34" s="874"/>
    </row>
    <row r="35" spans="2:7" ht="18">
      <c r="B35" s="874"/>
      <c r="C35" s="874"/>
      <c r="D35" s="874"/>
      <c r="E35" s="874"/>
      <c r="G35" s="874"/>
    </row>
    <row r="36" spans="2:7" ht="18">
      <c r="B36" s="874"/>
      <c r="C36" s="874"/>
      <c r="D36" s="874"/>
      <c r="E36" s="874"/>
      <c r="G36" s="874"/>
    </row>
    <row r="37" spans="2:7" ht="18">
      <c r="B37" s="874"/>
      <c r="C37" s="874"/>
      <c r="D37" s="874"/>
      <c r="E37" s="874"/>
      <c r="G37" s="874"/>
    </row>
    <row r="38" spans="2:7" ht="18">
      <c r="B38" s="874"/>
      <c r="C38" s="874"/>
      <c r="D38" s="874"/>
      <c r="E38" s="874"/>
      <c r="G38" s="874"/>
    </row>
    <row r="39" spans="2:7" ht="18">
      <c r="B39" s="874"/>
      <c r="C39" s="874"/>
      <c r="D39" s="874"/>
      <c r="E39" s="874"/>
      <c r="G39" s="87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IKawalkiewicz</dc:creator>
  <cp:keywords/>
  <dc:description/>
  <cp:lastModifiedBy>UM Konin</cp:lastModifiedBy>
  <cp:lastPrinted>2013-05-20T11:22:35Z</cp:lastPrinted>
  <dcterms:created xsi:type="dcterms:W3CDTF">2009-03-04T08:33:11Z</dcterms:created>
  <dcterms:modified xsi:type="dcterms:W3CDTF">2013-05-20T11:45:59Z</dcterms:modified>
  <cp:category/>
  <cp:version/>
  <cp:contentType/>
  <cp:contentStatus/>
</cp:coreProperties>
</file>