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Proj. Uch. RM nr z 26.06.2013." sheetId="1" r:id="rId1"/>
    <sheet name="zał. nr 1" sheetId="2" r:id="rId2"/>
    <sheet name="Zał. nr 2" sheetId="3" r:id="rId3"/>
    <sheet name="Zał. nr 3" sheetId="4" r:id="rId4"/>
    <sheet name="Zał. nr 4" sheetId="5" r:id="rId5"/>
    <sheet name="zał. nr 5" sheetId="6" r:id="rId6"/>
    <sheet name="Wolny 1" sheetId="7" r:id="rId7"/>
  </sheets>
  <definedNames>
    <definedName name="_xlnm.Print_Titles" localSheetId="1">'zał. nr 1'!$10:$12</definedName>
    <definedName name="_xlnm.Print_Titles" localSheetId="2">'Zał. nr 2'!$12:$13</definedName>
    <definedName name="_xlnm.Print_Titles" localSheetId="3">'Zał. nr 3'!$12:$13</definedName>
    <definedName name="_xlnm.Print_Titles" localSheetId="4">'Zał. nr 4'!$12:$12</definedName>
    <definedName name="_xlnm.Print_Titles" localSheetId="5">'zał. nr 5'!$13:$13</definedName>
  </definedNames>
  <calcPr fullCalcOnLoad="1"/>
</workbook>
</file>

<file path=xl/sharedStrings.xml><?xml version="1.0" encoding="utf-8"?>
<sst xmlns="http://schemas.openxmlformats.org/spreadsheetml/2006/main" count="1106" uniqueCount="683">
  <si>
    <t>Wymiana doświadczenia i uczenie się od siebie nawzajem w dziedzinie ekologii  poprzez realizację  Projektu pt. "The Earth  cannot be recycled! Eco kids - Eco parents" (Eko dzieci  - eko rodzice)</t>
  </si>
  <si>
    <t xml:space="preserve">                                     z dnia  26 czerwca  2013 roku</t>
  </si>
  <si>
    <t xml:space="preserve">dz. 900 rozdz.90015 § 6050   zwiększa się o kwotę </t>
  </si>
  <si>
    <t>na realizację zadania pn. "Aglomeracja konińska -  współpraca JST kluczem do nowoczesnego rozwoju gospodarczego"</t>
  </si>
  <si>
    <t>cel: Zwiększenie rozwiązań służących godzeniu życia zawodowego i rodzinnego dla rodziców dzieci w wieku 1-3 lat z terenu m. Konina oraz powiatu konińskiego wracających po przerwie związanej z urodzeniem i wychowaniem dzieci</t>
  </si>
  <si>
    <t xml:space="preserve"> projekt Pt. "Klub dziecięcy - mama wraca do pracy"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</si>
  <si>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</si>
  <si>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</si>
  <si>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Przedszkolaka""</t>
  </si>
  <si>
    <t>2013-2015</t>
  </si>
  <si>
    <t>Zadania powiatu</t>
  </si>
  <si>
    <t>(Dz. U. z 2013 r. poz. 594), art. 211 ustawy z dnia 27 sierpnia 2009 r.</t>
  </si>
  <si>
    <t>tablica interaktywna</t>
  </si>
  <si>
    <t xml:space="preserve">likwidacja kolizji sieci elektroenergetycznej </t>
  </si>
  <si>
    <t>docieplenie ścian zewnętrznych i dachu</t>
  </si>
  <si>
    <t>Centra kształcenia ustawicznego i praktycznego oraz ośrodki dokształcania zawodowego</t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</si>
  <si>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</si>
  <si>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>renowacja  i konserwacja  ołtarza barokowego w kościele pw. św. Marii Magdaleny w Klasztorze oo. Franciszkanów w Koninie</t>
  </si>
  <si>
    <t>Cech Rzemiosł Różnych</t>
  </si>
  <si>
    <t>Prezydenta Miasta Konina z dnia 7 marca 2013 r.; Nr 25/2013 Prezydenta Miasta Konina z dnia 14 marca 2013 r.;</t>
  </si>
  <si>
    <t>Europejski Fundusz Społeczny - Program  Operacyjny  Kapitał Ludzki</t>
  </si>
  <si>
    <t xml:space="preserve"> Miejski Ośrodek Doskonalenia Nauczycieli  w Koninie </t>
  </si>
  <si>
    <t>Wyrównywanie szans edukacyjnych uczniów z grup o utrudnionym dostępie do edukacji oraz zmniejszenie różnic w jakości usług edukacyjnych projekt pn. "Startuj z nami w przyszłość"</t>
  </si>
  <si>
    <t>ZS im. Kopernika w  Koninie</t>
  </si>
  <si>
    <t>"Wykwalifikowana Kadra w Koperniku"</t>
  </si>
  <si>
    <t xml:space="preserve"> I LO                          </t>
  </si>
  <si>
    <t>cel: Poznawanie krajów partnerskich, doskonalenie umiejętności językowych i promowanie regionu</t>
  </si>
  <si>
    <t xml:space="preserve">Projekt pt. "Towards a European Rememberance" (W poszukiwani europejskiej pamięci) </t>
  </si>
  <si>
    <t>cel: podniesienie atrakcyjności  i jakości szkolnictwa zawodowego</t>
  </si>
  <si>
    <t>"Zawodowcy z  Kopernika"</t>
  </si>
  <si>
    <t xml:space="preserve">Wielkopolski Regionalny Program Operacyjny na lata 2007 - 2013 </t>
  </si>
  <si>
    <t>cel: Profesjonalna, kompleksowa kampania promocyjna markowego produktu o nazwie Wielka Pętla Wielkopolski łączącego 690 km dróg wodnych w wodny szlak turystyczny</t>
  </si>
  <si>
    <t>cel: Kompleksowa  promocja markowego produktu turystyki wodnej  Wielka Pętla Wielkopolski l</t>
  </si>
  <si>
    <t>Wysoko wykwalifikowane kadry systemu oświaty w ramach  projektu pt. "Podniesienie kwalifikacji dla kadry pedagogicznej szkół subregionu konińskiego"</t>
  </si>
  <si>
    <t>ZAŁĄCZNIK nr 3</t>
  </si>
  <si>
    <t>Przedszkole nr 14</t>
  </si>
  <si>
    <t xml:space="preserve"> projekt Pt. "Wszystko zaczyna się od przedszkola"</t>
  </si>
  <si>
    <t>Miasto Konin - Miejski Ośrodek Pomocy Rodzinie w Koninie</t>
  </si>
  <si>
    <t>cel - Rozwój i upowszechnianie aktywnej integracji społecznej</t>
  </si>
  <si>
    <t>Rozwój i upowszechnianie aktywnej integracji przez MOPR w Projekcie systemowym "Wykorzystaj swoją szansę!" w ramach Programu Operacyjnego Kapitał Ludzki</t>
  </si>
  <si>
    <t>cel: upowszechniania edukacji przedszkolnej na terenie miasta Konina i gminy Ślesin i Kramsk poprzez utworzenie nowego oddziału przedszkolnego dla dzieci z miasta Konina i gmin: Ślesin i Kramsk oraz  włączenie ich rodziców w proces edikacji w okresie od 01.01.2013r. do 30.06.2015r.</t>
  </si>
  <si>
    <t>Budowa placu zabaw w ramach programu rządowego "Radosna Szkoła" przy Szkole Podstawowej Nr 3</t>
  </si>
  <si>
    <t>Budowa placu zabaw w ramach programu rządowego "Radosna Szkoła" przy Szkole Podstawowej Nr 9</t>
  </si>
  <si>
    <t>Budowa placu zabaw w ramach programu rządowego "Radosna Szkoła" przy Szkole Podstawowej Nr 12</t>
  </si>
  <si>
    <t>Zakup tablicy interaktywnej dla Przedszkola nr 14</t>
  </si>
  <si>
    <t>Zakup zestawu komputerowego dla Przedszkola nr 14</t>
  </si>
  <si>
    <t>zestaw komputerowy</t>
  </si>
  <si>
    <t>P nr 14/WO</t>
  </si>
  <si>
    <r>
      <t>­</t>
    </r>
    <r>
      <rPr>
        <i/>
        <sz val="11"/>
        <rFont val="Times New Roman"/>
        <family val="1"/>
      </rPr>
      <t xml:space="preserve"> kwotę wydatków na programy finansowane z udziałem środków</t>
    </r>
  </si>
  <si>
    <t>80104</t>
  </si>
  <si>
    <t>80195</t>
  </si>
  <si>
    <t>4110</t>
  </si>
  <si>
    <t>o których mowa w art. 5 ust. 1 pkt 2 i 3 ufp w części związanej</t>
  </si>
  <si>
    <t>z realizacją zadań jst</t>
  </si>
  <si>
    <t>w tym;</t>
  </si>
  <si>
    <t>kwotę środków i dotacji na realizację zadań w ramach</t>
  </si>
  <si>
    <t>programów i projektów funduszy strukturalnych</t>
  </si>
  <si>
    <t xml:space="preserve">        b) dochody majątkowe w wysokości                                        </t>
  </si>
  <si>
    <t>ZAŁĄCZNIK nr 4</t>
  </si>
  <si>
    <t>758</t>
  </si>
  <si>
    <t>4300</t>
  </si>
  <si>
    <t>900</t>
  </si>
  <si>
    <t>6050</t>
  </si>
  <si>
    <t>Przebudowa - likwidacja kolizji sieci elektroenergetycznej obręb Maliniec</t>
  </si>
  <si>
    <t>0970</t>
  </si>
  <si>
    <t>75814</t>
  </si>
  <si>
    <t>6680</t>
  </si>
  <si>
    <t xml:space="preserve">pkt 2)  kwotę rezerwy celowej oświatowej </t>
  </si>
  <si>
    <t>w ust. 6</t>
  </si>
  <si>
    <t>w ust. 7</t>
  </si>
  <si>
    <t>Załącznik nr 4 do uchwały budżetowej obejmujący:</t>
  </si>
  <si>
    <t>" Limit wydatków majątkowych na programy finansowane z udziałem środków, o których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</si>
  <si>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</si>
  <si>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</si>
  <si>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</si>
  <si>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</si>
  <si>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</si>
  <si>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</si>
  <si>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</si>
  <si>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</si>
  <si>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</si>
  <si>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</si>
  <si>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</si>
  <si>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</si>
  <si>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</si>
  <si>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Zwiększa się plan wydatków o kwotę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</si>
  <si>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</si>
  <si>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</si>
  <si>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</si>
  <si>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 xml:space="preserve">o finansach  publicznych (Dz. U.   Nr  157 poz. 1240 ze zm.)   R a d a    M i a s t a   K o n i n a  </t>
  </si>
  <si>
    <t xml:space="preserve"> u c h w a l a,  co następuje :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</si>
  <si>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</si>
  <si>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</si>
  <si>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</si>
  <si>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</si>
  <si>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</si>
  <si>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Zakup sztandaru dla Szkoły Podstawowej nr 12  w Koninie
</t>
  </si>
  <si>
    <t>SP nr 12/WO</t>
  </si>
  <si>
    <t>Podłączenie I Liceum Ogólnokształcącego i Filii MBP Starówka do sieci KoMAN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</si>
  <si>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</si>
  <si>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</si>
  <si>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</si>
  <si>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</si>
  <si>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</si>
  <si>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</si>
  <si>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</si>
  <si>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</si>
  <si>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</si>
  <si>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</si>
  <si>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</si>
  <si>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r>
      <t xml:space="preserve">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</si>
  <si>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W części dotyczącej zadań  gminy</t>
  </si>
  <si>
    <t>85305</t>
  </si>
  <si>
    <t>2830</t>
  </si>
  <si>
    <t>85201</t>
  </si>
  <si>
    <t>700</t>
  </si>
  <si>
    <t>70005</t>
  </si>
  <si>
    <t>4530</t>
  </si>
  <si>
    <t>0690</t>
  </si>
  <si>
    <t>0750</t>
  </si>
  <si>
    <t>0920</t>
  </si>
  <si>
    <t>4590</t>
  </si>
  <si>
    <t>600</t>
  </si>
  <si>
    <t>60016</t>
  </si>
  <si>
    <t>dz. 600 rozdz.60016 § 6050 zwiększa się o kwotę</t>
  </si>
  <si>
    <t>710</t>
  </si>
  <si>
    <t>71004</t>
  </si>
  <si>
    <t>750</t>
  </si>
  <si>
    <t>75023</t>
  </si>
  <si>
    <t>60015</t>
  </si>
  <si>
    <t>Dokumentacje przyszłościowe</t>
  </si>
  <si>
    <t xml:space="preserve">opracowanie dokumentacji projektowej w zakresie budowy łącznika ulic Poznańska - Rumiankowa - Zakładowa - Kleczewska </t>
  </si>
  <si>
    <t>2990</t>
  </si>
  <si>
    <t xml:space="preserve">z dnia 24 maja 2013 r.;Nr 67/2013 Prezydenta Miasta Konina z dnia 14 czerwca 2013 r.;  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</si>
  <si>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</si>
  <si>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</si>
  <si>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 xml:space="preserve">          zastępuje się kwotą</t>
  </si>
  <si>
    <t xml:space="preserve">         w tym:</t>
  </si>
  <si>
    <t>a) kwotę części gminnej</t>
  </si>
  <si>
    <t xml:space="preserve">    zastępuje się kwotą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</si>
  <si>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</si>
  <si>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</si>
  <si>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</si>
  <si>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</si>
  <si>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</si>
  <si>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</si>
  <si>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2. W Załączniku Nr 1 do uchwały budżetowej dokonuje się następujących zmian:</t>
  </si>
  <si>
    <r>
      <t xml:space="preserve">w sprawie </t>
    </r>
    <r>
      <rPr>
        <b/>
        <i/>
        <sz val="14"/>
        <rFont val="Times New Roman"/>
        <family val="1"/>
      </rPr>
      <t>zmian w budżecie miasta Konina na 2013 rok</t>
    </r>
  </si>
  <si>
    <t>W części dotyczącej dochodów  gminy</t>
  </si>
  <si>
    <t xml:space="preserve">         1) dochody gminy ogółem                                                                                  </t>
  </si>
  <si>
    <t xml:space="preserve">         W uchwale Nr 506 Rady Miasta Konina z dnia 19 grudnia 2012 r. w sprawie uchwalenia budżetu</t>
  </si>
  <si>
    <t>Projekt</t>
  </si>
  <si>
    <t>SL</t>
  </si>
  <si>
    <t>ZAŁĄCZNIK nr 1</t>
  </si>
  <si>
    <t>Plan wydatków majątkowych realizowanych ze środków budżetowych miasta Konina na 2013 rok</t>
  </si>
  <si>
    <t>w złotych</t>
  </si>
  <si>
    <t xml:space="preserve">           Plan na 2013 rok</t>
  </si>
  <si>
    <t>Lp</t>
  </si>
  <si>
    <t>Dział</t>
  </si>
  <si>
    <t>Nazwa  zadania</t>
  </si>
  <si>
    <t>Ogólny koszt zadania</t>
  </si>
  <si>
    <t>Poniesione nakłady i przewidywane do końca 2012 roku</t>
  </si>
  <si>
    <t>Zakres rzeczowy zadania</t>
  </si>
  <si>
    <t>Odpow. za realizację           i uwagi</t>
  </si>
  <si>
    <t>Termin rozpocz. i zakoń. inwestycji</t>
  </si>
  <si>
    <t>ogółem</t>
  </si>
  <si>
    <t>środki  w ramach ustawy Prawo ochrony środowiska</t>
  </si>
  <si>
    <t>RAZEM GMINA</t>
  </si>
  <si>
    <t>Transport i łączność</t>
  </si>
  <si>
    <t>Drogi publiczne gminne</t>
  </si>
  <si>
    <t>Budowa ulic na osiedlu Wilków (Leszczynowa, Borowa)</t>
  </si>
  <si>
    <t>zakup busa</t>
  </si>
  <si>
    <t>budowa windy schodowej</t>
  </si>
  <si>
    <t>budowa podjazdu</t>
  </si>
  <si>
    <t xml:space="preserve"> ścianka boulderowa</t>
  </si>
  <si>
    <t xml:space="preserve">zakupu oprogramowania wraz z licencją </t>
  </si>
  <si>
    <t>budowa chodnika ze schodami</t>
  </si>
  <si>
    <t>place zabaw</t>
  </si>
  <si>
    <t>hangar plus wyposażenie</t>
  </si>
  <si>
    <t>0830</t>
  </si>
  <si>
    <t>4170</t>
  </si>
  <si>
    <t>4240</t>
  </si>
  <si>
    <t>4270</t>
  </si>
  <si>
    <t>4210</t>
  </si>
  <si>
    <t>80130</t>
  </si>
  <si>
    <t>Zakup laptopa dla Przedszkola nr 10</t>
  </si>
  <si>
    <t>Zakup wyposażenia placu zabaw dla Przedszkola nr 10</t>
  </si>
  <si>
    <t>ZAŁĄCZNIK nr  2</t>
  </si>
  <si>
    <t>Limit  wydatków majątkowych   na  programy finansowane  z udziałem</t>
  </si>
  <si>
    <t>środków o których mowa w art. 5 ust. 1 pkt 2 i 3  ustawy</t>
  </si>
  <si>
    <t>o finansach publicznych na 2013 rok</t>
  </si>
  <si>
    <t xml:space="preserve">                     2013 rok</t>
  </si>
  <si>
    <t>Środki z EFRR i EFS</t>
  </si>
  <si>
    <t>Europejski Fundusz Rozwoju Regionalnego - Program Operacyjny Innowacyjna Gospodarka</t>
  </si>
  <si>
    <t>Miasto Konin -Urząd Miejski w Koninie</t>
  </si>
  <si>
    <t>cel - Rozwój polskiej gospodarki w oparciu o innowacyjne przedsiębiorstwa</t>
  </si>
  <si>
    <t xml:space="preserve">Zwiększenie atrakcyjności Konina i subregionu konińskiego w ramach projektu pt.: "Przygotowanie terenów inwestycyjnych w obrębie Konin-Międzylesie (działania studyjno-koncepcyjne)" </t>
  </si>
  <si>
    <t>2011-2013</t>
  </si>
  <si>
    <t>Projekt Pt.  "Dobry pomysł na firmę - wspomagamy przedsiębiorczość w Koninie"</t>
  </si>
  <si>
    <t>853</t>
  </si>
  <si>
    <t>85395</t>
  </si>
  <si>
    <t>2007</t>
  </si>
  <si>
    <t>6207</t>
  </si>
  <si>
    <t>4217</t>
  </si>
  <si>
    <t>6067</t>
  </si>
  <si>
    <t>zakup laptopa</t>
  </si>
  <si>
    <t xml:space="preserve">zakup wyposażenia placu zabaw </t>
  </si>
  <si>
    <t>Założenie systemu sygnalizacji włamania w Przedszkolu nr 25 BAJKA</t>
  </si>
  <si>
    <t>założenie systemu sygnalizacji włamania</t>
  </si>
  <si>
    <t>przebudowa ulic wraz z oświetleniem i odwodnieniem</t>
  </si>
  <si>
    <t>WI</t>
  </si>
  <si>
    <t>2012/2013</t>
  </si>
  <si>
    <t>Budowa ulic na osiedlu Chorzeń (Tulipanowa i Krokusowa)</t>
  </si>
  <si>
    <t>budowa ulic wraz z oświetleniem i odwodnieniem</t>
  </si>
  <si>
    <t>Przebudowa ulicy Jana Matejki w Koninie</t>
  </si>
  <si>
    <t>przebudowa ulicy wraz z oświetleniem i odwodnieniem</t>
  </si>
  <si>
    <t>Przebudowa ulicy Stodolnianej w Koninie</t>
  </si>
  <si>
    <t>2012/2014</t>
  </si>
  <si>
    <t>Budowa chodnika przy ul. Nowiny w kierunku cmentarza parafialnego</t>
  </si>
  <si>
    <t>budowa chodnika wraz z odwodnieniem i oświetleniem</t>
  </si>
  <si>
    <t xml:space="preserve">Budowa przedłużenia ul. Makowej od Al. Astrów do torów kolejowych   </t>
  </si>
  <si>
    <t>wykonanie dokumentacji projektowej wraz z etapem przygotowania do realizacji</t>
  </si>
  <si>
    <t>Opracowanie dokumentacji projektowo-kosztorysowej na budowę ulicy Wierzbowej (od ul. Europejskiej w kierunku wschodnim)</t>
  </si>
  <si>
    <t>wykonanie dokumentacji projektowo-kosztorysowej</t>
  </si>
  <si>
    <t>Budowa i przebudowa ulicy Kapitańskiej w Koninie</t>
  </si>
  <si>
    <t>budowa i przebudowa ulicy wraz z oświetleniem i odwodnieniem</t>
  </si>
  <si>
    <t>Rozbudowa skrzyżowania ulic Stanisława Staszica, Romana Dmowskiego i Tadeusza Kościuszki na skrzyżowanie typu "rondo" w Koninie</t>
  </si>
  <si>
    <t>budowa ronda na skrzyżowaniu ulic, oświetlenie ronda, kanalizacja deszczowa</t>
  </si>
  <si>
    <t>Budowa parkingu przy ul. Sadowej 9</t>
  </si>
  <si>
    <t>opracowanie dokumentacji projektowo-kosztorysowej, realizacja zadania</t>
  </si>
  <si>
    <t>DR</t>
  </si>
  <si>
    <t>Budowa ulicy Drewnowskiego i ulicy Godlewskiego</t>
  </si>
  <si>
    <t>budowa ulicy wraz z odwodnieniem i oświetleniem</t>
  </si>
  <si>
    <t>Opracowanie dokumentacji projektowo- kosztorysowej  kładki nad Kanałem Ulgi</t>
  </si>
  <si>
    <t xml:space="preserve">opracowanie dokumentacji projektowo-kosztorysowej, </t>
  </si>
  <si>
    <t>Opracowanie dokumentacji  projektowo –  kosztorysowej na budowę ulicy Brunatnej w Koninie - etap I</t>
  </si>
  <si>
    <t>Dostawa i montaż parkomatów na terenie miasta Konina</t>
  </si>
  <si>
    <t>dostawa i montaż 7 szt. parkomatów</t>
  </si>
  <si>
    <t>Gospodarka mieszkaniowa</t>
  </si>
  <si>
    <t>Gospodarka gruntami i nieruchomościami</t>
  </si>
  <si>
    <t>Nabycie nieruchomości gruntowych</t>
  </si>
  <si>
    <t>GN/GM</t>
  </si>
  <si>
    <t>2012-2016</t>
  </si>
  <si>
    <t>Pozostała działalność</t>
  </si>
  <si>
    <t>Modernizacja wewnętrznej instalacji elektrycznej w budynkach przy ul. Kanałowej 6, 7, 11</t>
  </si>
  <si>
    <t>opracowanie dokumentacji i realizacja</t>
  </si>
  <si>
    <t>Administracja publiczna</t>
  </si>
  <si>
    <t>Urzędy gmin (miast i miast na prawach powiatu)</t>
  </si>
  <si>
    <t>Doposażenie techniczne Urzędu</t>
  </si>
  <si>
    <t xml:space="preserve">zakup drukarek, komputerów, MS Office MOLP, zakup rzutnika i laptopa </t>
  </si>
  <si>
    <t>IN</t>
  </si>
  <si>
    <t>Adaptacja budynku przy ul. Benesza 1 w Koninie  na cele administracyjne</t>
  </si>
  <si>
    <t xml:space="preserve">adaptacja istniejącego budynku na cele administracji  </t>
  </si>
  <si>
    <t>2012-2014</t>
  </si>
  <si>
    <t>Adaptacja budynku przy ul. 3 Maja 1 i 3 na Centrum Organizacji Pozarządowych</t>
  </si>
  <si>
    <t>adaptacja istniejącego budynku na potrzeby COP</t>
  </si>
  <si>
    <t>Bezpieczeństwo publiczne i ochrona przeciwpożarowa</t>
  </si>
  <si>
    <t>Ochotnicze Straże Pożarne</t>
  </si>
  <si>
    <t xml:space="preserve">Zakupy inwestycyjne </t>
  </si>
  <si>
    <t>zakup motopompy Niagara  dla OSP Cukrownia</t>
  </si>
  <si>
    <t>WZ</t>
  </si>
  <si>
    <t>Obrona cywilna</t>
  </si>
  <si>
    <t>zakup i montaż 1 elektronicznej syreny alarmowej tubowej wraz z osprzętem (montaż 1 punktu alarmowego)</t>
  </si>
  <si>
    <t>Rezerwa celowa na inwestycje i zakupy inwestycyjne</t>
  </si>
  <si>
    <t>Oświata i wychowanie</t>
  </si>
  <si>
    <t>Szkoły podstawowe</t>
  </si>
  <si>
    <t>Budowa placu zabaw w ramach programu rządowego "Radosna Szkoła" przy Szkole Podstawowej Nr 1</t>
  </si>
  <si>
    <t>budowa dużego placu zabaw</t>
  </si>
  <si>
    <t xml:space="preserve">Opracowanie koncepcji i studium wykonalności na budowę sali gimnastycznej przy SP nr 1
</t>
  </si>
  <si>
    <t xml:space="preserve">koncepcja i studium wykonalności </t>
  </si>
  <si>
    <t>Zakup kserokopiarki dla Szkoły Podstawowej Nr 1</t>
  </si>
  <si>
    <t xml:space="preserve">zakup kserokopiarki </t>
  </si>
  <si>
    <t>SP nr 11/WO</t>
  </si>
  <si>
    <t>Przedszkola</t>
  </si>
  <si>
    <t>Modernizacja i rozbudowa budynku przy ul. Kamiennej 28 w Koninie</t>
  </si>
  <si>
    <t>adaptacja budynku na potrzeby punktu przedszkolnego i świetlicy</t>
  </si>
  <si>
    <t>Modernizacja placu zabaw Przedszkola nr 31</t>
  </si>
  <si>
    <t>modernizacja placu zabaw</t>
  </si>
  <si>
    <t>P nr 31/WO</t>
  </si>
  <si>
    <t xml:space="preserve">założenie monitoringu wizyjnego </t>
  </si>
  <si>
    <t>P nr 25/WO</t>
  </si>
  <si>
    <t>Założenie monitoringu wizyjnego przy Przedszkolu Nr 31</t>
  </si>
  <si>
    <t>Termomodernizacja budynku Przedszkola nr 10</t>
  </si>
  <si>
    <t>docieplenie ścian</t>
  </si>
  <si>
    <t>P nr 10/WO</t>
  </si>
  <si>
    <t>Budowa parkingu przy Przedszkolu nr 7 w Koninie</t>
  </si>
  <si>
    <t>budowa parkingu</t>
  </si>
  <si>
    <t>Zakup obieraczki do ziemniaków dla Przedszkola Nr 4</t>
  </si>
  <si>
    <t xml:space="preserve">zakup obieraczki do ziemniaków </t>
  </si>
  <si>
    <t>P nr 4/WO</t>
  </si>
  <si>
    <t>Gimnazja</t>
  </si>
  <si>
    <t>Zakup kserokopiarki dla Gimnazjum Nr 2</t>
  </si>
  <si>
    <t>G nr 2/WO</t>
  </si>
  <si>
    <t>Stołówki szkolne i przedszkolne</t>
  </si>
  <si>
    <t>Zakup kotła warzelnego dla SP-15</t>
  </si>
  <si>
    <t xml:space="preserve">zakup kotła warzelnego </t>
  </si>
  <si>
    <t>SP nr 15/WO</t>
  </si>
  <si>
    <t>Zarządzanie energią w budynkach użyteczności publicznej w Koninie</t>
  </si>
  <si>
    <t xml:space="preserve">wymiana oświetlenia na energooszczędne </t>
  </si>
  <si>
    <t>Ochrona zdrowia</t>
  </si>
  <si>
    <t>Izby wytrzeźwień</t>
  </si>
  <si>
    <t>Zakup sprzętu medycznego</t>
  </si>
  <si>
    <t>zakup sprzętu medycznego</t>
  </si>
  <si>
    <t>ODPOzPAiP</t>
  </si>
  <si>
    <t>Pozostałe zadania w zakresie polityki społecznej</t>
  </si>
  <si>
    <t xml:space="preserve">Pozostała działalność </t>
  </si>
  <si>
    <t>Zakup sprzętu do zabaw ruchowych na plac zabaw dla Przedszkola nr 32</t>
  </si>
  <si>
    <t>sprzęt do zabaw ruchowych</t>
  </si>
  <si>
    <t>P nr 32/WO</t>
  </si>
  <si>
    <t>Zakup sprzętu do Sali Doświadczania Świata dla Przedszkola nr 32</t>
  </si>
  <si>
    <t xml:space="preserve"> sprzęt do Sali Doświadczania Świata</t>
  </si>
  <si>
    <t>Zakup sprzętu rehabilitacyjnego dla Przedszkola nr 32</t>
  </si>
  <si>
    <t xml:space="preserve">sprzęt rehabilitacyjny </t>
  </si>
  <si>
    <t>Jesteś przedsiębiorczy! Zacznij działać już dziś w  Koninie - w ramach programu POKL (dotacja celowa)</t>
  </si>
  <si>
    <t>przekazanie dotacji inwestycyjnej na założenie działalności gospodarczej zgodnie z biznesplanem m.in. na zakup sprzętu komputerowego i oprogramowania, maszyn i urządzeń lub remont pomieszczeń</t>
  </si>
  <si>
    <t>DG</t>
  </si>
  <si>
    <t>Jesteś przedsiębiorczy! Zacznij działać już dziś w  Koninie  - w ramach programu POKL (dotacja celowa)</t>
  </si>
  <si>
    <t>Dobry pomysł na firmę - wspomagamy przedsiębiorczość w Koninie - w ramach programu POKL (dotacja celowa)</t>
  </si>
  <si>
    <t>rozwój przedsiębiorczości w mieście Koninie oraz poprawa sytuacji na rynku pracy -wsparcie 47 os. które rozpoczęły działalność gospodarczą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</si>
  <si>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</si>
  <si>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</si>
  <si>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</si>
  <si>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 xml:space="preserve">usuwanie wyrobów zawierających azbest </t>
  </si>
  <si>
    <t>OŚ</t>
  </si>
  <si>
    <t>Oświetlenie ulic, placów i dróg</t>
  </si>
  <si>
    <t xml:space="preserve">Zakup i montaż ulicznych lamp solarnych </t>
  </si>
  <si>
    <t xml:space="preserve">Budowa sygnalizacji świetlnej na skrzyżowaniu ul. Przemysłowej i ul. Gosławickiej  wraz z doświetleniem przejść dla pieszych
</t>
  </si>
  <si>
    <t xml:space="preserve">sygnalizacja świetlna oraz doświetlenie 3 przejść dla pieszych  – rejon ul. Gosławickiej,  ul. Jędrzejewskiego, przy wjeździe do ZE PAK
</t>
  </si>
  <si>
    <t xml:space="preserve">Budowa  sygnalizacji świetlnej na skrzyżowaniu ulic Zagórowska - Pułaskiego  - Marii  Dąbrowskiej
</t>
  </si>
  <si>
    <t>sygnalizacja świetlna</t>
  </si>
  <si>
    <t>Doświetlenie przejść dla pieszych w Koninie</t>
  </si>
  <si>
    <t xml:space="preserve"> z dnia 30 stycznia 2013 r. Nr 13/2013 Prezydenta Miasta Konina z dnia 7 lutego 2013 r.; Nr 14/2013 Prezydenta</t>
  </si>
  <si>
    <t>Miasta Konina z dnia  15 lutego 2013 r.; Nr 522 Rady Miasta Konina z dnia 27 lutego 2013 r.; Nr 22/2013</t>
  </si>
  <si>
    <t>dz. 853 rozdz.85395 § 6067   zmniejsza się o kwotę</t>
  </si>
  <si>
    <t>dz.853 rozdz.85395 § 6057 zwiększa się o kwotę</t>
  </si>
  <si>
    <t>Nr 540 Rady Miasta Konina z dnia 27 marca 2013 r.;  Nr 40/2013 Prezydenta Miasta Konina z dnia</t>
  </si>
  <si>
    <t>Załącznik nr 5 do uchwały budżetowej obejmujący:</t>
  </si>
  <si>
    <t>" Limit wydatków bieżących na programy finansowane z udziałem środków, o których</t>
  </si>
  <si>
    <r>
      <t xml:space="preserve">mowa w art. 5 ust. 1 pkt 2 i 3 ustawy o finansach publicznych na 2013 rok" </t>
    </r>
    <r>
      <rPr>
        <sz val="13"/>
        <rFont val="Times New Roman"/>
        <family val="1"/>
      </rPr>
      <t xml:space="preserve">otrzymuje </t>
    </r>
  </si>
  <si>
    <r>
      <t xml:space="preserve">Załącznik nr 11 do uchwały budżetowej obejmujący  </t>
    </r>
    <r>
      <rPr>
        <i/>
        <sz val="13"/>
        <rFont val="Times New Roman"/>
        <family val="1"/>
      </rPr>
      <t>"Plan dotacji dla podmiotów nie zaliczanych</t>
    </r>
  </si>
  <si>
    <t>do sektora finansów publicznych na cele publiczne związane z realizacją zadań miasta na 2013 rok"</t>
  </si>
  <si>
    <t>ust. 1</t>
  </si>
  <si>
    <r>
      <t xml:space="preserve">brzmienie w treści </t>
    </r>
    <r>
      <rPr>
        <b/>
        <sz val="13"/>
        <rFont val="Times New Roman"/>
        <family val="1"/>
      </rPr>
      <t>Załącznika nr 3</t>
    </r>
    <r>
      <rPr>
        <sz val="13"/>
        <rFont val="Times New Roman"/>
        <family val="1"/>
      </rPr>
      <t xml:space="preserve">  do niniejszej uchwały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</si>
  <si>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4 </t>
    </r>
    <r>
      <rPr>
        <sz val="13"/>
        <rFont val="Times New Roman"/>
        <family val="1"/>
      </rPr>
      <t>do niniejszej uchwały</t>
    </r>
  </si>
  <si>
    <r>
      <t xml:space="preserve">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</si>
  <si>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5 </t>
    </r>
    <r>
      <rPr>
        <sz val="13"/>
        <rFont val="Times New Roman"/>
        <family val="1"/>
      </rPr>
      <t>do niniejszej uchwały</t>
    </r>
  </si>
  <si>
    <t xml:space="preserve">11 kwietnia 2013 r.; Nr 559  Rady Miasta Konina z dnia 24 kwietnia 2013 r.Nr 46/2013 Prezydenta Miasta Konina </t>
  </si>
  <si>
    <t xml:space="preserve">z dnia  25 kwietnia 2013 r.;  Nr 49/2013 Prezydenta Miasta Konina z dnia 29 kwietnia 2013 r.;  </t>
  </si>
  <si>
    <t>Opracowanie dokumentacji projektowo-kosztorysowej ścieżki rowerowej wokół Wyspy Pociejewo</t>
  </si>
  <si>
    <t>754</t>
  </si>
  <si>
    <t>a/ nabycie działek gruntu obrębach: Pawłówek, Przydziałki, Grójec, Łężyn, Nowy Dwór ;  b/ nabycie gruntów w związku z przebudową ulic: Europejskiej, Kolskiej, Warszawskiej                                                          c/ wykupy gruntów pod budowę przyszłych dróg na terenie całego miasta</t>
  </si>
  <si>
    <t>Zakup i zamontowanie windy dla uczniów niepełnosprawnych w  SP nr 15 w Koninie</t>
  </si>
  <si>
    <t>zakup i zamontowanie windy</t>
  </si>
  <si>
    <t>Modernizacja oświetlenia ulicznego miasta  Konina na energooszczędne</t>
  </si>
  <si>
    <t>2013/2015</t>
  </si>
  <si>
    <t>Adaptacja pomieszczeń budynku Klubu Energetyk na potrzeby Młodzieżowego Domu Kultury w Koninie</t>
  </si>
  <si>
    <t xml:space="preserve">adaptacja pomieszczeń budynku </t>
  </si>
  <si>
    <t>przebudowa chodnika</t>
  </si>
  <si>
    <t>remont kościoła ,  konserwacja ołtarzy bocznych  pw. św. Bartłomieja w Koninie</t>
  </si>
  <si>
    <t>4040</t>
  </si>
  <si>
    <t>4410</t>
  </si>
  <si>
    <t>4440</t>
  </si>
  <si>
    <t>4120</t>
  </si>
  <si>
    <t>Wniesienie wkładu pieniężnego na opracowanie dokumentacji projektowej na budowę kanalizacji sanitarnej os. Wilków V etap (ul. Topolowa, Jarzębinowa)</t>
  </si>
  <si>
    <t>ust. 2</t>
  </si>
  <si>
    <t xml:space="preserve">ul. Przemysłowa (dawny 
Konwart); ul.Przemysłowa  - ul. Jeziorna; ul. Przemysłowa – Maliniec  (2 przejścia – rejon ul. Zapłocie i  ul. Malinieckiej); 
ul. Przemysłowa – Gaj; ul. Ślesińska - Cukrownia
</t>
  </si>
  <si>
    <t xml:space="preserve">Budowa oświetlenia ulicznego Al.. Cukrownicza, ul. Pałacowa, ul. 150-lecia, ul. Kortowa
</t>
  </si>
  <si>
    <t>oświetlenie uliczne</t>
  </si>
  <si>
    <t>Budowa kanalizacji deszczowej na terenie osiedla Pątnów  w Koninie</t>
  </si>
  <si>
    <t>dokumentacja projektowo-kosztorysowa</t>
  </si>
  <si>
    <t>Przygotowanie terenów inwestycyjnych w obrębie Konin - Międzylesie</t>
  </si>
  <si>
    <t>opracowanie studyjno-koncepcyjne, opracowanie dokumentacji projektowej</t>
  </si>
  <si>
    <t>2011/2013</t>
  </si>
  <si>
    <t>Budowa przyłączy kanalizacyjnych i przyłączenie nieruchomości do miejskiej sieci kanalizacyjnej</t>
  </si>
  <si>
    <t>przyłącza kanalizacyjne</t>
  </si>
  <si>
    <t>GK</t>
  </si>
  <si>
    <t xml:space="preserve">Kultura fizyczna </t>
  </si>
  <si>
    <t>Obiekty sportowe</t>
  </si>
  <si>
    <t>Wykonanie piłkochwytów przy boisku ORLIK 2012 przy Gimnazjum nr 3 na os. Chorzeń</t>
  </si>
  <si>
    <t>podwyższenie istniejących piłkochwytów</t>
  </si>
  <si>
    <t>Dokumentacja przyszłościowa na budowę boiska przy Gimnazjum                      nr 7 ul. Kard.Wyszyńskiego</t>
  </si>
  <si>
    <t>opracowanie dokumentacji projektowej</t>
  </si>
  <si>
    <t xml:space="preserve">Instytucje kultury fizycznej </t>
  </si>
  <si>
    <t>Wykonanie siłowni terenowej na osiedlu Zatorze</t>
  </si>
  <si>
    <t>siłownia terenowa</t>
  </si>
  <si>
    <t>MOSiR</t>
  </si>
  <si>
    <t>RAZEM POWIAT</t>
  </si>
  <si>
    <t>Drogi publiczne w miastach na prawach powiatu</t>
  </si>
  <si>
    <t>Przebudowa Wiaduktu Briańskiego wraz ze skrzyżowaniem ulic Kleczewska-Fryderyka Chopina</t>
  </si>
  <si>
    <t>przebudowa wiaduktu wraz ze skrzyżowaniem ulic oraz odwodnieniem i oświetleniem</t>
  </si>
  <si>
    <t>WI/GN</t>
  </si>
  <si>
    <t>Przebudowa ul. Żwirki i Wigury wraz z kanalizacją deszczową</t>
  </si>
  <si>
    <t>przebudowa ulicy wraz z kanalizacją deszczową</t>
  </si>
  <si>
    <t xml:space="preserve">Opracowanie dokumentacji projektowo-kosztorysowej na połączenie ul. I. Paderewskiego z ul. Kard. S. Wyszyńskiego
</t>
  </si>
  <si>
    <t xml:space="preserve">Opracowanie dokumentacji projektowej na przebudowę parkingu przy ul.Kard. S. Wyszyńskiego
</t>
  </si>
  <si>
    <t>Aktualizacja dokumentacji projektowej na II etap nowego przebiegu drogi krajowej Nr 25</t>
  </si>
  <si>
    <t xml:space="preserve">aktualizacja dokumentacji projektowej </t>
  </si>
  <si>
    <t>Działalność usługowa</t>
  </si>
  <si>
    <t>Ośrodki dokumentacji geodezyjnej i kartograficznej</t>
  </si>
  <si>
    <t>Zakup sprzętu komputerowego i kserograficznego do obsługi państwowego zasobu geodezyjnego i kartograficznego</t>
  </si>
  <si>
    <t>zakup sprzętu komputerowego i kserograficznego</t>
  </si>
  <si>
    <t>GM</t>
  </si>
  <si>
    <t>Nadzór budowlany</t>
  </si>
  <si>
    <t>Zakup urządzenia biurowego wielofunkcyjnego dla PINB dla miasta Konina</t>
  </si>
  <si>
    <t>zakup urządzenia wielofunkcyjnego (drukarka, fax., skan, kserokopiarka)</t>
  </si>
  <si>
    <t>PINB</t>
  </si>
  <si>
    <t>Zakup zestawu komputerowego wraz z oprogramowaniem dla PINB dla miasta Konina</t>
  </si>
  <si>
    <t>zakup komputera stacjonarnego (komputer, monitor, mysz, klawiatura, oprogramowanie)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</si>
  <si>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</si>
  <si>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</si>
  <si>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a/ kompleksowa modernizacja garaży,                                          b/ kompleksowa modernizacja łazienki w JRG Nr 1,                                                                   c/ modernizacja kanalizacji sanitarnej i deszczowej w garażach i placach manewrowych,                                                    d/ modernizacja nawierzchni placów manewrowych</t>
  </si>
  <si>
    <t>KMPSP</t>
  </si>
  <si>
    <t>Dokształcanie i doskonalenie nauczycieli</t>
  </si>
  <si>
    <t>Wymiana stolarki drzwiowej w głównym wejściu do Miejskiego Ośrodka Doskonalenia Nauczycieli w Koninie</t>
  </si>
  <si>
    <t xml:space="preserve">wymiana stolarki drzwiowej </t>
  </si>
  <si>
    <t>MODN/WO</t>
  </si>
  <si>
    <t>Pomoc społeczna</t>
  </si>
  <si>
    <t>Domy Pomocy Społecznej</t>
  </si>
  <si>
    <t>Zakup samochodu do przewozu osób niepełnosprawnych dla DPS w Koninie</t>
  </si>
  <si>
    <t xml:space="preserve">samochód do przewozu osób niepełnosprawnych </t>
  </si>
  <si>
    <t>DPS</t>
  </si>
  <si>
    <t>Rozbudowa boisk przy ZSGE                   ul. Kard. Wyszyńskiego 3  w Koninie</t>
  </si>
  <si>
    <t>opracowanie dokumentacji projektowej i wykonawstwo</t>
  </si>
  <si>
    <t>2013/2014</t>
  </si>
  <si>
    <t>Budowa instalacji wewnętrznych ciepłej wody i centralnego ogrzewania z węzłem cieplnym w budynku przy ul. Zofii Urbanowskiej 4</t>
  </si>
  <si>
    <t xml:space="preserve">Rewitalizacja Starówki - budowa budynków mieszkalnych wielorodzinnych pomiędzy ulicą  Wodną  i Grunwaldzką w Koninie </t>
  </si>
  <si>
    <t xml:space="preserve">budowa instalacji wewnętrznych ciepłej wody i centralnego ogrzewania z węzłem cieplnym </t>
  </si>
  <si>
    <t>W części dotyczącej zadań  powiatu</t>
  </si>
  <si>
    <t xml:space="preserve"> Wiesław  Steinke</t>
  </si>
  <si>
    <t xml:space="preserve">na 2013 rok:  Nr  4/2013 Prezydenta Miasta Konina z dnia 23 stycznia 2013 r.; Nr 513 Rady Miasta Konina </t>
  </si>
  <si>
    <t xml:space="preserve">miasta Konina na 2013 rok zmienionej zarządzeniami  i uchwałami w sprawie zmian w budżecie miasta Konina </t>
  </si>
  <si>
    <t>Budowa oświetlenia ul. Żwirki i Wigury w Koninie</t>
  </si>
  <si>
    <t>Przebudowa ulicy Romana Dmowskiego w Koninie</t>
  </si>
  <si>
    <t>b) kwotę części powiatowej</t>
  </si>
  <si>
    <t>przebudowa ulicy</t>
  </si>
  <si>
    <t>wymiana lamp</t>
  </si>
  <si>
    <t>801</t>
  </si>
  <si>
    <t>Budowa 4 domków mieszkalnych (8 mieszkań socjalnych) przy ul. Marii Dąbrowskiej w Koninie</t>
  </si>
  <si>
    <t>zakup i montaż lamp solarnych ul. Beznazwy, Jeziorko os.Zatorze i ul. Spacerowa</t>
  </si>
  <si>
    <t>W części dotyczącej dochodów  powiatu</t>
  </si>
  <si>
    <t xml:space="preserve">                                     UCHWAŁA  NR   </t>
  </si>
  <si>
    <t>Budowa oświetlenia na ul. Kanałowej w Koninie</t>
  </si>
  <si>
    <t>4017</t>
  </si>
  <si>
    <t xml:space="preserve">do Uchwały nr   </t>
  </si>
  <si>
    <t>4247</t>
  </si>
  <si>
    <t>dz. 801 rozdz.80104 § 6050   zwiększa się o kwotę</t>
  </si>
  <si>
    <t>Wykonanie schodów wewnętrznych w Przedszkolu nr 4 w Koninie</t>
  </si>
  <si>
    <t>dz. 754 rozdz.75405 § 6170   zwiększa się o kwotę</t>
  </si>
  <si>
    <t>Dofinansowanie zakupu 4  radiowozów dla KMP w Koninie</t>
  </si>
  <si>
    <t>75405</t>
  </si>
  <si>
    <t>3000</t>
  </si>
  <si>
    <t>6170</t>
  </si>
  <si>
    <t>85204</t>
  </si>
  <si>
    <t>2320</t>
  </si>
  <si>
    <t>Zwiększa się plan dotacji celowej o kwotę</t>
  </si>
  <si>
    <t>dz.852 rozdz.85204 § 2320 zwiększa się o kwotę</t>
  </si>
  <si>
    <t>dz.852 rozdz.85204 § 3110 zwiększa się o kwotę</t>
  </si>
  <si>
    <t>4277</t>
  </si>
  <si>
    <t>6057</t>
  </si>
  <si>
    <t>851</t>
  </si>
  <si>
    <t>85154</t>
  </si>
  <si>
    <t xml:space="preserve">         2) dochody powiatu ogółem                                                                                  </t>
  </si>
  <si>
    <t>3. W Załączniku Nr 1 do uchwały budżetowej dokonuje się następujących zmian:</t>
  </si>
  <si>
    <t>6. W Załączniku Nr 2 do uchwały budżetowej dokonuje się następujących zmian:</t>
  </si>
  <si>
    <t>8. W § 1  w ust. 5</t>
  </si>
  <si>
    <r>
      <t xml:space="preserve">ze środków budżetowych miasta Konina na 2013 rok " </t>
    </r>
    <r>
      <rPr>
        <sz val="12"/>
        <rFont val="Times New Roman"/>
        <family val="1"/>
      </rPr>
      <t xml:space="preserve"> dokonuje się następujących zmian"</t>
    </r>
  </si>
  <si>
    <t xml:space="preserve">      PLAN DOTACJI DLA PODMIOTÓW NIE ZALICZANYCH DO SEKTORA FINANSÓW </t>
  </si>
  <si>
    <t>PUBLICZNYCH NA CELE PUBLICZNE ZWIĄZANE Z REALIZACJĄ ZADAŃ MIASTA  NA 2013 ROK</t>
  </si>
  <si>
    <t>Wyszczególnienie</t>
  </si>
  <si>
    <t xml:space="preserve">Określenie zadań </t>
  </si>
  <si>
    <t>Plan na 2013 rok</t>
  </si>
  <si>
    <t>Razem zadania gminy</t>
  </si>
  <si>
    <t xml:space="preserve">Dotacje podmiotowe </t>
  </si>
  <si>
    <t>Prywatna Szkoła Podstawowa Zespół Edukacji Wiedza</t>
  </si>
  <si>
    <t xml:space="preserve">Centrum Szkoleniowe „WIEDZA” </t>
  </si>
  <si>
    <t xml:space="preserve">Gimnazjum Towarzystwa Salezjańskiego </t>
  </si>
  <si>
    <t>Gimnazjum Edukacji Innowacyjnej</t>
  </si>
  <si>
    <t>AP Edukacja Gimnazjum dla Dorosłych</t>
  </si>
  <si>
    <t>KIN Zdzisław Gimnazjum dla Dorosłych</t>
  </si>
  <si>
    <t xml:space="preserve">Przedszkole niepubliczne„Bajkolandia”  </t>
  </si>
  <si>
    <t>Przedszkole niepubliczne "Chatka -Puchatka"</t>
  </si>
  <si>
    <t xml:space="preserve">Punkt przedszkolny „Bajkowa Kraina”  </t>
  </si>
  <si>
    <t xml:space="preserve">Punkt przedszkolny „Misiowa Kraina”  </t>
  </si>
  <si>
    <t>Punkt przedszkolny "Mały Artysta"</t>
  </si>
  <si>
    <t>Punkt przedszkolny "Akademia Smyka"</t>
  </si>
  <si>
    <t>Dotacje celowe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</si>
  <si>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</si>
  <si>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</si>
  <si>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</si>
  <si>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</si>
  <si>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</si>
  <si>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</si>
  <si>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</si>
  <si>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</si>
  <si>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pomoc żywnościowa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</si>
  <si>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</si>
  <si>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</si>
  <si>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</si>
  <si>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</si>
  <si>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dotacja celowa dla prywatnych żłobków</t>
  </si>
  <si>
    <t>"Jesteś przedsiębiorczy! Zacznij działać już dziś w Koninie "  w ramach programu POKL (dotacja celowa)</t>
  </si>
  <si>
    <t>"Dobry pomysł na firmę" wspomagamy przedsiębiorczość w Koninie - w ramach programu POKL (dotacja celowa)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</si>
  <si>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</si>
  <si>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</si>
  <si>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</si>
  <si>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</si>
  <si>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</si>
  <si>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3110</t>
  </si>
  <si>
    <t>Kultura i ochrona dziedzictwa narodowego</t>
  </si>
  <si>
    <t>organizacja imprez kulturalnych dla mieszkańców m. Konina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</si>
  <si>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</si>
  <si>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</si>
  <si>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organizacja imprez sportowo-rekreacyjnych dla mieszkańców Konina</t>
  </si>
  <si>
    <t>organizacja imprez sportowo-rekreacyjnych dla osób niepełnosprawnych</t>
  </si>
  <si>
    <t xml:space="preserve">Razem zadania powiatu </t>
  </si>
  <si>
    <t>Centrum Nauki i Biznesu „Żak</t>
  </si>
  <si>
    <t>Europejskie Centrum Kształcenia "PASCAL"</t>
  </si>
  <si>
    <t xml:space="preserve">Zespół Edukacji „WIEDZA”    </t>
  </si>
  <si>
    <t xml:space="preserve">Technikum Uzupełniające Michał Lewandowski  </t>
  </si>
  <si>
    <t>Zakład Doskonalenia Zawodowego Centrum Kształcenia</t>
  </si>
  <si>
    <t xml:space="preserve">COSINUS     </t>
  </si>
  <si>
    <t>80120</t>
  </si>
  <si>
    <t>80123</t>
  </si>
  <si>
    <t>852</t>
  </si>
  <si>
    <t>Niepubliczne Policealne Studium Zawodowe Michał Lewandowski</t>
  </si>
  <si>
    <t xml:space="preserve">AP EDUKACJA            </t>
  </si>
  <si>
    <t>PLUS EDUKACJA</t>
  </si>
  <si>
    <t>Stowarzyszenie Edukacja na Odległość</t>
  </si>
  <si>
    <t>Centrum Szkoleniowe NET - Alicja Woźniak</t>
  </si>
  <si>
    <t>Instytut Postępowania Twórczego</t>
  </si>
  <si>
    <t xml:space="preserve">Elitarne Studium Służb Ochrony „DELTA”  </t>
  </si>
  <si>
    <t xml:space="preserve">  Liceum Ogólnokształcące w Konińskim Centrum Edukacyjnym</t>
  </si>
  <si>
    <t>Liceum Ogólnokształcące dla Dorosłych Michał Lewandowski</t>
  </si>
  <si>
    <t>prowadzenie warsztatów terapii zajęciowej, rehabilitacja zawodowa i społeczna</t>
  </si>
  <si>
    <t>Edukacyjna opieka wychowawcza</t>
  </si>
  <si>
    <t xml:space="preserve">Polskiego Stowarzyszenia na Rzecz Osób z Upośledzeniem Umysłowym </t>
  </si>
  <si>
    <t>Turystyka</t>
  </si>
  <si>
    <t>promocja turystyczna miasta Konina oraz udzielanie o nim informacji turystycznej</t>
  </si>
  <si>
    <t>organizacja imprez turystycznych dla mieszkańców Konina</t>
  </si>
  <si>
    <t>prowadzenie placówki opiekuńczo - wychowawczej typu rodzinnego -  Rodzinny Dom Dziecka</t>
  </si>
  <si>
    <t>działalność na rzecz rozwoju gospodarczego wspierająca lokalny rynek pracy</t>
  </si>
  <si>
    <t>OGÓŁEM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</si>
  <si>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</si>
  <si>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</si>
  <si>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2013 rok</t>
  </si>
  <si>
    <t xml:space="preserve">Nr  54/2013 Prezydenta Miasta Konina z dnia 16 maja 2013 r.; Nr  58/2013 Prezydenta Miasta Konina </t>
  </si>
  <si>
    <t xml:space="preserve">                  2013 rok</t>
  </si>
  <si>
    <t>Lp.</t>
  </si>
  <si>
    <t>Nazwa programu, cel i zadanie</t>
  </si>
  <si>
    <t>Jednostka organizacyjna</t>
  </si>
  <si>
    <t>Okres realizacji</t>
  </si>
  <si>
    <t>Środki budżetu państwa; środki własne gminy</t>
  </si>
  <si>
    <t>Środki z EFS ; WRPO, inne</t>
  </si>
  <si>
    <t>Zadania gminy</t>
  </si>
  <si>
    <t>Europejski Fundusz Społeczny - Program  Operacyjny Kapitał Ludzki</t>
  </si>
  <si>
    <t xml:space="preserve">Przedszkole nr 25 "Bajka" w Koninie </t>
  </si>
  <si>
    <r>
      <t xml:space="preserve">Cel: </t>
    </r>
    <r>
      <rPr>
        <sz val="9"/>
        <rFont val="Times New Roman"/>
        <family val="1"/>
      </rPr>
      <t>upowszechnianie edukacji przedszkolnej nastawionej na działalność ekologiczną i prozdrowotną</t>
    </r>
  </si>
  <si>
    <t xml:space="preserve">SPnr 1/WO </t>
  </si>
  <si>
    <t xml:space="preserve">SPnr 3/WO </t>
  </si>
  <si>
    <t xml:space="preserve">SPnr 12/WO </t>
  </si>
  <si>
    <t>Wyrównywanie szans edukacyjnych i zapewnienie wysokiej jakości usług edukacyjnych świadczonych w systemie oświaty, zmniejszenie nierówności w stopniu upowszechniania edukacji przedszkolnej poprzez realizację Projektu pt.: "W  Bajkowym Ogrodzie"</t>
  </si>
  <si>
    <t xml:space="preserve">Miasto Konin - Urząd Miejski w Koninie </t>
  </si>
  <si>
    <t>cel: Rozwój wykształcenia i kompetencji w regionach</t>
  </si>
  <si>
    <t>Wyrównywanie szans edukacyjnych uczniów z grup o utrudnionym dostępie do edukacji oraz zmniejszenie różnic w jakości usług edukacyjnych poprzez realizację projektu Pt. "Edukacja wczesnoszkolna na dobry początek"</t>
  </si>
  <si>
    <t xml:space="preserve">Urząd Miejski w Koninie,  Niepubliczne Przedszkole "Bajkowa Kraina"   w Koninie                       </t>
  </si>
  <si>
    <t>Zmniejszenie nierówności w stopniu upowszechniania edukacji przedszkolnej poprzez realizację projektu pt. "Bajkowa kraina bez barier"</t>
  </si>
  <si>
    <t>2012-2013</t>
  </si>
  <si>
    <t>Urząd Miejski w Koninie</t>
  </si>
  <si>
    <t xml:space="preserve">Budowa ulic na osiedlu Przydziałki - etap II </t>
  </si>
  <si>
    <t>Opracowanie dokumentacji projektowo - kosztorysowej na budowę parkingu  przy ulicy Powstańców Styczniowych 1 -3 -5</t>
  </si>
  <si>
    <t>Opracowanie dokumentacji  projektowo - kosztorysowej na budowę parkingu oraz drogi dojazdowej przy cmentarzu na ulicy Kolskiej</t>
  </si>
  <si>
    <t>wykonanie projektu, wykonanie prac, wymiana rejestratora, zakup kamer i urządzeń</t>
  </si>
  <si>
    <t>ZOUM</t>
  </si>
  <si>
    <t>Różne rozliczenia</t>
  </si>
  <si>
    <t>Rezerwy ogólne i celowe</t>
  </si>
  <si>
    <t>Zakup busa do przewozu dzieci niepełnosprawnych w Szkole Podstawowej Oddziałami Integracyjnymi Nr 9</t>
  </si>
  <si>
    <t>SP nr 9/WO</t>
  </si>
  <si>
    <t>Wykonanie ścianki boulderowej  dla Gimnazjum nr 3 w Koninie</t>
  </si>
  <si>
    <t>Szpitale ogólne</t>
  </si>
  <si>
    <t>WS</t>
  </si>
  <si>
    <t>Budowa chodnika ze schodami przy ul. Paderewskiego w Koninie(za przystankiem nr 336-02)</t>
  </si>
  <si>
    <t>Domy i ośrodki kultury, świetlice i kluby</t>
  </si>
  <si>
    <t>CKU/WO</t>
  </si>
  <si>
    <t>Druk nr  649</t>
  </si>
  <si>
    <t xml:space="preserve">pkt 1)  kwotę rezerwy ogólnej </t>
  </si>
  <si>
    <t xml:space="preserve">z dnia  26 czerwca 2013 roku     </t>
  </si>
  <si>
    <t>IILO.WO</t>
  </si>
  <si>
    <t>Licea ogólnokształcące</t>
  </si>
  <si>
    <t>cel: Rozwój przedsiębiorczości w Mieście Koninie oraz poprawa sytuacji na rynku pracy poprzez wsparcie 70 osób zamierzających rozpocząć działalność gospodarczą w terminie od 2.01.2012 r. do 30.09.2013 r.</t>
  </si>
  <si>
    <t>Projekt pt. "Dobry pomysł na firmę - wspomagamy przedsiębiorczość w Koninie"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</si>
  <si>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</si>
  <si>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</si>
  <si>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Przedszkole nr 2 w Koninie "Kraina Wesołej Zabawy"</t>
  </si>
  <si>
    <t>Podniesienie i uzupełnienie kwalifikacji kadry pedagogicznej i administracyjnej poprzez realizacje projektu Pt. "Dokształcanie to Twoja szansa"</t>
  </si>
  <si>
    <t>wkład własny niepieniężny</t>
  </si>
  <si>
    <t xml:space="preserve">Przedszkole nr 32 w Koninie </t>
  </si>
  <si>
    <t>cel: Podniesienie jakości  edukacji</t>
  </si>
  <si>
    <t>Doskonalenie i dokształcanie kadry pedagogicznej i administracyjnej poprzez realizację projektu Pt. "W drodze do wiedzy"</t>
  </si>
  <si>
    <t>Wyrównywanie szans edukacyjnych uczniów z grup o utrudnionym dostępie do edukacji oraz zmniejszenie różnic w jakości usług edukacyjnych  poprzez realizację projektu Pt. "Pierwsze kroki w edukacji"</t>
  </si>
  <si>
    <t>cel: Podniesienie poziomu aktywności zawodowej osób niepełnosprawnych pozostających bez zatrudnienia</t>
  </si>
  <si>
    <t>Projekt pt. "Nowe możliwości zawodowe - Twoja szansa na konińskim rynku pracy"</t>
  </si>
  <si>
    <t>cel: Poprawa sytuacji na konińskim rynku pracy bezrobotnych mieszkańców miasta Konina zamierzających rozpocząć działalność gospodarczą poprzez wsparcie postaw służących rozwojowi przedsiębiorczości i samozatrudnienie</t>
  </si>
  <si>
    <t>Projekt pt. "Jesteś przedsiębiorczy! Zacznij działać już dziś w Koninie"</t>
  </si>
  <si>
    <t>cel: Poprawa sutuacji niepełnosprawnych osób bezrobotnych na rynku pracy oraz rozwój przedsiębiorczości w Koninie</t>
  </si>
  <si>
    <t xml:space="preserve">Projekt pt. "Twoja firma - wspomagamy przedsiębiorczych w Koninie" </t>
  </si>
  <si>
    <t>2013-2014</t>
  </si>
  <si>
    <t>cel: Wspomaganie osób bezrobotnych w przekwalifikowaniu i znalezieniu zatrudnienia</t>
  </si>
  <si>
    <t xml:space="preserve">        PLAN DOTACJI DLA PODMIOTÓW ZALICZANYCH DO SEKTORA FINANSÓW </t>
  </si>
  <si>
    <t xml:space="preserve">PUBLICZNYCH NA CELE PUBLICZNE ZWIĄZANE Z REALIZACJĄ ZADAŃ MIASTA  </t>
  </si>
  <si>
    <t xml:space="preserve">                                                             NA 2013 ROK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</si>
  <si>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</si>
  <si>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</si>
  <si>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</si>
  <si>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</si>
  <si>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</si>
  <si>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Gospodarka komunalna  i ochrona środowiska</t>
  </si>
  <si>
    <t>Miejska Biblioteka Publiczna</t>
  </si>
  <si>
    <t>koszty utrzymania dzieci  z miasta Konina umieszczonych w placówkach opiekuńczych na terenie kraju</t>
  </si>
  <si>
    <t>koszty utrzymania dzieci  z miasta Konina umieszczonych w rodzinach zastępczych na terenie kraju</t>
  </si>
  <si>
    <t>90015</t>
  </si>
  <si>
    <t>Budowa ogrodzenia zespołu garaży przy ulicy Gajowej w Koninie</t>
  </si>
  <si>
    <t>Zmniejsza się plan wydatków o kwotę</t>
  </si>
  <si>
    <t>Zakup i montaż wiat przystankowych</t>
  </si>
  <si>
    <t>Lokalny transport zbiorowy</t>
  </si>
  <si>
    <t>wiaty przystankowe</t>
  </si>
  <si>
    <t>GN</t>
  </si>
  <si>
    <t>budowa ogrodzenia</t>
  </si>
  <si>
    <t xml:space="preserve">WI </t>
  </si>
  <si>
    <t>Wspieranie realizacji zadań organizacji pozarządowych</t>
  </si>
  <si>
    <t>realizowanych na podstawie porozumień między jednostkami samorządu terytorialnego</t>
  </si>
  <si>
    <r>
      <t xml:space="preserve">4. W Załączniku nr 6 do uchwały budżetowej obejmującym </t>
    </r>
    <r>
      <rPr>
        <i/>
        <sz val="12"/>
        <rFont val="Times New Roman"/>
        <family val="1"/>
      </rPr>
      <t xml:space="preserve">"Plan dotacji i wydatków zadań </t>
    </r>
  </si>
  <si>
    <r>
      <t xml:space="preserve">na 2013 rok  - zadania własne" </t>
    </r>
    <r>
      <rPr>
        <sz val="12"/>
        <rFont val="Times New Roman"/>
        <family val="1"/>
      </rPr>
      <t>dokonuje się następujących zmian:</t>
    </r>
  </si>
  <si>
    <t>5. W § 1 ust. 3</t>
  </si>
  <si>
    <t>7. W Załączniku Nr 2 do uchwały budżetowej dokonuje się następujących zmian:</t>
  </si>
  <si>
    <t xml:space="preserve">9. W § 1  do uchwały budżetowej </t>
  </si>
  <si>
    <t xml:space="preserve">10.  W § 3    do uchwały budżetowej </t>
  </si>
  <si>
    <t>11. W § 4 do uchwały budżetowej dokonuje się następujących zmian:</t>
  </si>
  <si>
    <t>Opracowanie dokumentacji projektowo-kosztorysowej na budowę łącznika od ul. Przemysłowej do ul. Kleczewskiej</t>
  </si>
  <si>
    <r>
      <t xml:space="preserve">brzmienie w treści </t>
    </r>
    <r>
      <rPr>
        <b/>
        <sz val="13"/>
        <rFont val="Times New Roman"/>
        <family val="1"/>
      </rPr>
      <t xml:space="preserve">Załącznika nr 2 </t>
    </r>
    <r>
      <rPr>
        <sz val="13"/>
        <rFont val="Times New Roman"/>
        <family val="1"/>
      </rPr>
      <t xml:space="preserve">  do niniejszej uchwały</t>
    </r>
  </si>
  <si>
    <t>prowadzenie działalności Powiatowego Urzędu Pracy</t>
  </si>
  <si>
    <t>Załącznik nr 5</t>
  </si>
  <si>
    <t>Dotacja celowa na dofinansowanie zakupu oprogramowania wraz z licencją w ramach informatyzacji Wojewódzkiego Szpitala Zespolonego w Koninie</t>
  </si>
  <si>
    <t>Budowa ulic: Jesionowej, Modrzewiowej, Lipowej, Klonowej i Cisowej  w Koninie</t>
  </si>
  <si>
    <t>2360</t>
  </si>
  <si>
    <t>Budowa - przedłużenie ulicy Solnej - odcinek od ul. Kaliskiej do ul. Świętojańskiej</t>
  </si>
  <si>
    <t>Budowa chodnika na ul. Działkowej w Koninie</t>
  </si>
  <si>
    <t>4117</t>
  </si>
  <si>
    <t>4177</t>
  </si>
  <si>
    <t>4307</t>
  </si>
  <si>
    <t>75818</t>
  </si>
  <si>
    <t>4810</t>
  </si>
  <si>
    <t>80140</t>
  </si>
  <si>
    <t>4260</t>
  </si>
  <si>
    <t xml:space="preserve">do Uchwały nr  </t>
  </si>
  <si>
    <t>z dnia 26 czerwca 2013 roku</t>
  </si>
  <si>
    <t>wykonanie schodów</t>
  </si>
  <si>
    <t>Komendy powiatowe Policji</t>
  </si>
  <si>
    <t xml:space="preserve">do Uchwały nr     </t>
  </si>
  <si>
    <t xml:space="preserve">z dnia  26 czerwca 2013 roku       </t>
  </si>
  <si>
    <t>- wprowadza się następujące zmiany:</t>
  </si>
  <si>
    <t>4220</t>
  </si>
  <si>
    <t>2009</t>
  </si>
  <si>
    <t>4219</t>
  </si>
  <si>
    <t>4309</t>
  </si>
  <si>
    <t xml:space="preserve">1. Projekt i budowa przyłączy dla MBP na ul. Dworcowej i dla Konińskiego Domu Kultury oraz rurociągu w Moście Briańskim.
2. Wypełnienie światłowodem rurociągu na trasie od ul. Powstańców Wielkopolskich do ul. Kleczewskiej
</t>
  </si>
  <si>
    <t>podłączenie do sieci</t>
  </si>
  <si>
    <t>zakup sztandaru</t>
  </si>
  <si>
    <t>Budowa ulicy Leopolda Staffa w Koninie</t>
  </si>
  <si>
    <t>Rozbudowa monitoringu miejskiego</t>
  </si>
  <si>
    <t>Rozbudowa miejskiej sieci szerokopasmowej KoMAN</t>
  </si>
  <si>
    <t>Budowa windy schodowej dla osób niepełnosprawnych w Przedszkolu nr 32</t>
  </si>
  <si>
    <t>Budowa podjazdu dla osób niepełnosprawnych przy Przedszkolu nr 32</t>
  </si>
  <si>
    <t>Budowa placów zabaw w mieście Koninie</t>
  </si>
  <si>
    <t>dz. 600 rozdz.60015 § 6050   zwiększa się o kwotę</t>
  </si>
  <si>
    <t>Przebudowa chodnika przy ulicy Staromorzysławskiej w Koninie</t>
  </si>
  <si>
    <t>Termomodernizacja budynku II Liceum w Koninie</t>
  </si>
  <si>
    <t>Budowa hangaru przy Zespole Szkól Centrum Kształcenia Ustawicznego w Koninie</t>
  </si>
  <si>
    <t>Projekt pt. "Twój zawód, Twoja praca - poprawa dostępu do zatrudnienia na konińskim rynku pracy"</t>
  </si>
  <si>
    <t xml:space="preserve">Przedszkole nr 4 w Koninie </t>
  </si>
  <si>
    <t>cel:  Upowszechnianie edukacji przedszkolnej na terenie miasta Konina i powiatu konińskiego</t>
  </si>
  <si>
    <t>Upowszechnianie edukacji przedszkolnej na terenie miasta Konina i powiatu konińskiego poprzez wydłużenie czasu pracy przedszkola i dokonanie dodatkowego naboru w ramach  realizacji Projektu pt. "Dobre przedszkole na dobry start"</t>
  </si>
  <si>
    <t>„Uczenie się przez całe życie” Comenius współfinansowany z Polskiej Narodowej Agencji</t>
  </si>
  <si>
    <t>cel:  Wzmacnianie europejskiego wymiaru edukacji poprzez promowanie współpracy międzynarodowej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</si>
</sst>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76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4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i/>
      <sz val="16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i/>
      <sz val="9"/>
      <name val="Times New Roman"/>
      <family val="1"/>
    </font>
    <font>
      <sz val="9"/>
      <name val="Arial CE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sz val="16"/>
      <name val="Times New Roman"/>
      <family val="1"/>
    </font>
    <font>
      <i/>
      <sz val="10"/>
      <name val="Arial"/>
      <family val="0"/>
    </font>
    <font>
      <b/>
      <sz val="16"/>
      <name val="Times New Roman"/>
      <family val="1"/>
    </font>
    <font>
      <b/>
      <sz val="9"/>
      <name val="Arial CE"/>
      <family val="0"/>
    </font>
    <font>
      <sz val="11"/>
      <name val="Times New Roman CE"/>
      <family val="1"/>
    </font>
    <font>
      <sz val="11"/>
      <name val="Arial"/>
      <family val="0"/>
    </font>
    <font>
      <sz val="9"/>
      <color indexed="10"/>
      <name val="Times New Roman"/>
      <family val="1"/>
    </font>
    <font>
      <sz val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16"/>
      <color indexed="12"/>
      <name val="Times New Roman"/>
      <family val="1"/>
    </font>
    <font>
      <b/>
      <sz val="9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1"/>
      <name val="Arial"/>
      <family val="2"/>
    </font>
    <font>
      <i/>
      <sz val="13"/>
      <name val="Times New Roman"/>
      <family val="1"/>
    </font>
    <font>
      <sz val="12"/>
      <color indexed="12"/>
      <name val="Times New Roman"/>
      <family val="1"/>
    </font>
    <font>
      <b/>
      <sz val="9"/>
      <name val="Arial"/>
      <family val="0"/>
    </font>
    <font>
      <i/>
      <sz val="9"/>
      <name val="Arial"/>
      <family val="0"/>
    </font>
    <font>
      <b/>
      <sz val="10"/>
      <color indexed="12"/>
      <name val="Arial"/>
      <family val="2"/>
    </font>
    <font>
      <sz val="14"/>
      <name val="Arial CE"/>
      <family val="2"/>
    </font>
    <font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6"/>
      <name val="Arial"/>
      <family val="0"/>
    </font>
    <font>
      <sz val="16"/>
      <color indexed="10"/>
      <name val="Arial"/>
      <family val="0"/>
    </font>
    <font>
      <b/>
      <sz val="10"/>
      <color indexed="10"/>
      <name val="Arial CE"/>
      <family val="0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1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19" applyFont="1" applyFill="1">
      <alignment/>
      <protection/>
    </xf>
    <xf numFmtId="0" fontId="9" fillId="0" borderId="0" xfId="19" applyFont="1" applyFill="1" applyAlignment="1">
      <alignment horizontal="center"/>
      <protection/>
    </xf>
    <xf numFmtId="4" fontId="2" fillId="0" borderId="0" xfId="19" applyNumberFormat="1" applyFont="1" applyFill="1">
      <alignment/>
      <protection/>
    </xf>
    <xf numFmtId="0" fontId="3" fillId="0" borderId="0" xfId="19" applyFont="1" applyFill="1">
      <alignment/>
      <protection/>
    </xf>
    <xf numFmtId="4" fontId="3" fillId="0" borderId="0" xfId="19" applyNumberFormat="1" applyFont="1" applyFill="1">
      <alignment/>
      <protection/>
    </xf>
    <xf numFmtId="0" fontId="9" fillId="0" borderId="1" xfId="18" applyFont="1" applyFill="1" applyBorder="1">
      <alignment/>
      <protection/>
    </xf>
    <xf numFmtId="0" fontId="9" fillId="0" borderId="2" xfId="18" applyFont="1" applyFill="1" applyBorder="1">
      <alignment/>
      <protection/>
    </xf>
    <xf numFmtId="0" fontId="9" fillId="0" borderId="0" xfId="18" applyFont="1" applyFill="1" applyBorder="1">
      <alignment/>
      <protection/>
    </xf>
    <xf numFmtId="0" fontId="9" fillId="0" borderId="3" xfId="18" applyFont="1" applyFill="1" applyBorder="1" applyAlignment="1">
      <alignment horizontal="center" vertical="top"/>
      <protection/>
    </xf>
    <xf numFmtId="0" fontId="10" fillId="0" borderId="4" xfId="18" applyFont="1" applyFill="1" applyBorder="1" applyAlignment="1">
      <alignment vertical="center" wrapText="1"/>
      <protection/>
    </xf>
    <xf numFmtId="0" fontId="3" fillId="0" borderId="0" xfId="18" applyFont="1" applyFill="1">
      <alignment/>
      <protection/>
    </xf>
    <xf numFmtId="0" fontId="9" fillId="0" borderId="0" xfId="18" applyFont="1" applyFill="1">
      <alignment/>
      <protection/>
    </xf>
    <xf numFmtId="4" fontId="2" fillId="0" borderId="0" xfId="18" applyNumberFormat="1" applyFont="1" applyFill="1">
      <alignment/>
      <protection/>
    </xf>
    <xf numFmtId="4" fontId="5" fillId="0" borderId="0" xfId="18" applyNumberFormat="1" applyFont="1" applyFill="1" applyBorder="1" applyAlignment="1">
      <alignment horizontal="right"/>
      <protection/>
    </xf>
    <xf numFmtId="0" fontId="15" fillId="0" borderId="0" xfId="18" applyFont="1" applyFill="1">
      <alignment/>
      <protection/>
    </xf>
    <xf numFmtId="4" fontId="11" fillId="0" borderId="0" xfId="18" applyNumberFormat="1" applyFont="1" applyFill="1" applyAlignment="1">
      <alignment vertical="center"/>
      <protection/>
    </xf>
    <xf numFmtId="4" fontId="11" fillId="0" borderId="0" xfId="18" applyNumberFormat="1" applyFont="1" applyFill="1">
      <alignment/>
      <protection/>
    </xf>
    <xf numFmtId="4" fontId="7" fillId="0" borderId="0" xfId="22" applyNumberFormat="1" applyFont="1" applyFill="1" applyAlignment="1">
      <alignment horizontal="right"/>
      <protection/>
    </xf>
    <xf numFmtId="0" fontId="2" fillId="0" borderId="0" xfId="19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18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18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19" applyFont="1" applyFill="1" applyAlignment="1">
      <alignment horizontal="center"/>
      <protection/>
    </xf>
    <xf numFmtId="4" fontId="3" fillId="0" borderId="0" xfId="18" applyNumberFormat="1" applyFont="1" applyFill="1" applyAlignment="1">
      <alignment horizontal="center"/>
      <protection/>
    </xf>
    <xf numFmtId="4" fontId="5" fillId="0" borderId="2" xfId="18" applyNumberFormat="1" applyFont="1" applyFill="1" applyBorder="1" applyAlignment="1">
      <alignment horizontal="right" vertical="center"/>
      <protection/>
    </xf>
    <xf numFmtId="4" fontId="5" fillId="0" borderId="2" xfId="18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18" applyNumberFormat="1" applyFont="1" applyFill="1" applyBorder="1" applyAlignment="1">
      <alignment vertical="center"/>
      <protection/>
    </xf>
    <xf numFmtId="4" fontId="3" fillId="0" borderId="0" xfId="18" applyNumberFormat="1" applyFont="1" applyFill="1" applyAlignment="1">
      <alignment vertical="center"/>
      <protection/>
    </xf>
    <xf numFmtId="4" fontId="13" fillId="0" borderId="0" xfId="18" applyNumberFormat="1" applyFont="1" applyFill="1" applyAlignment="1">
      <alignment vertical="center"/>
      <protection/>
    </xf>
    <xf numFmtId="0" fontId="13" fillId="0" borderId="0" xfId="18" applyFont="1" applyFill="1">
      <alignment/>
      <protection/>
    </xf>
    <xf numFmtId="0" fontId="2" fillId="0" borderId="0" xfId="19" applyFont="1" applyFill="1" applyAlignment="1">
      <alignment vertical="center"/>
      <protection/>
    </xf>
    <xf numFmtId="0" fontId="9" fillId="0" borderId="0" xfId="19" applyFont="1" applyFill="1" applyAlignment="1">
      <alignment vertical="center"/>
      <protection/>
    </xf>
    <xf numFmtId="0" fontId="9" fillId="0" borderId="0" xfId="19" applyFont="1" applyFill="1" applyAlignment="1">
      <alignment horizontal="center" vertical="center"/>
      <protection/>
    </xf>
    <xf numFmtId="4" fontId="14" fillId="0" borderId="0" xfId="19" applyNumberFormat="1" applyFont="1" applyFill="1" applyAlignment="1">
      <alignment horizontal="right" vertical="center"/>
      <protection/>
    </xf>
    <xf numFmtId="4" fontId="2" fillId="0" borderId="0" xfId="19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49" fontId="2" fillId="0" borderId="0" xfId="19" applyNumberFormat="1" applyFont="1" applyFill="1">
      <alignment/>
      <protection/>
    </xf>
    <xf numFmtId="49" fontId="9" fillId="0" borderId="0" xfId="19" applyNumberFormat="1" applyFont="1" applyFill="1">
      <alignment/>
      <protection/>
    </xf>
    <xf numFmtId="49" fontId="9" fillId="0" borderId="0" xfId="19" applyNumberFormat="1" applyFont="1" applyFill="1" applyAlignment="1">
      <alignment horizontal="center"/>
      <protection/>
    </xf>
    <xf numFmtId="49" fontId="3" fillId="0" borderId="0" xfId="19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24" applyFont="1" applyFill="1" applyAlignment="1">
      <alignment horizontal="left"/>
      <protection/>
    </xf>
    <xf numFmtId="49" fontId="3" fillId="0" borderId="0" xfId="19" applyNumberFormat="1" applyFont="1" applyFill="1" applyAlignment="1">
      <alignment horizontal="center"/>
      <protection/>
    </xf>
    <xf numFmtId="49" fontId="3" fillId="0" borderId="0" xfId="18" applyNumberFormat="1" applyFont="1" applyFill="1">
      <alignment/>
      <protection/>
    </xf>
    <xf numFmtId="4" fontId="2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28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21" applyNumberFormat="1" applyFont="1" applyFill="1">
      <alignment/>
      <protection/>
    </xf>
    <xf numFmtId="49" fontId="28" fillId="0" borderId="0" xfId="21" applyNumberFormat="1" applyFont="1" applyFill="1">
      <alignment/>
      <protection/>
    </xf>
    <xf numFmtId="49" fontId="28" fillId="0" borderId="0" xfId="21" applyNumberFormat="1" applyFont="1" applyFill="1" applyAlignment="1">
      <alignment horizontal="center"/>
      <protection/>
    </xf>
    <xf numFmtId="0" fontId="28" fillId="0" borderId="0" xfId="0" applyFont="1" applyFill="1" applyAlignment="1">
      <alignment horizontal="left"/>
    </xf>
    <xf numFmtId="0" fontId="28" fillId="0" borderId="0" xfId="19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21" applyNumberFormat="1" applyFont="1" applyFill="1">
      <alignment/>
      <protection/>
    </xf>
    <xf numFmtId="49" fontId="9" fillId="0" borderId="0" xfId="21" applyNumberFormat="1" applyFont="1" applyFill="1" applyAlignment="1">
      <alignment horizontal="center"/>
      <protection/>
    </xf>
    <xf numFmtId="0" fontId="7" fillId="0" borderId="0" xfId="19" applyFont="1" applyFill="1">
      <alignment/>
      <protection/>
    </xf>
    <xf numFmtId="49" fontId="3" fillId="0" borderId="0" xfId="21" applyNumberFormat="1" applyFont="1" applyFill="1">
      <alignment/>
      <protection/>
    </xf>
    <xf numFmtId="49" fontId="7" fillId="0" borderId="0" xfId="21" applyNumberFormat="1" applyFont="1" applyFill="1">
      <alignment/>
      <protection/>
    </xf>
    <xf numFmtId="49" fontId="7" fillId="0" borderId="0" xfId="21" applyNumberFormat="1" applyFont="1" applyFill="1" applyAlignment="1">
      <alignment horizontal="center"/>
      <protection/>
    </xf>
    <xf numFmtId="49" fontId="9" fillId="0" borderId="5" xfId="18" applyNumberFormat="1" applyFont="1" applyFill="1" applyBorder="1">
      <alignment/>
      <protection/>
    </xf>
    <xf numFmtId="49" fontId="9" fillId="0" borderId="5" xfId="18" applyNumberFormat="1" applyFont="1" applyFill="1" applyBorder="1" applyAlignment="1">
      <alignment horizontal="center"/>
      <protection/>
    </xf>
    <xf numFmtId="49" fontId="9" fillId="0" borderId="6" xfId="18" applyNumberFormat="1" applyFont="1" applyFill="1" applyBorder="1">
      <alignment/>
      <protection/>
    </xf>
    <xf numFmtId="49" fontId="9" fillId="0" borderId="6" xfId="18" applyNumberFormat="1" applyFont="1" applyFill="1" applyBorder="1" applyAlignment="1">
      <alignment horizontal="center"/>
      <protection/>
    </xf>
    <xf numFmtId="49" fontId="9" fillId="0" borderId="3" xfId="18" applyNumberFormat="1" applyFont="1" applyFill="1" applyBorder="1" applyAlignment="1">
      <alignment horizontal="center" vertical="center"/>
      <protection/>
    </xf>
    <xf numFmtId="49" fontId="5" fillId="0" borderId="4" xfId="18" applyNumberFormat="1" applyFont="1" applyFill="1" applyBorder="1" applyAlignment="1">
      <alignment horizontal="center" vertical="center"/>
      <protection/>
    </xf>
    <xf numFmtId="4" fontId="5" fillId="0" borderId="3" xfId="18" applyNumberFormat="1" applyFont="1" applyFill="1" applyBorder="1" applyAlignment="1">
      <alignment horizontal="right" vertical="top"/>
      <protection/>
    </xf>
    <xf numFmtId="49" fontId="5" fillId="0" borderId="5" xfId="18" applyNumberFormat="1" applyFont="1" applyFill="1" applyBorder="1" applyAlignment="1">
      <alignment horizontal="center" vertical="center"/>
      <protection/>
    </xf>
    <xf numFmtId="49" fontId="5" fillId="0" borderId="2" xfId="18" applyNumberFormat="1" applyFont="1" applyFill="1" applyBorder="1" applyAlignment="1">
      <alignment horizontal="center" vertical="center"/>
      <protection/>
    </xf>
    <xf numFmtId="49" fontId="3" fillId="0" borderId="2" xfId="18" applyNumberFormat="1" applyFont="1" applyFill="1" applyBorder="1" applyAlignment="1">
      <alignment horizontal="center" vertical="center"/>
      <protection/>
    </xf>
    <xf numFmtId="4" fontId="3" fillId="0" borderId="3" xfId="18" applyNumberFormat="1" applyFont="1" applyFill="1" applyBorder="1" applyAlignment="1">
      <alignment horizontal="right" vertical="top"/>
      <protection/>
    </xf>
    <xf numFmtId="49" fontId="3" fillId="0" borderId="7" xfId="18" applyNumberFormat="1" applyFont="1" applyFill="1" applyBorder="1" applyAlignment="1">
      <alignment horizontal="center" vertical="center"/>
      <protection/>
    </xf>
    <xf numFmtId="49" fontId="3" fillId="0" borderId="6" xfId="18" applyNumberFormat="1" applyFont="1" applyFill="1" applyBorder="1" applyAlignment="1">
      <alignment horizontal="center" vertical="center"/>
      <protection/>
    </xf>
    <xf numFmtId="49" fontId="3" fillId="0" borderId="8" xfId="18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9" fontId="5" fillId="0" borderId="0" xfId="18" applyNumberFormat="1" applyFont="1" applyFill="1" applyBorder="1" applyAlignment="1">
      <alignment horizontal="left" vertical="center"/>
      <protection/>
    </xf>
    <xf numFmtId="49" fontId="5" fillId="0" borderId="0" xfId="18" applyNumberFormat="1" applyFont="1" applyFill="1" applyBorder="1" applyAlignment="1">
      <alignment horizontal="center" vertical="center"/>
      <protection/>
    </xf>
    <xf numFmtId="4" fontId="5" fillId="0" borderId="0" xfId="18" applyNumberFormat="1" applyFont="1" applyFill="1" applyBorder="1" applyAlignment="1">
      <alignment horizontal="right" vertical="center"/>
      <protection/>
    </xf>
    <xf numFmtId="4" fontId="5" fillId="0" borderId="8" xfId="18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3" fillId="0" borderId="8" xfId="18" applyNumberFormat="1" applyFont="1" applyFill="1" applyBorder="1" applyAlignment="1">
      <alignment horizontal="right" vertical="top"/>
      <protection/>
    </xf>
    <xf numFmtId="49" fontId="3" fillId="0" borderId="3" xfId="18" applyNumberFormat="1" applyFont="1" applyFill="1" applyBorder="1" applyAlignment="1">
      <alignment horizontal="center" vertical="center"/>
      <protection/>
    </xf>
    <xf numFmtId="4" fontId="5" fillId="0" borderId="8" xfId="18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18" applyNumberFormat="1" applyFont="1" applyFill="1">
      <alignment/>
      <protection/>
    </xf>
    <xf numFmtId="49" fontId="9" fillId="0" borderId="0" xfId="18" applyNumberFormat="1" applyFont="1" applyFill="1" applyAlignment="1">
      <alignment horizontal="center"/>
      <protection/>
    </xf>
    <xf numFmtId="164" fontId="9" fillId="0" borderId="0" xfId="18" applyNumberFormat="1" applyFont="1" applyFill="1">
      <alignment/>
      <protection/>
    </xf>
    <xf numFmtId="49" fontId="5" fillId="0" borderId="0" xfId="18" applyNumberFormat="1" applyFont="1" applyFill="1">
      <alignment/>
      <protection/>
    </xf>
    <xf numFmtId="49" fontId="12" fillId="0" borderId="0" xfId="18" applyNumberFormat="1" applyFont="1" applyFill="1" applyAlignment="1">
      <alignment horizontal="center"/>
      <protection/>
    </xf>
    <xf numFmtId="4" fontId="5" fillId="0" borderId="0" xfId="18" applyNumberFormat="1" applyFont="1" applyFill="1">
      <alignment/>
      <protection/>
    </xf>
    <xf numFmtId="49" fontId="7" fillId="0" borderId="0" xfId="18" applyNumberFormat="1" applyFont="1" applyFill="1">
      <alignment/>
      <protection/>
    </xf>
    <xf numFmtId="4" fontId="3" fillId="0" borderId="0" xfId="18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19" applyNumberFormat="1" applyFont="1" applyFill="1">
      <alignment/>
      <protection/>
    </xf>
    <xf numFmtId="49" fontId="28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28" fillId="0" borderId="0" xfId="19" applyNumberFormat="1" applyFont="1" applyFill="1">
      <alignment/>
      <protection/>
    </xf>
    <xf numFmtId="4" fontId="9" fillId="0" borderId="0" xfId="18" applyNumberFormat="1" applyFont="1" applyFill="1">
      <alignment/>
      <protection/>
    </xf>
    <xf numFmtId="49" fontId="17" fillId="0" borderId="0" xfId="18" applyNumberFormat="1" applyFont="1" applyFill="1">
      <alignment/>
      <protection/>
    </xf>
    <xf numFmtId="49" fontId="5" fillId="0" borderId="0" xfId="18" applyNumberFormat="1" applyFont="1" applyFill="1" applyBorder="1">
      <alignment/>
      <protection/>
    </xf>
    <xf numFmtId="49" fontId="5" fillId="0" borderId="0" xfId="18" applyNumberFormat="1" applyFont="1" applyFill="1" applyBorder="1" applyAlignment="1">
      <alignment horizontal="center"/>
      <protection/>
    </xf>
    <xf numFmtId="49" fontId="15" fillId="0" borderId="0" xfId="18" applyNumberFormat="1" applyFont="1" applyFill="1">
      <alignment/>
      <protection/>
    </xf>
    <xf numFmtId="49" fontId="15" fillId="0" borderId="0" xfId="18" applyNumberFormat="1" applyFont="1" applyFill="1" applyAlignment="1">
      <alignment horizontal="center"/>
      <protection/>
    </xf>
    <xf numFmtId="49" fontId="5" fillId="0" borderId="9" xfId="18" applyNumberFormat="1" applyFont="1" applyFill="1" applyBorder="1" applyAlignment="1">
      <alignment horizontal="center" vertical="center"/>
      <protection/>
    </xf>
    <xf numFmtId="0" fontId="5" fillId="0" borderId="0" xfId="18" applyFont="1" applyFill="1">
      <alignment/>
      <protection/>
    </xf>
    <xf numFmtId="49" fontId="5" fillId="0" borderId="1" xfId="18" applyNumberFormat="1" applyFont="1" applyFill="1" applyBorder="1" applyAlignment="1">
      <alignment vertical="center"/>
      <protection/>
    </xf>
    <xf numFmtId="49" fontId="3" fillId="0" borderId="10" xfId="18" applyNumberFormat="1" applyFont="1" applyFill="1" applyBorder="1" applyAlignment="1">
      <alignment horizontal="center" vertical="center"/>
      <protection/>
    </xf>
    <xf numFmtId="49" fontId="20" fillId="0" borderId="2" xfId="18" applyNumberFormat="1" applyFont="1" applyFill="1" applyBorder="1" applyAlignment="1">
      <alignment horizontal="center" vertical="center"/>
      <protection/>
    </xf>
    <xf numFmtId="49" fontId="5" fillId="0" borderId="0" xfId="18" applyNumberFormat="1" applyFont="1" applyFill="1" applyBorder="1" applyAlignment="1">
      <alignment vertical="center"/>
      <protection/>
    </xf>
    <xf numFmtId="49" fontId="3" fillId="0" borderId="0" xfId="18" applyNumberFormat="1" applyFont="1" applyFill="1" applyBorder="1" applyAlignment="1">
      <alignment horizontal="center" vertical="center"/>
      <protection/>
    </xf>
    <xf numFmtId="49" fontId="20" fillId="0" borderId="0" xfId="18" applyNumberFormat="1" applyFont="1" applyFill="1" applyBorder="1" applyAlignment="1">
      <alignment horizontal="center" vertical="center"/>
      <protection/>
    </xf>
    <xf numFmtId="49" fontId="9" fillId="0" borderId="11" xfId="18" applyNumberFormat="1" applyFont="1" applyFill="1" applyBorder="1">
      <alignment/>
      <protection/>
    </xf>
    <xf numFmtId="49" fontId="9" fillId="0" borderId="9" xfId="18" applyNumberFormat="1" applyFont="1" applyFill="1" applyBorder="1" applyAlignment="1">
      <alignment horizontal="center"/>
      <protection/>
    </xf>
    <xf numFmtId="49" fontId="9" fillId="0" borderId="7" xfId="18" applyNumberFormat="1" applyFont="1" applyFill="1" applyBorder="1">
      <alignment/>
      <protection/>
    </xf>
    <xf numFmtId="49" fontId="9" fillId="0" borderId="12" xfId="18" applyNumberFormat="1" applyFont="1" applyFill="1" applyBorder="1" applyAlignment="1">
      <alignment horizontal="center"/>
      <protection/>
    </xf>
    <xf numFmtId="49" fontId="9" fillId="0" borderId="7" xfId="18" applyNumberFormat="1" applyFont="1" applyFill="1" applyBorder="1" applyAlignment="1">
      <alignment horizontal="center" vertical="center"/>
      <protection/>
    </xf>
    <xf numFmtId="49" fontId="9" fillId="0" borderId="6" xfId="18" applyNumberFormat="1" applyFont="1" applyFill="1" applyBorder="1" applyAlignment="1">
      <alignment horizontal="center" vertical="center"/>
      <protection/>
    </xf>
    <xf numFmtId="49" fontId="9" fillId="0" borderId="12" xfId="18" applyNumberFormat="1" applyFont="1" applyFill="1" applyBorder="1" applyAlignment="1">
      <alignment horizontal="center" vertical="center"/>
      <protection/>
    </xf>
    <xf numFmtId="0" fontId="9" fillId="0" borderId="6" xfId="18" applyFont="1" applyFill="1" applyBorder="1" applyAlignment="1">
      <alignment horizontal="center" vertical="top"/>
      <protection/>
    </xf>
    <xf numFmtId="0" fontId="10" fillId="0" borderId="5" xfId="18" applyFont="1" applyFill="1" applyBorder="1" applyAlignment="1">
      <alignment vertical="center" wrapText="1"/>
      <protection/>
    </xf>
    <xf numFmtId="49" fontId="3" fillId="0" borderId="0" xfId="22" applyNumberFormat="1" applyFont="1" applyFill="1">
      <alignment/>
      <protection/>
    </xf>
    <xf numFmtId="49" fontId="24" fillId="0" borderId="0" xfId="22" applyNumberFormat="1" applyFont="1" applyFill="1">
      <alignment/>
      <protection/>
    </xf>
    <xf numFmtId="49" fontId="7" fillId="0" borderId="0" xfId="22" applyNumberFormat="1" applyFont="1" applyFill="1" applyAlignment="1">
      <alignment horizontal="center"/>
      <protection/>
    </xf>
    <xf numFmtId="49" fontId="26" fillId="0" borderId="0" xfId="18" applyNumberFormat="1" applyFont="1" applyFill="1">
      <alignment/>
      <protection/>
    </xf>
    <xf numFmtId="49" fontId="7" fillId="0" borderId="0" xfId="22" applyNumberFormat="1" applyFont="1" applyFill="1">
      <alignment/>
      <protection/>
    </xf>
    <xf numFmtId="49" fontId="4" fillId="0" borderId="0" xfId="18" applyNumberFormat="1" applyFont="1" applyFill="1">
      <alignment/>
      <protection/>
    </xf>
    <xf numFmtId="49" fontId="13" fillId="0" borderId="0" xfId="22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22" applyNumberFormat="1" applyFont="1" applyFill="1" applyBorder="1" applyAlignment="1">
      <alignment horizontal="center"/>
      <protection/>
    </xf>
    <xf numFmtId="49" fontId="15" fillId="0" borderId="0" xfId="22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6" fillId="0" borderId="0" xfId="18" applyNumberFormat="1" applyFont="1" applyFill="1" applyBorder="1" applyAlignment="1">
      <alignment horizontal="center"/>
      <protection/>
    </xf>
    <xf numFmtId="4" fontId="6" fillId="0" borderId="0" xfId="18" applyNumberFormat="1" applyFont="1" applyFill="1" applyBorder="1" applyAlignment="1">
      <alignment horizontal="right"/>
      <protection/>
    </xf>
    <xf numFmtId="49" fontId="3" fillId="0" borderId="0" xfId="21" applyNumberFormat="1" applyFont="1" applyFill="1" applyAlignment="1">
      <alignment horizontal="center"/>
      <protection/>
    </xf>
    <xf numFmtId="0" fontId="3" fillId="0" borderId="0" xfId="21" applyFont="1" applyFill="1">
      <alignment/>
      <protection/>
    </xf>
    <xf numFmtId="4" fontId="3" fillId="0" borderId="0" xfId="21" applyNumberFormat="1" applyFont="1" applyFill="1">
      <alignment/>
      <protection/>
    </xf>
    <xf numFmtId="49" fontId="15" fillId="0" borderId="0" xfId="21" applyNumberFormat="1" applyFont="1" applyFill="1">
      <alignment/>
      <protection/>
    </xf>
    <xf numFmtId="49" fontId="15" fillId="0" borderId="0" xfId="21" applyNumberFormat="1" applyFont="1" applyFill="1" applyAlignment="1">
      <alignment horizontal="center"/>
      <protection/>
    </xf>
    <xf numFmtId="0" fontId="15" fillId="0" borderId="0" xfId="21" applyFont="1" applyFill="1">
      <alignment/>
      <protection/>
    </xf>
    <xf numFmtId="4" fontId="15" fillId="0" borderId="0" xfId="21" applyNumberFormat="1" applyFont="1" applyFill="1">
      <alignment/>
      <protection/>
    </xf>
    <xf numFmtId="0" fontId="9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16" fillId="0" borderId="0" xfId="0" applyFont="1" applyFill="1" applyAlignment="1">
      <alignment/>
    </xf>
    <xf numFmtId="0" fontId="16" fillId="0" borderId="0" xfId="19" applyFont="1" applyFill="1">
      <alignment/>
      <protection/>
    </xf>
    <xf numFmtId="0" fontId="13" fillId="0" borderId="0" xfId="19" applyFont="1" applyFill="1" applyAlignment="1">
      <alignment vertical="center"/>
      <protection/>
    </xf>
    <xf numFmtId="49" fontId="5" fillId="0" borderId="1" xfId="18" applyNumberFormat="1" applyFont="1" applyFill="1" applyBorder="1" applyAlignment="1">
      <alignment horizontal="left" vertical="center"/>
      <protection/>
    </xf>
    <xf numFmtId="49" fontId="5" fillId="0" borderId="10" xfId="18" applyNumberFormat="1" applyFont="1" applyFill="1" applyBorder="1" applyAlignment="1">
      <alignment horizontal="center" vertical="center"/>
      <protection/>
    </xf>
    <xf numFmtId="49" fontId="5" fillId="0" borderId="1" xfId="18" applyNumberFormat="1" applyFont="1" applyFill="1" applyBorder="1" applyAlignment="1">
      <alignment horizontal="center" vertical="center"/>
      <protection/>
    </xf>
    <xf numFmtId="49" fontId="3" fillId="0" borderId="4" xfId="18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1" fontId="32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4" fontId="34" fillId="0" borderId="0" xfId="0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" fontId="32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vertical="center"/>
    </xf>
    <xf numFmtId="4" fontId="12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2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36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 wrapText="1"/>
    </xf>
    <xf numFmtId="4" fontId="37" fillId="0" borderId="1" xfId="0" applyNumberFormat="1" applyFont="1" applyFill="1" applyBorder="1" applyAlignment="1">
      <alignment vertical="center" wrapText="1"/>
    </xf>
    <xf numFmtId="0" fontId="34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 wrapText="1"/>
    </xf>
    <xf numFmtId="4" fontId="25" fillId="0" borderId="4" xfId="0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25" fillId="0" borderId="5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 wrapText="1"/>
    </xf>
    <xf numFmtId="4" fontId="35" fillId="0" borderId="1" xfId="0" applyNumberFormat="1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top" wrapText="1"/>
    </xf>
    <xf numFmtId="0" fontId="35" fillId="0" borderId="14" xfId="0" applyFont="1" applyFill="1" applyBorder="1" applyAlignment="1">
      <alignment vertical="center" wrapText="1"/>
    </xf>
    <xf numFmtId="4" fontId="35" fillId="0" borderId="14" xfId="0" applyNumberFormat="1" applyFont="1" applyFill="1" applyBorder="1" applyAlignment="1">
      <alignment vertical="center" wrapText="1"/>
    </xf>
    <xf numFmtId="0" fontId="32" fillId="0" borderId="4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 wrapText="1"/>
    </xf>
    <xf numFmtId="4" fontId="37" fillId="0" borderId="14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25" fillId="0" borderId="2" xfId="18" applyFont="1" applyFill="1" applyBorder="1" applyAlignment="1">
      <alignment vertical="center" wrapText="1"/>
      <protection/>
    </xf>
    <xf numFmtId="4" fontId="25" fillId="0" borderId="2" xfId="0" applyNumberFormat="1" applyFont="1" applyFill="1" applyBorder="1" applyAlignment="1">
      <alignment vertical="center" wrapText="1"/>
    </xf>
    <xf numFmtId="0" fontId="32" fillId="0" borderId="2" xfId="18" applyFont="1" applyFill="1" applyBorder="1" applyAlignment="1">
      <alignment vertical="center" wrapText="1"/>
      <protection/>
    </xf>
    <xf numFmtId="4" fontId="9" fillId="0" borderId="2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vertical="center" wrapText="1"/>
    </xf>
    <xf numFmtId="4" fontId="35" fillId="0" borderId="4" xfId="0" applyNumberFormat="1" applyFont="1" applyFill="1" applyBorder="1" applyAlignment="1">
      <alignment vertical="center" wrapText="1"/>
    </xf>
    <xf numFmtId="0" fontId="40" fillId="0" borderId="6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vertical="center" wrapText="1"/>
    </xf>
    <xf numFmtId="4" fontId="37" fillId="0" borderId="4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0" fontId="40" fillId="0" borderId="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vertical="center" wrapText="1"/>
    </xf>
    <xf numFmtId="0" fontId="39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vertical="center" wrapText="1"/>
    </xf>
    <xf numFmtId="0" fontId="43" fillId="0" borderId="4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32" fillId="0" borderId="7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5" fillId="0" borderId="1" xfId="18" applyFont="1" applyFill="1" applyBorder="1" applyAlignment="1">
      <alignment vertical="center" wrapText="1"/>
      <protection/>
    </xf>
    <xf numFmtId="0" fontId="32" fillId="0" borderId="1" xfId="18" applyFont="1" applyFill="1" applyBorder="1" applyAlignment="1">
      <alignment vertical="center" wrapText="1"/>
      <protection/>
    </xf>
    <xf numFmtId="4" fontId="25" fillId="0" borderId="1" xfId="18" applyNumberFormat="1" applyFont="1" applyFill="1" applyBorder="1" applyAlignment="1">
      <alignment vertical="center"/>
      <protection/>
    </xf>
    <xf numFmtId="0" fontId="12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0" fontId="25" fillId="0" borderId="4" xfId="18" applyFont="1" applyFill="1" applyBorder="1" applyAlignment="1">
      <alignment vertical="center" wrapText="1"/>
      <protection/>
    </xf>
    <xf numFmtId="4" fontId="9" fillId="0" borderId="1" xfId="18" applyNumberFormat="1" applyFont="1" applyFill="1" applyBorder="1" applyAlignment="1">
      <alignment vertical="center"/>
      <protection/>
    </xf>
    <xf numFmtId="4" fontId="25" fillId="0" borderId="1" xfId="18" applyNumberFormat="1" applyFont="1" applyFill="1" applyBorder="1" applyAlignment="1">
      <alignment vertical="center" wrapText="1"/>
      <protection/>
    </xf>
    <xf numFmtId="0" fontId="32" fillId="0" borderId="1" xfId="18" applyFont="1" applyFill="1" applyBorder="1" applyAlignment="1">
      <alignment horizontal="left" vertical="center" wrapText="1"/>
      <protection/>
    </xf>
    <xf numFmtId="0" fontId="25" fillId="0" borderId="1" xfId="18" applyFont="1" applyFill="1" applyBorder="1" applyAlignment="1">
      <alignment vertical="center" wrapText="1"/>
      <protection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" fontId="25" fillId="0" borderId="4" xfId="18" applyNumberFormat="1" applyFont="1" applyFill="1" applyBorder="1" applyAlignment="1">
      <alignment vertical="center" wrapText="1"/>
      <protection/>
    </xf>
    <xf numFmtId="4" fontId="25" fillId="0" borderId="3" xfId="18" applyNumberFormat="1" applyFont="1" applyFill="1" applyBorder="1" applyAlignment="1">
      <alignment vertical="center" wrapText="1"/>
      <protection/>
    </xf>
    <xf numFmtId="0" fontId="32" fillId="0" borderId="4" xfId="22" applyFont="1" applyFill="1" applyBorder="1" applyAlignment="1">
      <alignment horizontal="left" vertical="center" wrapText="1"/>
      <protection/>
    </xf>
    <xf numFmtId="4" fontId="9" fillId="0" borderId="4" xfId="18" applyNumberFormat="1" applyFont="1" applyFill="1" applyBorder="1" applyAlignment="1">
      <alignment vertical="center"/>
      <protection/>
    </xf>
    <xf numFmtId="4" fontId="25" fillId="0" borderId="14" xfId="18" applyNumberFormat="1" applyFont="1" applyFill="1" applyBorder="1" applyAlignment="1">
      <alignment vertical="center" wrapText="1"/>
      <protection/>
    </xf>
    <xf numFmtId="0" fontId="32" fillId="0" borderId="1" xfId="22" applyFont="1" applyFill="1" applyBorder="1" applyAlignment="1">
      <alignment horizontal="left" vertical="center" wrapText="1"/>
      <protection/>
    </xf>
    <xf numFmtId="0" fontId="25" fillId="0" borderId="1" xfId="18" applyFont="1" applyFill="1" applyBorder="1" applyAlignment="1">
      <alignment wrapText="1"/>
      <protection/>
    </xf>
    <xf numFmtId="0" fontId="22" fillId="0" borderId="0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32" fillId="0" borderId="5" xfId="18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vertical="center"/>
    </xf>
    <xf numFmtId="0" fontId="31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4" fontId="39" fillId="0" borderId="1" xfId="0" applyNumberFormat="1" applyFont="1" applyFill="1" applyBorder="1" applyAlignment="1">
      <alignment vertical="center" wrapText="1"/>
    </xf>
    <xf numFmtId="0" fontId="32" fillId="0" borderId="4" xfId="18" applyFont="1" applyFill="1" applyBorder="1" applyAlignment="1">
      <alignment vertical="center" wrapText="1"/>
      <protection/>
    </xf>
    <xf numFmtId="4" fontId="45" fillId="0" borderId="0" xfId="0" applyNumberFormat="1" applyFont="1" applyFill="1" applyAlignment="1">
      <alignment vertical="center"/>
    </xf>
    <xf numFmtId="0" fontId="34" fillId="0" borderId="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4" fontId="25" fillId="0" borderId="11" xfId="0" applyNumberFormat="1" applyFont="1" applyFill="1" applyBorder="1" applyAlignment="1">
      <alignment vertical="center" wrapText="1"/>
    </xf>
    <xf numFmtId="4" fontId="25" fillId="0" borderId="4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7" fillId="0" borderId="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vertical="center"/>
    </xf>
    <xf numFmtId="4" fontId="38" fillId="0" borderId="0" xfId="0" applyNumberFormat="1" applyFont="1" applyFill="1" applyAlignment="1">
      <alignment horizontal="right"/>
    </xf>
    <xf numFmtId="4" fontId="48" fillId="0" borderId="0" xfId="0" applyNumberFormat="1" applyFont="1" applyFill="1" applyAlignment="1">
      <alignment/>
    </xf>
    <xf numFmtId="49" fontId="3" fillId="0" borderId="5" xfId="18" applyNumberFormat="1" applyFont="1" applyFill="1" applyBorder="1" applyAlignment="1">
      <alignment horizontal="center" vertical="center"/>
      <protection/>
    </xf>
    <xf numFmtId="49" fontId="3" fillId="0" borderId="12" xfId="18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49" fillId="0" borderId="0" xfId="18" applyFont="1" applyFill="1" applyAlignment="1">
      <alignment horizontal="left"/>
      <protection/>
    </xf>
    <xf numFmtId="0" fontId="49" fillId="0" borderId="0" xfId="24" applyFont="1" applyFill="1" applyAlignment="1">
      <alignment horizontal="left"/>
      <protection/>
    </xf>
    <xf numFmtId="0" fontId="50" fillId="0" borderId="0" xfId="0" applyFont="1" applyFill="1" applyAlignment="1">
      <alignment horizontal="left"/>
    </xf>
    <xf numFmtId="4" fontId="3" fillId="0" borderId="2" xfId="18" applyNumberFormat="1" applyFont="1" applyFill="1" applyBorder="1" applyAlignment="1">
      <alignment horizontal="right" vertical="center"/>
      <protection/>
    </xf>
    <xf numFmtId="49" fontId="25" fillId="0" borderId="0" xfId="18" applyNumberFormat="1" applyFont="1" applyFill="1" applyBorder="1" applyAlignment="1">
      <alignment horizontal="left" vertical="center" wrapText="1"/>
      <protection/>
    </xf>
    <xf numFmtId="0" fontId="5" fillId="0" borderId="0" xfId="18" applyFont="1" applyFill="1" applyBorder="1" applyAlignment="1">
      <alignment horizontal="center"/>
      <protection/>
    </xf>
    <xf numFmtId="49" fontId="24" fillId="0" borderId="0" xfId="19" applyNumberFormat="1" applyFont="1" applyFill="1">
      <alignment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37" fillId="0" borderId="9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37" fillId="0" borderId="2" xfId="0" applyFont="1" applyFill="1" applyBorder="1" applyAlignment="1">
      <alignment vertical="center"/>
    </xf>
    <xf numFmtId="4" fontId="30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horizontal="right" vertical="center"/>
    </xf>
    <xf numFmtId="0" fontId="35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/>
    </xf>
    <xf numFmtId="0" fontId="35" fillId="0" borderId="5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 wrapText="1"/>
    </xf>
    <xf numFmtId="0" fontId="35" fillId="0" borderId="6" xfId="0" applyFont="1" applyFill="1" applyBorder="1" applyAlignment="1">
      <alignment horizontal="left" vertical="center"/>
    </xf>
    <xf numFmtId="0" fontId="25" fillId="0" borderId="9" xfId="20" applyFont="1" applyFill="1" applyBorder="1" applyAlignment="1">
      <alignment horizontal="left" vertical="center" wrapText="1"/>
      <protection/>
    </xf>
    <xf numFmtId="0" fontId="35" fillId="0" borderId="4" xfId="0" applyFont="1" applyFill="1" applyBorder="1" applyAlignment="1">
      <alignment horizontal="left" vertical="center" wrapText="1"/>
    </xf>
    <xf numFmtId="0" fontId="25" fillId="0" borderId="4" xfId="20" applyFont="1" applyFill="1" applyBorder="1" applyAlignment="1">
      <alignment horizontal="left" vertical="center" wrapText="1"/>
      <protection/>
    </xf>
    <xf numFmtId="0" fontId="35" fillId="0" borderId="5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49" fontId="25" fillId="0" borderId="4" xfId="18" applyNumberFormat="1" applyFont="1" applyFill="1" applyBorder="1" applyAlignment="1">
      <alignment horizontal="left" vertical="center" wrapText="1"/>
      <protection/>
    </xf>
    <xf numFmtId="4" fontId="3" fillId="0" borderId="4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4" fontId="53" fillId="0" borderId="0" xfId="0" applyNumberFormat="1" applyFont="1" applyFill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vertical="center"/>
    </xf>
    <xf numFmtId="0" fontId="40" fillId="0" borderId="7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/>
    </xf>
    <xf numFmtId="0" fontId="25" fillId="0" borderId="0" xfId="0" applyFont="1" applyFill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/>
    </xf>
    <xf numFmtId="0" fontId="40" fillId="0" borderId="3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center"/>
    </xf>
    <xf numFmtId="0" fontId="25" fillId="0" borderId="9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4" fontId="13" fillId="0" borderId="4" xfId="0" applyNumberFormat="1" applyFont="1" applyFill="1" applyBorder="1" applyAlignment="1">
      <alignment horizontal="right" vertical="center"/>
    </xf>
    <xf numFmtId="0" fontId="35" fillId="0" borderId="6" xfId="0" applyFont="1" applyFill="1" applyBorder="1" applyAlignment="1">
      <alignment vertical="center"/>
    </xf>
    <xf numFmtId="0" fontId="35" fillId="0" borderId="5" xfId="0" applyFont="1" applyFill="1" applyBorder="1" applyAlignment="1">
      <alignment vertical="center"/>
    </xf>
    <xf numFmtId="0" fontId="25" fillId="0" borderId="8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horizontal="right" vertical="center"/>
    </xf>
    <xf numFmtId="0" fontId="9" fillId="0" borderId="0" xfId="23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23" applyFont="1" applyFill="1" applyBorder="1">
      <alignment/>
      <protection/>
    </xf>
    <xf numFmtId="0" fontId="25" fillId="0" borderId="0" xfId="23" applyFont="1" applyFill="1">
      <alignment/>
      <protection/>
    </xf>
    <xf numFmtId="4" fontId="2" fillId="0" borderId="0" xfId="23" applyNumberFormat="1" applyFont="1" applyFill="1">
      <alignment/>
      <protection/>
    </xf>
    <xf numFmtId="0" fontId="45" fillId="0" borderId="0" xfId="19" applyFont="1" applyFill="1">
      <alignment/>
      <protection/>
    </xf>
    <xf numFmtId="0" fontId="9" fillId="0" borderId="0" xfId="23" applyFont="1" applyFill="1" applyAlignment="1">
      <alignment horizontal="center"/>
      <protection/>
    </xf>
    <xf numFmtId="0" fontId="9" fillId="0" borderId="0" xfId="19" applyFont="1" applyFill="1" applyBorder="1">
      <alignment/>
      <protection/>
    </xf>
    <xf numFmtId="0" fontId="25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2" fillId="0" borderId="0" xfId="19" applyFont="1" applyFill="1" applyAlignment="1">
      <alignment horizontal="center"/>
      <protection/>
    </xf>
    <xf numFmtId="0" fontId="9" fillId="0" borderId="5" xfId="23" applyFont="1" applyFill="1" applyBorder="1" applyAlignment="1">
      <alignment horizontal="center"/>
      <protection/>
    </xf>
    <xf numFmtId="0" fontId="9" fillId="0" borderId="5" xfId="19" applyFont="1" applyFill="1" applyBorder="1">
      <alignment/>
      <protection/>
    </xf>
    <xf numFmtId="0" fontId="9" fillId="0" borderId="5" xfId="19" applyFont="1" applyFill="1" applyBorder="1" applyAlignment="1">
      <alignment horizontal="center"/>
      <protection/>
    </xf>
    <xf numFmtId="0" fontId="3" fillId="0" borderId="1" xfId="19" applyFont="1" applyFill="1" applyBorder="1" applyAlignment="1">
      <alignment vertical="center"/>
      <protection/>
    </xf>
    <xf numFmtId="0" fontId="3" fillId="0" borderId="2" xfId="19" applyFont="1" applyFill="1" applyBorder="1" applyAlignment="1">
      <alignment vertical="center"/>
      <protection/>
    </xf>
    <xf numFmtId="0" fontId="9" fillId="0" borderId="3" xfId="23" applyFont="1" applyFill="1" applyBorder="1" applyAlignment="1">
      <alignment horizontal="center" vertical="top"/>
      <protection/>
    </xf>
    <xf numFmtId="0" fontId="3" fillId="0" borderId="3" xfId="19" applyFont="1" applyFill="1" applyBorder="1" applyAlignment="1">
      <alignment horizontal="center" vertical="top" wrapText="1"/>
      <protection/>
    </xf>
    <xf numFmtId="0" fontId="32" fillId="0" borderId="3" xfId="19" applyFont="1" applyFill="1" applyBorder="1" applyAlignment="1">
      <alignment horizontal="center" vertical="top" wrapText="1"/>
      <protection/>
    </xf>
    <xf numFmtId="0" fontId="32" fillId="0" borderId="4" xfId="19" applyFont="1" applyFill="1" applyBorder="1" applyAlignment="1">
      <alignment horizontal="center" vertical="top" wrapText="1"/>
      <protection/>
    </xf>
    <xf numFmtId="0" fontId="32" fillId="0" borderId="4" xfId="19" applyFont="1" applyFill="1" applyBorder="1" applyAlignment="1">
      <alignment horizontal="center" vertical="center" wrapText="1"/>
      <protection/>
    </xf>
    <xf numFmtId="0" fontId="9" fillId="0" borderId="0" xfId="19" applyFont="1" applyFill="1" applyBorder="1" applyAlignment="1">
      <alignment horizontal="center" vertical="top" wrapText="1"/>
      <protection/>
    </xf>
    <xf numFmtId="4" fontId="21" fillId="0" borderId="0" xfId="19" applyNumberFormat="1" applyFont="1" applyFill="1" applyBorder="1" applyAlignment="1">
      <alignment horizontal="right" vertical="center" wrapText="1"/>
      <protection/>
    </xf>
    <xf numFmtId="0" fontId="9" fillId="0" borderId="0" xfId="19" applyFont="1" applyFill="1" applyBorder="1" applyAlignment="1">
      <alignment horizontal="center" vertical="center" wrapText="1"/>
      <protection/>
    </xf>
    <xf numFmtId="0" fontId="25" fillId="0" borderId="0" xfId="19" applyFont="1" applyFill="1" applyAlignment="1">
      <alignment horizontal="center" vertical="center" wrapText="1"/>
      <protection/>
    </xf>
    <xf numFmtId="4" fontId="2" fillId="0" borderId="0" xfId="23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5" fillId="0" borderId="1" xfId="23" applyFont="1" applyFill="1" applyBorder="1" applyAlignment="1">
      <alignment horizontal="left" vertical="top"/>
      <protection/>
    </xf>
    <xf numFmtId="0" fontId="9" fillId="0" borderId="10" xfId="19" applyFont="1" applyFill="1" applyBorder="1" applyAlignment="1">
      <alignment horizontal="center" vertical="top" wrapText="1"/>
      <protection/>
    </xf>
    <xf numFmtId="0" fontId="32" fillId="0" borderId="10" xfId="19" applyFont="1" applyFill="1" applyBorder="1" applyAlignment="1">
      <alignment horizontal="center" vertical="top" wrapText="1"/>
      <protection/>
    </xf>
    <xf numFmtId="4" fontId="5" fillId="0" borderId="4" xfId="19" applyNumberFormat="1" applyFont="1" applyFill="1" applyBorder="1" applyAlignment="1">
      <alignment horizontal="right" vertical="center" wrapText="1"/>
      <protection/>
    </xf>
    <xf numFmtId="0" fontId="12" fillId="0" borderId="6" xfId="23" applyFont="1" applyFill="1" applyBorder="1" applyAlignment="1">
      <alignment horizontal="center" vertical="center"/>
      <protection/>
    </xf>
    <xf numFmtId="0" fontId="12" fillId="0" borderId="2" xfId="19" applyFont="1" applyFill="1" applyBorder="1" applyAlignment="1">
      <alignment vertical="center" wrapText="1"/>
      <protection/>
    </xf>
    <xf numFmtId="0" fontId="9" fillId="0" borderId="1" xfId="19" applyFont="1" applyFill="1" applyBorder="1" applyAlignment="1">
      <alignment vertical="center" wrapText="1"/>
      <protection/>
    </xf>
    <xf numFmtId="0" fontId="32" fillId="0" borderId="5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4" fontId="2" fillId="0" borderId="0" xfId="0" applyNumberFormat="1" applyFont="1" applyFill="1" applyAlignment="1">
      <alignment vertical="center"/>
    </xf>
    <xf numFmtId="0" fontId="9" fillId="0" borderId="6" xfId="23" applyFont="1" applyFill="1" applyBorder="1" applyAlignment="1">
      <alignment horizontal="center" vertical="center"/>
      <protection/>
    </xf>
    <xf numFmtId="0" fontId="35" fillId="0" borderId="2" xfId="0" applyFont="1" applyFill="1" applyBorder="1" applyAlignment="1">
      <alignment vertical="center" wrapText="1"/>
    </xf>
    <xf numFmtId="4" fontId="9" fillId="0" borderId="11" xfId="23" applyNumberFormat="1" applyFont="1" applyFill="1" applyBorder="1" applyAlignment="1">
      <alignment vertical="center"/>
      <protection/>
    </xf>
    <xf numFmtId="0" fontId="32" fillId="0" borderId="6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57" fillId="0" borderId="0" xfId="0" applyNumberFormat="1" applyFont="1" applyFill="1" applyBorder="1" applyAlignment="1">
      <alignment vertical="center"/>
    </xf>
    <xf numFmtId="4" fontId="9" fillId="0" borderId="7" xfId="23" applyNumberFormat="1" applyFont="1" applyFill="1" applyBorder="1" applyAlignment="1">
      <alignment vertical="center"/>
      <protection/>
    </xf>
    <xf numFmtId="0" fontId="32" fillId="0" borderId="3" xfId="0" applyFont="1" applyFill="1" applyBorder="1" applyAlignment="1">
      <alignment vertical="center"/>
    </xf>
    <xf numFmtId="0" fontId="12" fillId="0" borderId="5" xfId="23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0" fontId="32" fillId="0" borderId="7" xfId="0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0" fontId="9" fillId="0" borderId="15" xfId="23" applyFont="1" applyFill="1" applyBorder="1" applyAlignment="1">
      <alignment vertical="center" wrapText="1"/>
      <protection/>
    </xf>
    <xf numFmtId="4" fontId="9" fillId="0" borderId="5" xfId="23" applyNumberFormat="1" applyFont="1" applyFill="1" applyBorder="1" applyAlignment="1">
      <alignment vertical="center"/>
      <protection/>
    </xf>
    <xf numFmtId="0" fontId="9" fillId="0" borderId="3" xfId="23" applyFont="1" applyFill="1" applyBorder="1" applyAlignment="1">
      <alignment horizontal="center" vertical="center"/>
      <protection/>
    </xf>
    <xf numFmtId="0" fontId="9" fillId="0" borderId="10" xfId="23" applyFont="1" applyFill="1" applyBorder="1" applyAlignment="1">
      <alignment vertical="center" wrapText="1"/>
      <protection/>
    </xf>
    <xf numFmtId="4" fontId="9" fillId="0" borderId="3" xfId="23" applyNumberFormat="1" applyFont="1" applyFill="1" applyBorder="1" applyAlignment="1">
      <alignment vertical="center"/>
      <protection/>
    </xf>
    <xf numFmtId="0" fontId="32" fillId="0" borderId="14" xfId="0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0" fontId="9" fillId="0" borderId="4" xfId="19" applyFont="1" applyFill="1" applyBorder="1" applyAlignment="1">
      <alignment vertical="center" wrapText="1"/>
      <protection/>
    </xf>
    <xf numFmtId="0" fontId="32" fillId="0" borderId="11" xfId="0" applyFont="1" applyFill="1" applyBorder="1" applyAlignment="1">
      <alignment vertical="center"/>
    </xf>
    <xf numFmtId="4" fontId="3" fillId="0" borderId="5" xfId="19" applyNumberFormat="1" applyFont="1" applyFill="1" applyBorder="1" applyAlignment="1">
      <alignment horizontal="center" vertical="center" wrapText="1"/>
      <protection/>
    </xf>
    <xf numFmtId="4" fontId="3" fillId="0" borderId="9" xfId="19" applyNumberFormat="1" applyFont="1" applyFill="1" applyBorder="1" applyAlignment="1">
      <alignment horizontal="right" vertical="center" wrapText="1"/>
      <protection/>
    </xf>
    <xf numFmtId="4" fontId="3" fillId="0" borderId="0" xfId="19" applyNumberFormat="1" applyFont="1" applyFill="1" applyBorder="1" applyAlignment="1">
      <alignment horizontal="center" vertical="center" wrapText="1"/>
      <protection/>
    </xf>
    <xf numFmtId="4" fontId="25" fillId="0" borderId="0" xfId="19" applyNumberFormat="1" applyFont="1" applyFill="1" applyAlignment="1">
      <alignment horizontal="center" vertical="center" wrapText="1"/>
      <protection/>
    </xf>
    <xf numFmtId="4" fontId="9" fillId="0" borderId="0" xfId="19" applyNumberFormat="1" applyFont="1" applyFill="1" applyAlignment="1">
      <alignment horizontal="center" vertical="center" wrapText="1"/>
      <protection/>
    </xf>
    <xf numFmtId="0" fontId="9" fillId="0" borderId="0" xfId="23" applyFont="1" applyFill="1" applyAlignment="1">
      <alignment vertical="center"/>
      <protection/>
    </xf>
    <xf numFmtId="4" fontId="3" fillId="0" borderId="6" xfId="19" applyNumberFormat="1" applyFont="1" applyFill="1" applyBorder="1" applyAlignment="1">
      <alignment horizontal="center" vertical="center" wrapText="1"/>
      <protection/>
    </xf>
    <xf numFmtId="4" fontId="3" fillId="0" borderId="12" xfId="19" applyNumberFormat="1" applyFont="1" applyFill="1" applyBorder="1" applyAlignment="1">
      <alignment horizontal="right" vertical="center" wrapText="1"/>
      <protection/>
    </xf>
    <xf numFmtId="4" fontId="3" fillId="0" borderId="3" xfId="19" applyNumberFormat="1" applyFont="1" applyFill="1" applyBorder="1" applyAlignment="1">
      <alignment horizontal="center" vertical="center" wrapText="1"/>
      <protection/>
    </xf>
    <xf numFmtId="4" fontId="3" fillId="0" borderId="8" xfId="19" applyNumberFormat="1" applyFont="1" applyFill="1" applyBorder="1" applyAlignment="1">
      <alignment horizontal="right" vertical="center" wrapText="1"/>
      <protection/>
    </xf>
    <xf numFmtId="4" fontId="9" fillId="0" borderId="4" xfId="23" applyNumberFormat="1" applyFont="1" applyFill="1" applyBorder="1" applyAlignment="1">
      <alignment vertical="center" wrapText="1"/>
      <protection/>
    </xf>
    <xf numFmtId="4" fontId="3" fillId="0" borderId="11" xfId="19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4" fontId="3" fillId="0" borderId="7" xfId="19" applyNumberFormat="1" applyFont="1" applyFill="1" applyBorder="1" applyAlignment="1">
      <alignment horizontal="center" vertical="center" wrapText="1"/>
      <protection/>
    </xf>
    <xf numFmtId="4" fontId="9" fillId="0" borderId="14" xfId="23" applyNumberFormat="1" applyFont="1" applyFill="1" applyBorder="1" applyAlignment="1">
      <alignment vertical="center"/>
      <protection/>
    </xf>
    <xf numFmtId="4" fontId="9" fillId="0" borderId="0" xfId="23" applyNumberFormat="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7" xfId="19" applyFont="1" applyFill="1" applyBorder="1" applyAlignment="1">
      <alignment vertical="center" wrapText="1"/>
      <protection/>
    </xf>
    <xf numFmtId="0" fontId="32" fillId="0" borderId="5" xfId="19" applyFont="1" applyFill="1" applyBorder="1" applyAlignment="1">
      <alignment horizontal="center" vertical="center"/>
      <protection/>
    </xf>
    <xf numFmtId="0" fontId="32" fillId="0" borderId="6" xfId="19" applyFont="1" applyFill="1" applyBorder="1" applyAlignment="1">
      <alignment horizontal="center" vertical="center"/>
      <protection/>
    </xf>
    <xf numFmtId="4" fontId="3" fillId="0" borderId="6" xfId="19" applyNumberFormat="1" applyFont="1" applyFill="1" applyBorder="1" applyAlignment="1">
      <alignment horizontal="right" vertical="center" wrapText="1"/>
      <protection/>
    </xf>
    <xf numFmtId="0" fontId="9" fillId="0" borderId="13" xfId="0" applyFont="1" applyFill="1" applyBorder="1" applyAlignment="1">
      <alignment vertical="center" wrapText="1"/>
    </xf>
    <xf numFmtId="4" fontId="9" fillId="0" borderId="11" xfId="23" applyNumberFormat="1" applyFont="1" applyFill="1" applyBorder="1" applyAlignment="1">
      <alignment vertical="center" wrapText="1"/>
      <protection/>
    </xf>
    <xf numFmtId="4" fontId="3" fillId="0" borderId="9" xfId="19" applyNumberFormat="1" applyFont="1" applyFill="1" applyBorder="1" applyAlignment="1">
      <alignment horizontal="center" vertical="center" wrapText="1"/>
      <protection/>
    </xf>
    <xf numFmtId="4" fontId="3" fillId="0" borderId="12" xfId="19" applyNumberFormat="1" applyFont="1" applyFill="1" applyBorder="1" applyAlignment="1">
      <alignment horizontal="center" vertical="center" wrapText="1"/>
      <protection/>
    </xf>
    <xf numFmtId="4" fontId="3" fillId="0" borderId="8" xfId="19" applyNumberFormat="1" applyFont="1" applyFill="1" applyBorder="1" applyAlignment="1">
      <alignment horizontal="center" vertical="center" wrapText="1"/>
      <protection/>
    </xf>
    <xf numFmtId="0" fontId="9" fillId="0" borderId="3" xfId="19" applyFont="1" applyFill="1" applyBorder="1" applyAlignment="1">
      <alignment vertical="center" wrapText="1"/>
      <protection/>
    </xf>
    <xf numFmtId="0" fontId="9" fillId="0" borderId="1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9" fillId="0" borderId="11" xfId="19" applyFont="1" applyFill="1" applyBorder="1" applyAlignment="1">
      <alignment vertical="center" wrapText="1"/>
      <protection/>
    </xf>
    <xf numFmtId="0" fontId="4" fillId="0" borderId="1" xfId="23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/>
    </xf>
    <xf numFmtId="4" fontId="58" fillId="0" borderId="0" xfId="0" applyNumberFormat="1" applyFont="1" applyFill="1" applyAlignment="1">
      <alignment/>
    </xf>
    <xf numFmtId="4" fontId="32" fillId="0" borderId="5" xfId="19" applyNumberFormat="1" applyFont="1" applyFill="1" applyBorder="1" applyAlignment="1">
      <alignment horizontal="center" vertical="center"/>
      <protection/>
    </xf>
    <xf numFmtId="4" fontId="3" fillId="0" borderId="5" xfId="19" applyNumberFormat="1" applyFont="1" applyFill="1" applyBorder="1" applyAlignment="1">
      <alignment vertical="center"/>
      <protection/>
    </xf>
    <xf numFmtId="4" fontId="27" fillId="0" borderId="0" xfId="19" applyNumberFormat="1" applyFont="1" applyFill="1" applyBorder="1" applyAlignment="1">
      <alignment horizontal="right" vertical="center" wrapText="1"/>
      <protection/>
    </xf>
    <xf numFmtId="0" fontId="9" fillId="0" borderId="2" xfId="23" applyFont="1" applyFill="1" applyBorder="1" applyAlignment="1">
      <alignment vertical="center" wrapText="1"/>
      <protection/>
    </xf>
    <xf numFmtId="0" fontId="9" fillId="0" borderId="5" xfId="0" applyFont="1" applyFill="1" applyBorder="1" applyAlignment="1">
      <alignment/>
    </xf>
    <xf numFmtId="4" fontId="32" fillId="0" borderId="12" xfId="23" applyNumberFormat="1" applyFont="1" applyFill="1" applyBorder="1" applyAlignment="1">
      <alignment horizontal="center" vertical="center"/>
      <protection/>
    </xf>
    <xf numFmtId="0" fontId="3" fillId="0" borderId="6" xfId="23" applyFont="1" applyFill="1" applyBorder="1" applyAlignment="1">
      <alignment vertical="center"/>
      <protection/>
    </xf>
    <xf numFmtId="4" fontId="3" fillId="0" borderId="6" xfId="23" applyNumberFormat="1" applyFont="1" applyFill="1" applyBorder="1" applyAlignment="1">
      <alignment vertical="center"/>
      <protection/>
    </xf>
    <xf numFmtId="0" fontId="25" fillId="0" borderId="8" xfId="23" applyFont="1" applyFill="1" applyBorder="1" applyAlignment="1">
      <alignment vertical="center" wrapText="1"/>
      <protection/>
    </xf>
    <xf numFmtId="0" fontId="9" fillId="0" borderId="3" xfId="0" applyFont="1" applyFill="1" applyBorder="1" applyAlignment="1">
      <alignment/>
    </xf>
    <xf numFmtId="0" fontId="32" fillId="0" borderId="8" xfId="19" applyFont="1" applyFill="1" applyBorder="1" applyAlignment="1">
      <alignment horizontal="center" vertical="center"/>
      <protection/>
    </xf>
    <xf numFmtId="4" fontId="3" fillId="0" borderId="3" xfId="23" applyNumberFormat="1" applyFont="1" applyFill="1" applyBorder="1" applyAlignment="1">
      <alignment vertical="center" wrapText="1"/>
      <protection/>
    </xf>
    <xf numFmtId="4" fontId="3" fillId="0" borderId="3" xfId="23" applyNumberFormat="1" applyFont="1" applyFill="1" applyBorder="1" applyAlignment="1">
      <alignment vertical="center"/>
      <protection/>
    </xf>
    <xf numFmtId="2" fontId="9" fillId="0" borderId="4" xfId="0" applyNumberFormat="1" applyFont="1" applyFill="1" applyBorder="1" applyAlignment="1">
      <alignment vertical="center" wrapText="1"/>
    </xf>
    <xf numFmtId="0" fontId="32" fillId="0" borderId="5" xfId="0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30" fillId="0" borderId="6" xfId="0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/>
    </xf>
    <xf numFmtId="4" fontId="20" fillId="0" borderId="6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9" fillId="0" borderId="4" xfId="23" applyFont="1" applyFill="1" applyBorder="1" applyAlignment="1">
      <alignment vertical="center" wrapText="1"/>
      <protection/>
    </xf>
    <xf numFmtId="0" fontId="9" fillId="0" borderId="3" xfId="0" applyFont="1" applyFill="1" applyBorder="1" applyAlignment="1">
      <alignment vertical="center"/>
    </xf>
    <xf numFmtId="0" fontId="30" fillId="0" borderId="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/>
    </xf>
    <xf numFmtId="0" fontId="9" fillId="0" borderId="5" xfId="19" applyFont="1" applyFill="1" applyBorder="1" applyAlignment="1">
      <alignment vertical="center" wrapText="1"/>
      <protection/>
    </xf>
    <xf numFmtId="4" fontId="3" fillId="0" borderId="6" xfId="23" applyNumberFormat="1" applyFont="1" applyFill="1" applyBorder="1" applyAlignment="1">
      <alignment vertical="center" wrapText="1"/>
      <protection/>
    </xf>
    <xf numFmtId="4" fontId="25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9" fillId="0" borderId="6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27" fillId="0" borderId="0" xfId="0" applyNumberFormat="1" applyFont="1" applyFill="1" applyAlignment="1">
      <alignment/>
    </xf>
    <xf numFmtId="0" fontId="30" fillId="0" borderId="0" xfId="0" applyFont="1" applyFill="1" applyAlignment="1">
      <alignment wrapText="1"/>
    </xf>
    <xf numFmtId="4" fontId="59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9" fillId="0" borderId="15" xfId="23" applyNumberFormat="1" applyFont="1" applyFill="1" applyBorder="1" applyAlignment="1">
      <alignment vertical="center"/>
      <protection/>
    </xf>
    <xf numFmtId="0" fontId="32" fillId="0" borderId="15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55" fillId="0" borderId="1" xfId="23" applyFont="1" applyFill="1" applyBorder="1" applyAlignment="1">
      <alignment horizontal="left" vertical="center"/>
      <protection/>
    </xf>
    <xf numFmtId="0" fontId="9" fillId="0" borderId="10" xfId="19" applyFont="1" applyFill="1" applyBorder="1" applyAlignment="1">
      <alignment horizontal="center" vertical="center" wrapText="1"/>
      <protection/>
    </xf>
    <xf numFmtId="0" fontId="9" fillId="0" borderId="4" xfId="23" applyFont="1" applyFill="1" applyBorder="1" applyAlignment="1">
      <alignment vertical="center" wrapText="1"/>
      <protection/>
    </xf>
    <xf numFmtId="49" fontId="16" fillId="0" borderId="0" xfId="19" applyNumberFormat="1" applyFont="1" applyFill="1">
      <alignment/>
      <protection/>
    </xf>
    <xf numFmtId="49" fontId="61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vertical="center"/>
    </xf>
    <xf numFmtId="49" fontId="5" fillId="0" borderId="11" xfId="18" applyNumberFormat="1" applyFont="1" applyFill="1" applyBorder="1" applyAlignment="1">
      <alignment horizontal="center" vertical="center"/>
      <protection/>
    </xf>
    <xf numFmtId="49" fontId="3" fillId="0" borderId="9" xfId="18" applyNumberFormat="1" applyFont="1" applyFill="1" applyBorder="1" applyAlignment="1">
      <alignment horizontal="center" vertical="center"/>
      <protection/>
    </xf>
    <xf numFmtId="49" fontId="5" fillId="0" borderId="14" xfId="18" applyNumberFormat="1" applyFont="1" applyFill="1" applyBorder="1" applyAlignment="1">
      <alignment vertical="center"/>
      <protection/>
    </xf>
    <xf numFmtId="49" fontId="3" fillId="0" borderId="15" xfId="18" applyNumberFormat="1" applyFont="1" applyFill="1" applyBorder="1" applyAlignment="1">
      <alignment horizontal="center" vertical="center"/>
      <protection/>
    </xf>
    <xf numFmtId="4" fontId="9" fillId="0" borderId="2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22" fillId="0" borderId="0" xfId="18" applyFont="1" applyFill="1">
      <alignment/>
      <protection/>
    </xf>
    <xf numFmtId="4" fontId="14" fillId="0" borderId="0" xfId="18" applyNumberFormat="1" applyFont="1" applyFill="1">
      <alignment/>
      <protection/>
    </xf>
    <xf numFmtId="49" fontId="15" fillId="0" borderId="0" xfId="0" applyNumberFormat="1" applyFont="1" applyFill="1" applyAlignment="1">
      <alignment/>
    </xf>
    <xf numFmtId="4" fontId="5" fillId="0" borderId="4" xfId="19" applyNumberFormat="1" applyFont="1" applyFill="1" applyBorder="1" applyAlignment="1">
      <alignment horizontal="center" vertical="center" wrapText="1"/>
      <protection/>
    </xf>
    <xf numFmtId="4" fontId="3" fillId="0" borderId="3" xfId="19" applyNumberFormat="1" applyFont="1" applyFill="1" applyBorder="1" applyAlignment="1">
      <alignment horizontal="right" vertical="center" wrapText="1"/>
      <protection/>
    </xf>
    <xf numFmtId="0" fontId="12" fillId="0" borderId="4" xfId="19" applyFont="1" applyFill="1" applyBorder="1" applyAlignment="1">
      <alignment vertical="center" wrapText="1"/>
      <protection/>
    </xf>
    <xf numFmtId="0" fontId="35" fillId="0" borderId="14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" xfId="23" applyFont="1" applyFill="1" applyBorder="1" applyAlignment="1">
      <alignment vertical="center" wrapText="1"/>
      <protection/>
    </xf>
    <xf numFmtId="4" fontId="4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" fillId="0" borderId="13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/>
    </xf>
    <xf numFmtId="0" fontId="13" fillId="0" borderId="2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right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/>
    </xf>
    <xf numFmtId="0" fontId="35" fillId="0" borderId="11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/>
    </xf>
    <xf numFmtId="0" fontId="25" fillId="0" borderId="2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left" vertical="center" wrapText="1"/>
    </xf>
    <xf numFmtId="4" fontId="13" fillId="0" borderId="8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0" fontId="35" fillId="0" borderId="7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vertical="center" wrapText="1"/>
    </xf>
    <xf numFmtId="0" fontId="3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0" fontId="35" fillId="0" borderId="4" xfId="0" applyFont="1" applyFill="1" applyBorder="1" applyAlignment="1">
      <alignment horizontal="left" vertical="center"/>
    </xf>
    <xf numFmtId="4" fontId="63" fillId="0" borderId="0" xfId="19" applyNumberFormat="1" applyFont="1" applyFill="1" applyBorder="1" applyAlignment="1">
      <alignment horizontal="right" vertical="center" wrapText="1"/>
      <protection/>
    </xf>
    <xf numFmtId="4" fontId="56" fillId="0" borderId="0" xfId="0" applyNumberFormat="1" applyFont="1" applyFill="1" applyAlignment="1">
      <alignment vertical="center"/>
    </xf>
    <xf numFmtId="4" fontId="24" fillId="0" borderId="0" xfId="18" applyNumberFormat="1" applyFont="1" applyFill="1" applyBorder="1" applyAlignment="1">
      <alignment vertical="center"/>
      <protection/>
    </xf>
    <xf numFmtId="4" fontId="22" fillId="0" borderId="0" xfId="0" applyNumberFormat="1" applyFont="1" applyFill="1" applyAlignment="1">
      <alignment vertical="center"/>
    </xf>
    <xf numFmtId="4" fontId="24" fillId="0" borderId="0" xfId="18" applyNumberFormat="1" applyFont="1" applyFill="1" applyAlignment="1">
      <alignment vertical="center"/>
      <protection/>
    </xf>
    <xf numFmtId="4" fontId="25" fillId="2" borderId="1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39" fillId="0" borderId="5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35" fillId="0" borderId="1" xfId="18" applyFont="1" applyFill="1" applyBorder="1" applyAlignment="1">
      <alignment vertical="center" wrapText="1"/>
      <protection/>
    </xf>
    <xf numFmtId="0" fontId="43" fillId="0" borderId="4" xfId="0" applyFont="1" applyFill="1" applyBorder="1" applyAlignment="1">
      <alignment horizontal="center" vertical="center" wrapText="1"/>
    </xf>
    <xf numFmtId="0" fontId="65" fillId="0" borderId="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7" fillId="0" borderId="1" xfId="18" applyFont="1" applyFill="1" applyBorder="1" applyAlignment="1">
      <alignment vertical="center" wrapText="1"/>
      <protection/>
    </xf>
    <xf numFmtId="0" fontId="22" fillId="0" borderId="4" xfId="0" applyFont="1" applyFill="1" applyBorder="1" applyAlignment="1">
      <alignment vertical="center"/>
    </xf>
    <xf numFmtId="4" fontId="35" fillId="0" borderId="1" xfId="18" applyNumberFormat="1" applyFont="1" applyFill="1" applyBorder="1" applyAlignment="1">
      <alignment vertical="center" wrapText="1"/>
      <protection/>
    </xf>
    <xf numFmtId="4" fontId="37" fillId="0" borderId="1" xfId="18" applyNumberFormat="1" applyFont="1" applyFill="1" applyBorder="1" applyAlignment="1">
      <alignment vertical="center" wrapText="1"/>
      <protection/>
    </xf>
    <xf numFmtId="0" fontId="25" fillId="0" borderId="15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horizontal="center" vertical="center"/>
    </xf>
    <xf numFmtId="0" fontId="5" fillId="0" borderId="0" xfId="18" applyFont="1" applyFill="1" applyBorder="1">
      <alignment/>
      <protection/>
    </xf>
    <xf numFmtId="4" fontId="5" fillId="0" borderId="4" xfId="18" applyNumberFormat="1" applyFont="1" applyFill="1" applyBorder="1" applyAlignment="1">
      <alignment horizontal="right" vertical="top"/>
      <protection/>
    </xf>
    <xf numFmtId="49" fontId="62" fillId="0" borderId="0" xfId="22" applyNumberFormat="1" applyFont="1" applyFill="1">
      <alignment/>
      <protection/>
    </xf>
    <xf numFmtId="49" fontId="16" fillId="0" borderId="0" xfId="22" applyNumberFormat="1" applyFont="1" applyFill="1" applyAlignment="1">
      <alignment horizontal="center"/>
      <protection/>
    </xf>
    <xf numFmtId="4" fontId="16" fillId="0" borderId="0" xfId="22" applyNumberFormat="1" applyFont="1" applyFill="1" applyAlignment="1">
      <alignment horizontal="right"/>
      <protection/>
    </xf>
    <xf numFmtId="49" fontId="15" fillId="0" borderId="0" xfId="0" applyNumberFormat="1" applyFont="1" applyFill="1" applyAlignment="1">
      <alignment/>
    </xf>
    <xf numFmtId="49" fontId="62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25" fillId="0" borderId="1" xfId="18" applyFont="1" applyFill="1" applyBorder="1" applyAlignment="1">
      <alignment vertical="top" wrapText="1"/>
      <protection/>
    </xf>
    <xf numFmtId="0" fontId="10" fillId="0" borderId="1" xfId="22" applyFont="1" applyFill="1" applyBorder="1" applyAlignment="1">
      <alignment horizontal="left" vertical="top" wrapText="1"/>
      <protection/>
    </xf>
    <xf numFmtId="0" fontId="10" fillId="0" borderId="1" xfId="22" applyFont="1" applyFill="1" applyBorder="1" applyAlignment="1">
      <alignment horizontal="left" vertical="center" wrapText="1"/>
      <protection/>
    </xf>
    <xf numFmtId="4" fontId="3" fillId="0" borderId="14" xfId="19" applyNumberFormat="1" applyFont="1" applyFill="1" applyBorder="1" applyAlignment="1">
      <alignment horizontal="center" vertical="center" wrapText="1"/>
      <protection/>
    </xf>
    <xf numFmtId="4" fontId="3" fillId="0" borderId="8" xfId="0" applyNumberFormat="1" applyFont="1" applyFill="1" applyBorder="1" applyAlignment="1">
      <alignment vertical="center"/>
    </xf>
    <xf numFmtId="0" fontId="25" fillId="0" borderId="2" xfId="0" applyFont="1" applyFill="1" applyBorder="1" applyAlignment="1">
      <alignment vertical="center" wrapText="1"/>
    </xf>
    <xf numFmtId="4" fontId="25" fillId="2" borderId="1" xfId="18" applyNumberFormat="1" applyFont="1" applyFill="1" applyBorder="1" applyAlignment="1">
      <alignment vertical="center"/>
      <protection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4" fontId="66" fillId="0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  <xf numFmtId="4" fontId="55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8" fillId="0" borderId="0" xfId="23" applyFill="1" applyAlignment="1">
      <alignment horizontal="center"/>
      <protection/>
    </xf>
    <xf numFmtId="0" fontId="67" fillId="0" borderId="0" xfId="19" applyFont="1" applyFill="1">
      <alignment/>
      <protection/>
    </xf>
    <xf numFmtId="0" fontId="67" fillId="0" borderId="0" xfId="19" applyFont="1" applyFill="1" applyAlignment="1">
      <alignment horizontal="center"/>
      <protection/>
    </xf>
    <xf numFmtId="0" fontId="8" fillId="0" borderId="0" xfId="19" applyFill="1">
      <alignment/>
      <protection/>
    </xf>
    <xf numFmtId="0" fontId="38" fillId="0" borderId="0" xfId="19" applyFont="1" applyFill="1">
      <alignment/>
      <protection/>
    </xf>
    <xf numFmtId="0" fontId="8" fillId="0" borderId="0" xfId="23" applyFill="1">
      <alignment/>
      <protection/>
    </xf>
    <xf numFmtId="0" fontId="45" fillId="0" borderId="0" xfId="18" applyFont="1" applyFill="1" applyAlignment="1">
      <alignment/>
      <protection/>
    </xf>
    <xf numFmtId="0" fontId="9" fillId="0" borderId="0" xfId="18" applyFont="1" applyFill="1" applyAlignment="1">
      <alignment horizontal="center"/>
      <protection/>
    </xf>
    <xf numFmtId="0" fontId="45" fillId="0" borderId="0" xfId="18" applyFont="1" applyFill="1">
      <alignment/>
      <protection/>
    </xf>
    <xf numFmtId="0" fontId="8" fillId="0" borderId="0" xfId="19" applyFill="1" applyAlignment="1">
      <alignment horizontal="center"/>
      <protection/>
    </xf>
    <xf numFmtId="0" fontId="68" fillId="0" borderId="0" xfId="19" applyFont="1" applyFill="1" applyAlignment="1">
      <alignment horizontal="right"/>
      <protection/>
    </xf>
    <xf numFmtId="0" fontId="8" fillId="0" borderId="5" xfId="23" applyFill="1" applyBorder="1" applyAlignment="1">
      <alignment horizontal="center"/>
      <protection/>
    </xf>
    <xf numFmtId="0" fontId="8" fillId="0" borderId="5" xfId="19" applyFill="1" applyBorder="1">
      <alignment/>
      <protection/>
    </xf>
    <xf numFmtId="0" fontId="8" fillId="0" borderId="5" xfId="19" applyFill="1" applyBorder="1" applyAlignment="1">
      <alignment horizont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2" xfId="19" applyFill="1" applyBorder="1" applyAlignment="1">
      <alignment vertical="center"/>
      <protection/>
    </xf>
    <xf numFmtId="0" fontId="8" fillId="0" borderId="0" xfId="19" applyFill="1" applyBorder="1">
      <alignment/>
      <protection/>
    </xf>
    <xf numFmtId="0" fontId="8" fillId="0" borderId="3" xfId="23" applyFill="1" applyBorder="1" applyAlignment="1">
      <alignment horizontal="center" vertical="top"/>
      <protection/>
    </xf>
    <xf numFmtId="0" fontId="8" fillId="0" borderId="3" xfId="19" applyFill="1" applyBorder="1" applyAlignment="1">
      <alignment horizontal="center" vertical="top" wrapText="1"/>
      <protection/>
    </xf>
    <xf numFmtId="0" fontId="69" fillId="0" borderId="3" xfId="19" applyFont="1" applyFill="1" applyBorder="1" applyAlignment="1">
      <alignment horizontal="center" vertical="top" wrapText="1"/>
      <protection/>
    </xf>
    <xf numFmtId="0" fontId="69" fillId="0" borderId="4" xfId="19" applyFont="1" applyFill="1" applyBorder="1" applyAlignment="1">
      <alignment horizontal="center" vertical="top" wrapText="1"/>
      <protection/>
    </xf>
    <xf numFmtId="0" fontId="69" fillId="0" borderId="4" xfId="19" applyFont="1" applyFill="1" applyBorder="1" applyAlignment="1">
      <alignment horizontal="center" vertical="center" wrapText="1"/>
      <protection/>
    </xf>
    <xf numFmtId="0" fontId="8" fillId="0" borderId="0" xfId="19" applyFill="1" applyBorder="1" applyAlignment="1">
      <alignment horizontal="center" vertical="top" wrapText="1"/>
      <protection/>
    </xf>
    <xf numFmtId="0" fontId="8" fillId="0" borderId="0" xfId="19" applyFont="1" applyFill="1" applyAlignment="1">
      <alignment horizontal="center" vertical="top" wrapText="1"/>
      <protection/>
    </xf>
    <xf numFmtId="0" fontId="38" fillId="0" borderId="0" xfId="19" applyFont="1" applyFill="1" applyAlignment="1">
      <alignment horizontal="center" vertical="top" wrapText="1"/>
      <protection/>
    </xf>
    <xf numFmtId="0" fontId="8" fillId="0" borderId="0" xfId="23" applyFill="1" applyAlignment="1">
      <alignment vertical="top"/>
      <protection/>
    </xf>
    <xf numFmtId="0" fontId="0" fillId="0" borderId="0" xfId="0" applyFill="1" applyAlignment="1">
      <alignment vertical="top"/>
    </xf>
    <xf numFmtId="0" fontId="69" fillId="0" borderId="10" xfId="19" applyFont="1" applyFill="1" applyBorder="1" applyAlignment="1">
      <alignment horizontal="center" vertical="center" wrapText="1"/>
      <protection/>
    </xf>
    <xf numFmtId="4" fontId="70" fillId="0" borderId="4" xfId="19" applyNumberFormat="1" applyFont="1" applyFill="1" applyBorder="1" applyAlignment="1">
      <alignment horizontal="center" vertical="center" wrapText="1"/>
      <protection/>
    </xf>
    <xf numFmtId="0" fontId="8" fillId="0" borderId="0" xfId="19" applyFill="1" applyBorder="1" applyAlignment="1">
      <alignment horizontal="center" vertical="center" wrapText="1"/>
      <protection/>
    </xf>
    <xf numFmtId="4" fontId="8" fillId="0" borderId="0" xfId="19" applyNumberFormat="1" applyFill="1" applyAlignment="1">
      <alignment horizontal="center" vertical="center" wrapText="1"/>
      <protection/>
    </xf>
    <xf numFmtId="0" fontId="38" fillId="0" borderId="0" xfId="19" applyFont="1" applyFill="1" applyAlignment="1">
      <alignment horizontal="center" vertical="center" wrapText="1"/>
      <protection/>
    </xf>
    <xf numFmtId="0" fontId="16" fillId="0" borderId="0" xfId="0" applyFont="1" applyFill="1" applyAlignment="1">
      <alignment horizontal="left" vertical="center"/>
    </xf>
    <xf numFmtId="0" fontId="12" fillId="0" borderId="4" xfId="23" applyFont="1" applyFill="1" applyBorder="1" applyAlignment="1">
      <alignment vertical="center" wrapText="1"/>
      <protection/>
    </xf>
    <xf numFmtId="0" fontId="38" fillId="0" borderId="6" xfId="19" applyFont="1" applyFill="1" applyBorder="1" applyAlignment="1">
      <alignment vertical="center" wrapText="1"/>
      <protection/>
    </xf>
    <xf numFmtId="4" fontId="71" fillId="0" borderId="9" xfId="19" applyNumberFormat="1" applyFont="1" applyFill="1" applyBorder="1" applyAlignment="1">
      <alignment horizontal="center" vertical="center" wrapText="1"/>
      <protection/>
    </xf>
    <xf numFmtId="4" fontId="71" fillId="0" borderId="5" xfId="19" applyNumberFormat="1" applyFont="1" applyFill="1" applyBorder="1" applyAlignment="1">
      <alignment horizontal="center" vertical="center" wrapText="1"/>
      <protection/>
    </xf>
    <xf numFmtId="4" fontId="71" fillId="0" borderId="0" xfId="19" applyNumberFormat="1" applyFont="1" applyFill="1" applyBorder="1" applyAlignment="1">
      <alignment horizontal="center" vertical="center" wrapText="1"/>
      <protection/>
    </xf>
    <xf numFmtId="4" fontId="38" fillId="0" borderId="0" xfId="19" applyNumberFormat="1" applyFont="1" applyFill="1" applyAlignment="1">
      <alignment horizontal="center" vertical="center" wrapText="1"/>
      <protection/>
    </xf>
    <xf numFmtId="4" fontId="8" fillId="0" borderId="0" xfId="19" applyNumberFormat="1" applyFont="1" applyFill="1" applyAlignment="1">
      <alignment horizontal="center" vertical="center" wrapText="1"/>
      <protection/>
    </xf>
    <xf numFmtId="0" fontId="8" fillId="0" borderId="0" xfId="23" applyFill="1" applyAlignment="1">
      <alignment vertical="center"/>
      <protection/>
    </xf>
    <xf numFmtId="0" fontId="9" fillId="0" borderId="5" xfId="23" applyFont="1" applyFill="1" applyBorder="1" applyAlignment="1">
      <alignment horizontal="center" vertical="center"/>
      <protection/>
    </xf>
    <xf numFmtId="4" fontId="71" fillId="0" borderId="6" xfId="19" applyNumberFormat="1" applyFont="1" applyFill="1" applyBorder="1" applyAlignment="1">
      <alignment horizontal="center" vertical="center" wrapText="1"/>
      <protection/>
    </xf>
    <xf numFmtId="4" fontId="71" fillId="0" borderId="3" xfId="19" applyNumberFormat="1" applyFont="1" applyFill="1" applyBorder="1" applyAlignment="1">
      <alignment horizontal="right" vertical="center" wrapText="1"/>
      <protection/>
    </xf>
    <xf numFmtId="0" fontId="12" fillId="0" borderId="4" xfId="23" applyFont="1" applyFill="1" applyBorder="1" applyAlignment="1">
      <alignment horizontal="center" vertical="center"/>
      <protection/>
    </xf>
    <xf numFmtId="4" fontId="72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vertical="center" wrapText="1"/>
    </xf>
    <xf numFmtId="4" fontId="9" fillId="0" borderId="6" xfId="23" applyNumberFormat="1" applyFont="1" applyFill="1" applyBorder="1" applyAlignment="1">
      <alignment vertical="center"/>
      <protection/>
    </xf>
    <xf numFmtId="4" fontId="73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vertical="center" wrapText="1"/>
    </xf>
    <xf numFmtId="4" fontId="31" fillId="0" borderId="0" xfId="0" applyNumberFormat="1" applyFont="1" applyFill="1" applyAlignment="1">
      <alignment/>
    </xf>
    <xf numFmtId="4" fontId="3" fillId="2" borderId="6" xfId="19" applyNumberFormat="1" applyFont="1" applyFill="1" applyBorder="1" applyAlignment="1">
      <alignment horizontal="center" vertical="center" wrapText="1"/>
      <protection/>
    </xf>
    <xf numFmtId="4" fontId="3" fillId="2" borderId="3" xfId="19" applyNumberFormat="1" applyFont="1" applyFill="1" applyBorder="1" applyAlignment="1">
      <alignment horizontal="center" vertical="center" wrapText="1"/>
      <protection/>
    </xf>
    <xf numFmtId="4" fontId="3" fillId="2" borderId="3" xfId="19" applyNumberFormat="1" applyFont="1" applyFill="1" applyBorder="1" applyAlignment="1">
      <alignment horizontal="right" vertical="center" wrapText="1"/>
      <protection/>
    </xf>
    <xf numFmtId="4" fontId="71" fillId="0" borderId="6" xfId="19" applyNumberFormat="1" applyFont="1" applyFill="1" applyBorder="1" applyAlignment="1">
      <alignment horizontal="right" vertical="center" wrapText="1"/>
      <protection/>
    </xf>
    <xf numFmtId="4" fontId="71" fillId="0" borderId="3" xfId="19" applyNumberFormat="1" applyFont="1" applyFill="1" applyBorder="1" applyAlignment="1">
      <alignment horizontal="center" vertical="center" wrapText="1"/>
      <protection/>
    </xf>
    <xf numFmtId="4" fontId="71" fillId="0" borderId="12" xfId="19" applyNumberFormat="1" applyFont="1" applyFill="1" applyBorder="1" applyAlignment="1">
      <alignment horizontal="right" vertical="center" wrapText="1"/>
      <protection/>
    </xf>
    <xf numFmtId="4" fontId="9" fillId="0" borderId="1" xfId="23" applyNumberFormat="1" applyFont="1" applyFill="1" applyBorder="1" applyAlignment="1">
      <alignment vertical="center"/>
      <protection/>
    </xf>
    <xf numFmtId="4" fontId="3" fillId="0" borderId="13" xfId="19" applyNumberFormat="1" applyFont="1" applyFill="1" applyBorder="1" applyAlignment="1">
      <alignment horizontal="center" vertical="center" wrapText="1"/>
      <protection/>
    </xf>
    <xf numFmtId="4" fontId="3" fillId="0" borderId="15" xfId="19" applyNumberFormat="1" applyFont="1" applyFill="1" applyBorder="1" applyAlignment="1">
      <alignment horizontal="center" vertical="center" wrapText="1"/>
      <protection/>
    </xf>
    <xf numFmtId="49" fontId="15" fillId="0" borderId="0" xfId="18" applyNumberFormat="1" applyFont="1" applyFill="1" applyAlignment="1">
      <alignment horizontal="left"/>
      <protection/>
    </xf>
    <xf numFmtId="49" fontId="17" fillId="0" borderId="0" xfId="18" applyNumberFormat="1" applyFont="1" applyFill="1" applyBorder="1" applyAlignment="1">
      <alignment horizontal="center"/>
      <protection/>
    </xf>
    <xf numFmtId="4" fontId="17" fillId="0" borderId="0" xfId="18" applyNumberFormat="1" applyFont="1" applyFill="1" applyBorder="1" applyAlignment="1">
      <alignment horizontal="right"/>
      <protection/>
    </xf>
    <xf numFmtId="4" fontId="74" fillId="0" borderId="0" xfId="19" applyNumberFormat="1" applyFont="1" applyFill="1" applyAlignment="1">
      <alignment horizontal="center" vertical="center" wrapText="1"/>
      <protection/>
    </xf>
    <xf numFmtId="4" fontId="3" fillId="2" borderId="4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 wrapText="1"/>
    </xf>
    <xf numFmtId="49" fontId="5" fillId="0" borderId="6" xfId="18" applyNumberFormat="1" applyFont="1" applyFill="1" applyBorder="1" applyAlignment="1">
      <alignment horizontal="center" vertical="center"/>
      <protection/>
    </xf>
    <xf numFmtId="49" fontId="5" fillId="0" borderId="12" xfId="18" applyNumberFormat="1" applyFont="1" applyFill="1" applyBorder="1" applyAlignment="1">
      <alignment horizontal="center" vertical="center"/>
      <protection/>
    </xf>
    <xf numFmtId="49" fontId="3" fillId="0" borderId="11" xfId="18" applyNumberFormat="1" applyFont="1" applyFill="1" applyBorder="1" applyAlignment="1">
      <alignment horizontal="center" vertical="center"/>
      <protection/>
    </xf>
    <xf numFmtId="4" fontId="36" fillId="0" borderId="0" xfId="0" applyNumberFormat="1" applyFont="1" applyFill="1" applyAlignment="1">
      <alignment/>
    </xf>
    <xf numFmtId="0" fontId="37" fillId="0" borderId="1" xfId="0" applyFont="1" applyFill="1" applyBorder="1" applyAlignment="1">
      <alignment vertical="center"/>
    </xf>
    <xf numFmtId="4" fontId="37" fillId="0" borderId="1" xfId="0" applyNumberFormat="1" applyFont="1" applyFill="1" applyBorder="1" applyAlignment="1">
      <alignment vertical="center"/>
    </xf>
    <xf numFmtId="4" fontId="75" fillId="0" borderId="0" xfId="0" applyNumberFormat="1" applyFont="1" applyFill="1" applyAlignment="1">
      <alignment/>
    </xf>
    <xf numFmtId="0" fontId="9" fillId="2" borderId="1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49" fontId="5" fillId="0" borderId="3" xfId="18" applyNumberFormat="1" applyFont="1" applyFill="1" applyBorder="1" applyAlignment="1">
      <alignment horizontal="center" vertical="center"/>
      <protection/>
    </xf>
    <xf numFmtId="0" fontId="42" fillId="0" borderId="5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22" applyNumberFormat="1" applyFont="1" applyFill="1" applyBorder="1" applyAlignment="1">
      <alignment horizontal="center"/>
      <protection/>
    </xf>
    <xf numFmtId="4" fontId="6" fillId="0" borderId="0" xfId="22" applyNumberFormat="1" applyFont="1" applyFill="1" applyAlignment="1">
      <alignment horizontal="right"/>
      <protection/>
    </xf>
    <xf numFmtId="0" fontId="12" fillId="0" borderId="0" xfId="18" applyFont="1" applyFill="1">
      <alignment/>
      <protection/>
    </xf>
    <xf numFmtId="4" fontId="3" fillId="0" borderId="8" xfId="18" applyNumberFormat="1" applyFont="1" applyFill="1" applyBorder="1" applyAlignment="1">
      <alignment horizontal="right" vertical="center"/>
      <protection/>
    </xf>
    <xf numFmtId="2" fontId="25" fillId="0" borderId="1" xfId="0" applyNumberFormat="1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9" fillId="2" borderId="2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vertical="center" wrapText="1"/>
    </xf>
    <xf numFmtId="4" fontId="9" fillId="2" borderId="1" xfId="18" applyNumberFormat="1" applyFont="1" applyFill="1" applyBorder="1" applyAlignment="1">
      <alignment vertical="center"/>
      <protection/>
    </xf>
    <xf numFmtId="4" fontId="7" fillId="2" borderId="4" xfId="22" applyNumberFormat="1" applyFont="1" applyFill="1" applyBorder="1" applyAlignment="1">
      <alignment horizontal="right" wrapText="1"/>
      <protection/>
    </xf>
    <xf numFmtId="0" fontId="9" fillId="2" borderId="4" xfId="18" applyFont="1" applyFill="1" applyBorder="1" applyAlignment="1">
      <alignment wrapText="1"/>
      <protection/>
    </xf>
    <xf numFmtId="0" fontId="10" fillId="2" borderId="4" xfId="0" applyFont="1" applyFill="1" applyBorder="1" applyAlignment="1">
      <alignment horizontal="center" vertical="center" wrapText="1"/>
    </xf>
    <xf numFmtId="49" fontId="25" fillId="0" borderId="4" xfId="18" applyNumberFormat="1" applyFont="1" applyFill="1" applyBorder="1" applyAlignment="1">
      <alignment vertical="center" wrapText="1"/>
      <protection/>
    </xf>
    <xf numFmtId="0" fontId="10" fillId="0" borderId="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vertical="center" wrapText="1"/>
    </xf>
    <xf numFmtId="0" fontId="25" fillId="0" borderId="0" xfId="20" applyFont="1" applyFill="1" applyBorder="1" applyAlignment="1">
      <alignment horizontal="left" vertical="center" wrapText="1"/>
      <protection/>
    </xf>
    <xf numFmtId="0" fontId="28" fillId="0" borderId="0" xfId="24" applyFont="1" applyFill="1" applyAlignment="1">
      <alignment horizontal="left"/>
      <protection/>
    </xf>
    <xf numFmtId="49" fontId="5" fillId="0" borderId="14" xfId="18" applyNumberFormat="1" applyFont="1" applyFill="1" applyBorder="1" applyAlignment="1">
      <alignment horizontal="center" vertical="center"/>
      <protection/>
    </xf>
    <xf numFmtId="4" fontId="25" fillId="2" borderId="4" xfId="0" applyNumberFormat="1" applyFont="1" applyFill="1" applyBorder="1" applyAlignment="1">
      <alignment vertical="center"/>
    </xf>
    <xf numFmtId="0" fontId="25" fillId="2" borderId="2" xfId="0" applyFont="1" applyFill="1" applyBorder="1" applyAlignment="1">
      <alignment horizontal="left" vertical="center" wrapText="1"/>
    </xf>
    <xf numFmtId="0" fontId="35" fillId="2" borderId="4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9" fontId="3" fillId="0" borderId="0" xfId="18" applyNumberFormat="1" applyFont="1" applyFill="1" applyBorder="1">
      <alignment/>
      <protection/>
    </xf>
    <xf numFmtId="0" fontId="3" fillId="0" borderId="0" xfId="18" applyFont="1" applyFill="1" applyBorder="1" applyAlignment="1">
      <alignment vertical="center"/>
      <protection/>
    </xf>
    <xf numFmtId="0" fontId="25" fillId="2" borderId="4" xfId="18" applyFont="1" applyFill="1" applyBorder="1" applyAlignment="1">
      <alignment vertical="center"/>
      <protection/>
    </xf>
    <xf numFmtId="4" fontId="25" fillId="2" borderId="4" xfId="18" applyNumberFormat="1" applyFont="1" applyFill="1" applyBorder="1" applyAlignment="1">
      <alignment vertical="center" wrapText="1"/>
      <protection/>
    </xf>
    <xf numFmtId="4" fontId="25" fillId="2" borderId="3" xfId="18" applyNumberFormat="1" applyFont="1" applyFill="1" applyBorder="1" applyAlignment="1">
      <alignment vertical="center" wrapText="1"/>
      <protection/>
    </xf>
    <xf numFmtId="4" fontId="32" fillId="2" borderId="4" xfId="18" applyNumberFormat="1" applyFont="1" applyFill="1" applyBorder="1" applyAlignment="1">
      <alignment vertical="center" wrapText="1"/>
      <protection/>
    </xf>
    <xf numFmtId="4" fontId="9" fillId="2" borderId="4" xfId="18" applyNumberFormat="1" applyFont="1" applyFill="1" applyBorder="1" applyAlignment="1">
      <alignment vertical="center"/>
      <protection/>
    </xf>
    <xf numFmtId="49" fontId="3" fillId="0" borderId="14" xfId="18" applyNumberFormat="1" applyFont="1" applyFill="1" applyBorder="1" applyAlignment="1">
      <alignment horizontal="center" vertical="center"/>
      <protection/>
    </xf>
    <xf numFmtId="49" fontId="5" fillId="0" borderId="8" xfId="18" applyNumberFormat="1" applyFont="1" applyFill="1" applyBorder="1" applyAlignment="1">
      <alignment horizontal="center" vertical="center"/>
      <protection/>
    </xf>
    <xf numFmtId="4" fontId="5" fillId="0" borderId="4" xfId="18" applyNumberFormat="1" applyFont="1" applyFill="1" applyBorder="1" applyAlignment="1">
      <alignment horizontal="right" vertical="center"/>
      <protection/>
    </xf>
    <xf numFmtId="4" fontId="3" fillId="2" borderId="3" xfId="0" applyNumberFormat="1" applyFont="1" applyFill="1" applyBorder="1" applyAlignment="1">
      <alignment horizontal="right" vertical="center" wrapText="1"/>
    </xf>
    <xf numFmtId="4" fontId="9" fillId="0" borderId="0" xfId="23" applyNumberFormat="1" applyFont="1" applyFill="1" applyAlignment="1">
      <alignment vertical="center"/>
      <protection/>
    </xf>
    <xf numFmtId="4" fontId="25" fillId="0" borderId="0" xfId="19" applyNumberFormat="1" applyFont="1" applyFill="1" applyBorder="1" applyAlignment="1">
      <alignment horizontal="center" vertical="center" wrapText="1"/>
      <protection/>
    </xf>
    <xf numFmtId="4" fontId="9" fillId="0" borderId="0" xfId="19" applyNumberFormat="1" applyFont="1" applyFill="1" applyBorder="1" applyAlignment="1">
      <alignment horizontal="center" vertical="center" wrapText="1"/>
      <protection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</cellXfs>
  <cellStyles count="15">
    <cellStyle name="Normal" xfId="0"/>
    <cellStyle name="Comma" xfId="15"/>
    <cellStyle name="Comma [0]" xfId="16"/>
    <cellStyle name="Hyperlink" xfId="17"/>
    <cellStyle name="Normalny_Arkusz5" xfId="18"/>
    <cellStyle name="Normalny_Arkusz8" xfId="19"/>
    <cellStyle name="Normalny_tabela nr 8" xfId="20"/>
    <cellStyle name="Normalny_Uch.RMK luty" xfId="21"/>
    <cellStyle name="Normalny_Uch.RMK marzec" xfId="22"/>
    <cellStyle name="Normalny_Zał. nr 3A" xfId="23"/>
    <cellStyle name="Normalny_ZPMK luty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7"/>
  <sheetViews>
    <sheetView tabSelected="1" zoomScale="120" zoomScaleNormal="120" workbookViewId="0" topLeftCell="A1">
      <pane xSplit="17550" topLeftCell="S1" activePane="topLeft" state="split"/>
      <selection pane="topLeft" activeCell="F243" sqref="F243"/>
      <selection pane="topRight" activeCell="R302" sqref="R302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5" width="14.140625" style="2" customWidth="1"/>
    <col min="6" max="6" width="15.57421875" style="2" customWidth="1"/>
    <col min="7" max="7" width="15.7109375" style="2" customWidth="1"/>
    <col min="8" max="8" width="19.8515625" style="24" customWidth="1"/>
    <col min="9" max="9" width="9.140625" style="2" customWidth="1"/>
    <col min="10" max="10" width="17.00390625" style="2" customWidth="1"/>
    <col min="11" max="11" width="15.7109375" style="2" bestFit="1" customWidth="1"/>
    <col min="12" max="16384" width="9.140625" style="2" customWidth="1"/>
  </cols>
  <sheetData>
    <row r="1" spans="1:7" ht="18.75">
      <c r="A1" s="92"/>
      <c r="B1" s="92"/>
      <c r="C1" s="92"/>
      <c r="G1" s="97" t="s">
        <v>583</v>
      </c>
    </row>
    <row r="2" spans="1:8" s="35" customFormat="1" ht="23.25" customHeight="1">
      <c r="A2" s="46" t="s">
        <v>440</v>
      </c>
      <c r="B2" s="47"/>
      <c r="C2" s="48"/>
      <c r="D2" s="5"/>
      <c r="E2" s="5"/>
      <c r="F2" s="5"/>
      <c r="G2" s="41"/>
      <c r="H2" s="163" t="s">
        <v>151</v>
      </c>
    </row>
    <row r="3" spans="1:8" s="35" customFormat="1" ht="24" customHeight="1">
      <c r="A3" s="46" t="s">
        <v>87</v>
      </c>
      <c r="B3" s="47"/>
      <c r="C3" s="48"/>
      <c r="D3" s="5"/>
      <c r="E3" s="5"/>
      <c r="F3" s="5"/>
      <c r="G3" s="41"/>
      <c r="H3" s="43"/>
    </row>
    <row r="4" spans="1:8" s="35" customFormat="1" ht="24" customHeight="1">
      <c r="A4" s="46" t="s">
        <v>1</v>
      </c>
      <c r="B4" s="47"/>
      <c r="C4" s="48"/>
      <c r="D4" s="5"/>
      <c r="E4" s="5"/>
      <c r="F4" s="5"/>
      <c r="G4" s="41"/>
      <c r="H4" s="44"/>
    </row>
    <row r="5" spans="1:8" s="35" customFormat="1" ht="17.25" customHeight="1">
      <c r="A5" s="40"/>
      <c r="B5" s="41"/>
      <c r="C5" s="42"/>
      <c r="D5" s="41"/>
      <c r="E5" s="41"/>
      <c r="F5" s="41"/>
      <c r="G5" s="41"/>
      <c r="H5" s="44"/>
    </row>
    <row r="6" spans="1:8" ht="18.75">
      <c r="A6" s="23"/>
      <c r="B6" s="5"/>
      <c r="C6" s="6"/>
      <c r="D6" s="5"/>
      <c r="E6" s="5"/>
      <c r="F6" s="5"/>
      <c r="G6" s="5"/>
      <c r="H6" s="7"/>
    </row>
    <row r="7" spans="1:8" ht="19.5">
      <c r="A7" s="23" t="s">
        <v>147</v>
      </c>
      <c r="B7" s="5"/>
      <c r="C7" s="6"/>
      <c r="D7" s="5"/>
      <c r="E7" s="5"/>
      <c r="F7" s="5"/>
      <c r="G7" s="5"/>
      <c r="H7" s="7"/>
    </row>
    <row r="8" spans="1:8" ht="18.75">
      <c r="A8" s="23"/>
      <c r="B8" s="5"/>
      <c r="C8" s="6"/>
      <c r="D8" s="5"/>
      <c r="E8" s="5"/>
      <c r="F8" s="5"/>
      <c r="G8" s="5"/>
      <c r="H8" s="7"/>
    </row>
    <row r="9" spans="1:8" ht="18.75">
      <c r="A9" s="5"/>
      <c r="B9" s="5"/>
      <c r="C9" s="6"/>
      <c r="D9" s="5"/>
      <c r="E9" s="5"/>
      <c r="F9" s="5"/>
      <c r="G9" s="5"/>
      <c r="H9" s="7"/>
    </row>
    <row r="10" spans="1:8" ht="18.75">
      <c r="A10" s="49" t="s">
        <v>88</v>
      </c>
      <c r="B10" s="47"/>
      <c r="C10" s="48"/>
      <c r="D10" s="5"/>
      <c r="E10" s="5"/>
      <c r="F10" s="5"/>
      <c r="G10" s="5"/>
      <c r="H10" s="7"/>
    </row>
    <row r="11" spans="1:8" ht="18.75">
      <c r="A11" s="49" t="s">
        <v>11</v>
      </c>
      <c r="B11" s="47"/>
      <c r="C11" s="48"/>
      <c r="D11" s="5"/>
      <c r="E11" s="5"/>
      <c r="F11" s="5"/>
      <c r="G11" s="5"/>
      <c r="H11" s="7"/>
    </row>
    <row r="12" spans="1:8" ht="18.75">
      <c r="A12" s="49" t="s">
        <v>89</v>
      </c>
      <c r="B12" s="47"/>
      <c r="C12" s="48"/>
      <c r="D12" s="5"/>
      <c r="E12" s="5"/>
      <c r="F12" s="5"/>
      <c r="G12" s="5"/>
      <c r="H12" s="7"/>
    </row>
    <row r="13" spans="1:8" ht="18.75">
      <c r="A13" s="49" t="s">
        <v>90</v>
      </c>
      <c r="B13" s="47"/>
      <c r="C13" s="48"/>
      <c r="D13" s="5"/>
      <c r="E13" s="5"/>
      <c r="F13" s="5"/>
      <c r="G13" s="5"/>
      <c r="H13" s="7"/>
    </row>
    <row r="14" spans="1:8" ht="18.75">
      <c r="A14" s="39"/>
      <c r="B14" s="31"/>
      <c r="C14" s="16"/>
      <c r="D14" s="16"/>
      <c r="E14" s="5"/>
      <c r="F14" s="5"/>
      <c r="G14" s="5"/>
      <c r="H14" s="7"/>
    </row>
    <row r="15" spans="1:8" s="28" customFormat="1" ht="15.75">
      <c r="A15" s="8"/>
      <c r="B15" s="8"/>
      <c r="C15" s="30"/>
      <c r="D15" s="8"/>
      <c r="E15" s="30" t="s">
        <v>76</v>
      </c>
      <c r="F15" s="8"/>
      <c r="G15" s="8"/>
      <c r="H15" s="9"/>
    </row>
    <row r="16" spans="1:8" s="28" customFormat="1" ht="15.75">
      <c r="A16" s="8"/>
      <c r="B16" s="8"/>
      <c r="C16" s="30"/>
      <c r="D16" s="8"/>
      <c r="E16" s="30"/>
      <c r="F16" s="8"/>
      <c r="G16" s="8"/>
      <c r="H16" s="9"/>
    </row>
    <row r="17" spans="1:8" ht="18.75">
      <c r="A17" s="377" t="s">
        <v>150</v>
      </c>
      <c r="B17" s="45"/>
      <c r="C17" s="45"/>
      <c r="D17" s="45"/>
      <c r="E17" s="30"/>
      <c r="F17" s="8"/>
      <c r="G17" s="5"/>
      <c r="H17" s="7"/>
    </row>
    <row r="18" spans="1:8" ht="18.75">
      <c r="A18" s="378" t="s">
        <v>430</v>
      </c>
      <c r="B18" s="45"/>
      <c r="C18" s="45"/>
      <c r="D18" s="45"/>
      <c r="E18" s="30"/>
      <c r="F18" s="8"/>
      <c r="G18" s="5"/>
      <c r="H18" s="7"/>
    </row>
    <row r="19" spans="1:8" ht="15.75">
      <c r="A19" s="51" t="s">
        <v>429</v>
      </c>
      <c r="B19" s="8"/>
      <c r="C19" s="52"/>
      <c r="D19" s="8"/>
      <c r="E19" s="30"/>
      <c r="F19" s="8"/>
      <c r="H19" s="1"/>
    </row>
    <row r="20" spans="1:8" ht="15.75">
      <c r="A20" s="378" t="s">
        <v>331</v>
      </c>
      <c r="B20" s="162"/>
      <c r="C20" s="379"/>
      <c r="D20" s="379"/>
      <c r="E20" s="30"/>
      <c r="F20" s="8"/>
      <c r="H20" s="1"/>
    </row>
    <row r="21" spans="1:8" ht="15.75">
      <c r="A21" s="51" t="s">
        <v>332</v>
      </c>
      <c r="B21" s="8"/>
      <c r="C21" s="52"/>
      <c r="D21" s="8"/>
      <c r="E21" s="30"/>
      <c r="F21" s="8"/>
      <c r="H21" s="1"/>
    </row>
    <row r="22" spans="1:8" ht="15.75">
      <c r="A22" s="51" t="s">
        <v>19</v>
      </c>
      <c r="B22" s="162"/>
      <c r="C22" s="379"/>
      <c r="D22" s="379"/>
      <c r="E22" s="26"/>
      <c r="F22" s="8"/>
      <c r="H22" s="1"/>
    </row>
    <row r="23" spans="1:8" ht="15.75">
      <c r="A23" s="65" t="s">
        <v>335</v>
      </c>
      <c r="B23" s="162"/>
      <c r="C23" s="379"/>
      <c r="D23" s="379"/>
      <c r="E23" s="26"/>
      <c r="F23" s="8"/>
      <c r="H23" s="1"/>
    </row>
    <row r="24" spans="1:8" ht="15.75">
      <c r="A24" s="51" t="s">
        <v>346</v>
      </c>
      <c r="B24" s="704"/>
      <c r="C24" s="382"/>
      <c r="D24" s="18"/>
      <c r="E24" s="18"/>
      <c r="F24" s="8"/>
      <c r="H24" s="1"/>
    </row>
    <row r="25" spans="1:8" ht="15.75">
      <c r="A25" s="51" t="s">
        <v>347</v>
      </c>
      <c r="B25" s="704"/>
      <c r="C25" s="382"/>
      <c r="D25" s="18"/>
      <c r="E25" s="18"/>
      <c r="F25" s="18"/>
      <c r="H25" s="1"/>
    </row>
    <row r="26" spans="1:8" ht="15.75">
      <c r="A26" s="51" t="s">
        <v>545</v>
      </c>
      <c r="B26" s="8"/>
      <c r="C26" s="52"/>
      <c r="D26" s="8"/>
      <c r="E26" s="30"/>
      <c r="F26" s="8"/>
      <c r="H26" s="1"/>
    </row>
    <row r="27" spans="1:8" ht="15.75">
      <c r="A27" s="51" t="s">
        <v>133</v>
      </c>
      <c r="B27" s="8"/>
      <c r="C27" s="52"/>
      <c r="D27" s="8"/>
      <c r="E27" s="30"/>
      <c r="F27" s="8"/>
      <c r="H27" s="1"/>
    </row>
    <row r="28" spans="1:8" ht="15.75">
      <c r="A28" s="829" t="s">
        <v>659</v>
      </c>
      <c r="B28" s="8"/>
      <c r="C28" s="52"/>
      <c r="D28" s="8"/>
      <c r="E28" s="30"/>
      <c r="F28" s="8"/>
      <c r="H28" s="1"/>
    </row>
    <row r="29" spans="1:8" ht="15.75">
      <c r="A29" s="829"/>
      <c r="B29" s="8"/>
      <c r="C29" s="52"/>
      <c r="D29" s="8"/>
      <c r="E29" s="30"/>
      <c r="F29" s="8"/>
      <c r="H29" s="1"/>
    </row>
    <row r="30" spans="1:8" ht="15.75">
      <c r="A30" s="829"/>
      <c r="B30" s="8"/>
      <c r="C30" s="52"/>
      <c r="D30" s="8"/>
      <c r="E30" s="30"/>
      <c r="F30" s="8"/>
      <c r="H30" s="1"/>
    </row>
    <row r="31" spans="1:3" ht="18.75">
      <c r="A31" s="53" t="s">
        <v>91</v>
      </c>
      <c r="B31" s="50"/>
      <c r="C31" s="50"/>
    </row>
    <row r="32" spans="1:8" ht="15.75">
      <c r="A32" s="55"/>
      <c r="B32" s="56"/>
      <c r="C32" s="56"/>
      <c r="D32" s="26"/>
      <c r="E32" s="26"/>
      <c r="F32" s="57"/>
      <c r="H32" s="57"/>
    </row>
    <row r="33" spans="1:8" ht="15.75">
      <c r="A33" s="55" t="s">
        <v>92</v>
      </c>
      <c r="B33" s="56"/>
      <c r="C33" s="56"/>
      <c r="D33" s="26"/>
      <c r="E33" s="26"/>
      <c r="F33" s="57"/>
      <c r="H33" s="57">
        <f>H37+H56</f>
        <v>401510808.34000003</v>
      </c>
    </row>
    <row r="34" spans="1:8" ht="15.75">
      <c r="A34" s="55" t="s">
        <v>93</v>
      </c>
      <c r="B34" s="56"/>
      <c r="C34" s="56"/>
      <c r="D34" s="26"/>
      <c r="E34" s="26"/>
      <c r="F34" s="57"/>
      <c r="H34" s="57">
        <f>H38+H57</f>
        <v>401971320.64000005</v>
      </c>
    </row>
    <row r="35" spans="1:8" ht="15.75">
      <c r="A35" s="58" t="s">
        <v>94</v>
      </c>
      <c r="B35" s="59"/>
      <c r="C35" s="59"/>
      <c r="D35" s="26"/>
      <c r="E35" s="26"/>
      <c r="F35" s="57"/>
      <c r="H35" s="57"/>
    </row>
    <row r="36" spans="1:8" ht="15.75">
      <c r="A36" s="58"/>
      <c r="B36" s="59"/>
      <c r="C36" s="59"/>
      <c r="D36" s="26"/>
      <c r="E36" s="26"/>
      <c r="F36" s="57"/>
      <c r="H36" s="57"/>
    </row>
    <row r="37" spans="1:11" ht="15.75">
      <c r="A37" s="55" t="s">
        <v>149</v>
      </c>
      <c r="B37" s="56"/>
      <c r="C37" s="56"/>
      <c r="D37" s="60"/>
      <c r="E37" s="26"/>
      <c r="F37" s="1"/>
      <c r="H37" s="57">
        <f>H40+H48</f>
        <v>282719797.05</v>
      </c>
      <c r="K37" s="4">
        <f>H40+H59</f>
        <v>379951128.35</v>
      </c>
    </row>
    <row r="38" spans="1:11" ht="15.75">
      <c r="A38" s="55" t="s">
        <v>93</v>
      </c>
      <c r="B38" s="56"/>
      <c r="C38" s="56"/>
      <c r="D38" s="60"/>
      <c r="E38" s="26"/>
      <c r="F38" s="1"/>
      <c r="H38" s="57">
        <f>H41+H49</f>
        <v>283144419.35</v>
      </c>
      <c r="K38" s="4">
        <f>H41+H60</f>
        <v>379925633.12</v>
      </c>
    </row>
    <row r="39" spans="1:11" ht="15.75">
      <c r="A39" s="58"/>
      <c r="B39" s="50" t="s">
        <v>95</v>
      </c>
      <c r="C39" s="59"/>
      <c r="D39" s="26"/>
      <c r="E39" s="26"/>
      <c r="F39" s="1"/>
      <c r="H39" s="57"/>
      <c r="K39" s="4">
        <f>K37-K38</f>
        <v>25495.230000019073</v>
      </c>
    </row>
    <row r="40" spans="1:8" ht="15.75">
      <c r="A40" s="61" t="s">
        <v>99</v>
      </c>
      <c r="B40" s="56"/>
      <c r="C40" s="56"/>
      <c r="D40" s="26"/>
      <c r="E40" s="26"/>
      <c r="F40" s="1"/>
      <c r="H40" s="57">
        <v>261290117.06</v>
      </c>
    </row>
    <row r="41" spans="1:8" ht="15.75">
      <c r="A41" s="61" t="s">
        <v>93</v>
      </c>
      <c r="B41" s="56"/>
      <c r="C41" s="56"/>
      <c r="D41" s="26"/>
      <c r="E41" s="26"/>
      <c r="F41" s="1"/>
      <c r="H41" s="57">
        <f>H40-D88+F88-F87-F79</f>
        <v>261228731.83</v>
      </c>
    </row>
    <row r="42" spans="1:8" ht="15.75">
      <c r="A42" s="61"/>
      <c r="B42" s="62" t="s">
        <v>54</v>
      </c>
      <c r="C42" s="56"/>
      <c r="D42" s="26"/>
      <c r="E42" s="26"/>
      <c r="F42" s="1"/>
      <c r="H42" s="57"/>
    </row>
    <row r="43" spans="1:8" ht="15.75">
      <c r="A43" s="61"/>
      <c r="B43" s="161" t="s">
        <v>55</v>
      </c>
      <c r="C43" s="56"/>
      <c r="D43" s="26"/>
      <c r="E43" s="26"/>
      <c r="F43" s="1"/>
      <c r="H43" s="57"/>
    </row>
    <row r="44" spans="1:8" ht="15.75">
      <c r="A44" s="61"/>
      <c r="B44" s="161" t="s">
        <v>56</v>
      </c>
      <c r="C44" s="59"/>
      <c r="D44" s="26"/>
      <c r="E44" s="26"/>
      <c r="F44" s="1"/>
      <c r="H44" s="1">
        <v>6041370.73</v>
      </c>
    </row>
    <row r="45" spans="1:8" ht="15.75">
      <c r="A45" s="61"/>
      <c r="B45" s="161" t="s">
        <v>100</v>
      </c>
      <c r="C45" s="62"/>
      <c r="D45" s="161"/>
      <c r="E45" s="26"/>
      <c r="F45" s="1"/>
      <c r="H45" s="1">
        <f>H44-D85+F85+F86</f>
        <v>6326682.73</v>
      </c>
    </row>
    <row r="46" spans="1:8" ht="15" customHeight="1">
      <c r="A46" s="61"/>
      <c r="B46" s="161"/>
      <c r="C46" s="62"/>
      <c r="D46" s="161"/>
      <c r="E46" s="26"/>
      <c r="F46" s="1"/>
      <c r="H46" s="1"/>
    </row>
    <row r="47" spans="1:8" ht="15.75">
      <c r="A47" s="61"/>
      <c r="B47" s="161"/>
      <c r="C47" s="56"/>
      <c r="D47" s="26"/>
      <c r="E47" s="26"/>
      <c r="F47" s="1"/>
      <c r="H47" s="57"/>
    </row>
    <row r="48" spans="1:8" ht="15.75">
      <c r="A48" s="61" t="s">
        <v>57</v>
      </c>
      <c r="B48" s="56"/>
      <c r="C48" s="56"/>
      <c r="D48" s="26"/>
      <c r="E48" s="26"/>
      <c r="F48" s="1"/>
      <c r="H48" s="57">
        <f>20967879.99+461800</f>
        <v>21429679.99</v>
      </c>
    </row>
    <row r="49" spans="1:8" ht="15.75">
      <c r="A49" s="61" t="s">
        <v>93</v>
      </c>
      <c r="B49" s="56"/>
      <c r="C49" s="56"/>
      <c r="D49" s="26"/>
      <c r="E49" s="26"/>
      <c r="F49" s="1"/>
      <c r="H49" s="57">
        <f>H48+F79+F87</f>
        <v>21915687.52</v>
      </c>
    </row>
    <row r="50" spans="1:8" ht="15.75">
      <c r="A50" s="61"/>
      <c r="B50" s="62" t="s">
        <v>54</v>
      </c>
      <c r="C50" s="56"/>
      <c r="D50" s="26"/>
      <c r="E50" s="26"/>
      <c r="F50" s="1"/>
      <c r="H50" s="57"/>
    </row>
    <row r="51" spans="1:8" ht="15.75">
      <c r="A51" s="61"/>
      <c r="B51" s="161" t="s">
        <v>55</v>
      </c>
      <c r="C51" s="56"/>
      <c r="D51" s="26"/>
      <c r="E51" s="26"/>
      <c r="F51" s="1"/>
      <c r="H51" s="57"/>
    </row>
    <row r="52" spans="1:8" ht="15.75">
      <c r="A52" s="61"/>
      <c r="B52" s="161" t="s">
        <v>56</v>
      </c>
      <c r="C52" s="59"/>
      <c r="D52" s="26"/>
      <c r="E52" s="26"/>
      <c r="F52" s="1"/>
      <c r="H52" s="1">
        <v>2491896.86</v>
      </c>
    </row>
    <row r="53" spans="1:8" ht="15.75">
      <c r="A53" s="61"/>
      <c r="B53" s="161" t="s">
        <v>100</v>
      </c>
      <c r="C53" s="62"/>
      <c r="D53" s="161"/>
      <c r="E53" s="26"/>
      <c r="F53" s="1"/>
      <c r="H53" s="1">
        <f>H52+F87</f>
        <v>2497896.86</v>
      </c>
    </row>
    <row r="54" spans="1:8" ht="15.75">
      <c r="A54" s="61"/>
      <c r="B54" s="56"/>
      <c r="C54" s="56"/>
      <c r="D54" s="26"/>
      <c r="E54" s="26"/>
      <c r="F54" s="1"/>
      <c r="H54" s="57"/>
    </row>
    <row r="55" spans="1:8" ht="15.75">
      <c r="A55" s="61"/>
      <c r="B55" s="161"/>
      <c r="C55" s="56"/>
      <c r="D55" s="26"/>
      <c r="E55" s="26"/>
      <c r="F55" s="1"/>
      <c r="H55" s="57"/>
    </row>
    <row r="56" spans="1:8" ht="15.75">
      <c r="A56" s="55" t="s">
        <v>461</v>
      </c>
      <c r="B56" s="56"/>
      <c r="C56" s="56"/>
      <c r="D56" s="60"/>
      <c r="E56" s="69"/>
      <c r="F56" s="1"/>
      <c r="H56" s="57">
        <v>118791011.29</v>
      </c>
    </row>
    <row r="57" spans="1:8" ht="15.75">
      <c r="A57" s="55" t="s">
        <v>93</v>
      </c>
      <c r="B57" s="56"/>
      <c r="C57" s="56"/>
      <c r="D57" s="60"/>
      <c r="E57" s="69"/>
      <c r="F57" s="1"/>
      <c r="H57" s="57">
        <f>H56-D101+F101</f>
        <v>118826901.29</v>
      </c>
    </row>
    <row r="58" spans="1:8" ht="15.75">
      <c r="A58" s="58"/>
      <c r="B58" s="50" t="s">
        <v>95</v>
      </c>
      <c r="C58" s="59"/>
      <c r="D58" s="26"/>
      <c r="E58" s="69"/>
      <c r="F58" s="1"/>
      <c r="H58" s="57"/>
    </row>
    <row r="59" spans="1:8" ht="15.75">
      <c r="A59" s="61" t="s">
        <v>99</v>
      </c>
      <c r="B59" s="56"/>
      <c r="C59" s="56"/>
      <c r="D59" s="26"/>
      <c r="E59" s="69"/>
      <c r="F59" s="1"/>
      <c r="H59" s="57">
        <v>118661011.29</v>
      </c>
    </row>
    <row r="60" spans="1:8" ht="15.75">
      <c r="A60" s="61" t="s">
        <v>93</v>
      </c>
      <c r="B60" s="56"/>
      <c r="C60" s="56"/>
      <c r="D60" s="26"/>
      <c r="E60" s="69"/>
      <c r="F60" s="1"/>
      <c r="H60" s="57">
        <f>H59+F101</f>
        <v>118696901.29</v>
      </c>
    </row>
    <row r="61" spans="1:8" ht="15.75">
      <c r="A61" s="61"/>
      <c r="B61" s="161"/>
      <c r="C61" s="56"/>
      <c r="D61" s="26"/>
      <c r="E61" s="26"/>
      <c r="F61" s="1"/>
      <c r="H61" s="1"/>
    </row>
    <row r="62" spans="1:8" ht="15.75">
      <c r="A62" s="61"/>
      <c r="B62" s="62"/>
      <c r="C62" s="56"/>
      <c r="D62" s="26"/>
      <c r="E62" s="26"/>
      <c r="F62" s="1"/>
      <c r="H62" s="1"/>
    </row>
    <row r="63" spans="1:8" ht="19.5">
      <c r="A63" s="66" t="s">
        <v>148</v>
      </c>
      <c r="B63" s="67"/>
      <c r="C63" s="68"/>
      <c r="D63" s="69"/>
      <c r="E63" s="69"/>
      <c r="F63" s="70"/>
      <c r="G63" s="70"/>
      <c r="H63" s="71"/>
    </row>
    <row r="64" spans="1:8" ht="19.5">
      <c r="A64" s="66"/>
      <c r="B64" s="67"/>
      <c r="C64" s="68"/>
      <c r="D64" s="69"/>
      <c r="E64" s="69"/>
      <c r="F64" s="70"/>
      <c r="G64" s="70"/>
      <c r="H64" s="71"/>
    </row>
    <row r="65" spans="1:7" ht="18.75">
      <c r="A65" s="75" t="s">
        <v>146</v>
      </c>
      <c r="B65" s="76"/>
      <c r="C65" s="77"/>
      <c r="D65" s="65"/>
      <c r="E65" s="65"/>
      <c r="F65" s="74"/>
      <c r="G65" s="74"/>
    </row>
    <row r="66" spans="1:7" ht="18.75">
      <c r="A66" s="75"/>
      <c r="B66" s="76"/>
      <c r="C66" s="77"/>
      <c r="D66" s="65"/>
      <c r="E66" s="65"/>
      <c r="F66" s="74"/>
      <c r="G66" s="74"/>
    </row>
    <row r="67" spans="1:7" ht="18.75">
      <c r="A67" s="72"/>
      <c r="B67" s="72"/>
      <c r="C67" s="72"/>
      <c r="D67" s="65"/>
      <c r="E67" s="65"/>
      <c r="F67" s="74"/>
      <c r="G67" s="74"/>
    </row>
    <row r="68" spans="1:7" ht="18.75">
      <c r="A68" s="78"/>
      <c r="B68" s="78"/>
      <c r="C68" s="79"/>
      <c r="D68" s="10" t="s">
        <v>101</v>
      </c>
      <c r="E68" s="11"/>
      <c r="F68" s="10" t="s">
        <v>102</v>
      </c>
      <c r="G68" s="11"/>
    </row>
    <row r="69" spans="1:7" ht="15" customHeight="1">
      <c r="A69" s="80"/>
      <c r="B69" s="80"/>
      <c r="C69" s="81"/>
      <c r="D69" s="12" t="s">
        <v>75</v>
      </c>
      <c r="E69" s="11" t="s">
        <v>74</v>
      </c>
      <c r="F69" s="12" t="s">
        <v>75</v>
      </c>
      <c r="G69" s="11" t="s">
        <v>74</v>
      </c>
    </row>
    <row r="70" spans="1:7" ht="21">
      <c r="A70" s="82" t="s">
        <v>77</v>
      </c>
      <c r="B70" s="82" t="s">
        <v>83</v>
      </c>
      <c r="C70" s="82" t="s">
        <v>78</v>
      </c>
      <c r="D70" s="13" t="s">
        <v>79</v>
      </c>
      <c r="E70" s="14" t="s">
        <v>80</v>
      </c>
      <c r="F70" s="13" t="s">
        <v>79</v>
      </c>
      <c r="G70" s="14" t="s">
        <v>80</v>
      </c>
    </row>
    <row r="71" spans="1:8" s="92" customFormat="1" ht="18.75">
      <c r="A71" s="83" t="s">
        <v>115</v>
      </c>
      <c r="B71" s="121" t="s">
        <v>116</v>
      </c>
      <c r="C71" s="83"/>
      <c r="D71" s="84">
        <f>SUM(D72:D75)</f>
        <v>523000</v>
      </c>
      <c r="E71" s="84"/>
      <c r="F71" s="84">
        <f>SUM(F72:F75)</f>
        <v>110000</v>
      </c>
      <c r="G71" s="96"/>
      <c r="H71" s="97"/>
    </row>
    <row r="72" spans="1:8" s="92" customFormat="1" ht="18.75">
      <c r="A72" s="89"/>
      <c r="B72" s="373"/>
      <c r="C72" s="87" t="s">
        <v>118</v>
      </c>
      <c r="D72" s="88"/>
      <c r="E72" s="88"/>
      <c r="F72" s="88">
        <v>100000</v>
      </c>
      <c r="G72" s="96"/>
      <c r="H72" s="97"/>
    </row>
    <row r="73" spans="1:8" s="92" customFormat="1" ht="18.75">
      <c r="A73" s="89"/>
      <c r="B73" s="90"/>
      <c r="C73" s="624" t="s">
        <v>119</v>
      </c>
      <c r="D73" s="88">
        <v>463000</v>
      </c>
      <c r="E73" s="88"/>
      <c r="F73" s="88"/>
      <c r="G73" s="96"/>
      <c r="H73" s="97"/>
    </row>
    <row r="74" spans="1:8" s="92" customFormat="1" ht="18.75">
      <c r="A74" s="89"/>
      <c r="B74" s="90"/>
      <c r="C74" s="624" t="s">
        <v>120</v>
      </c>
      <c r="D74" s="88"/>
      <c r="E74" s="88"/>
      <c r="F74" s="88">
        <v>10000</v>
      </c>
      <c r="G74" s="96"/>
      <c r="H74" s="97"/>
    </row>
    <row r="75" spans="1:8" s="92" customFormat="1" ht="18.75">
      <c r="A75" s="89"/>
      <c r="B75" s="90"/>
      <c r="C75" s="373" t="s">
        <v>64</v>
      </c>
      <c r="D75" s="88">
        <v>60000</v>
      </c>
      <c r="E75" s="88"/>
      <c r="F75" s="88"/>
      <c r="G75" s="96"/>
      <c r="H75" s="97"/>
    </row>
    <row r="76" spans="1:8" s="92" customFormat="1" ht="18.75">
      <c r="A76" s="166" t="s">
        <v>127</v>
      </c>
      <c r="B76" s="83" t="s">
        <v>128</v>
      </c>
      <c r="C76" s="83" t="s">
        <v>118</v>
      </c>
      <c r="D76" s="84"/>
      <c r="E76" s="84"/>
      <c r="F76" s="84">
        <v>37024.48</v>
      </c>
      <c r="G76" s="96"/>
      <c r="H76" s="97"/>
    </row>
    <row r="77" spans="1:7" ht="18.75">
      <c r="A77" s="83" t="s">
        <v>59</v>
      </c>
      <c r="B77" s="121" t="s">
        <v>65</v>
      </c>
      <c r="C77" s="83"/>
      <c r="D77" s="84">
        <f>SUM(D78:D79)</f>
        <v>0</v>
      </c>
      <c r="E77" s="84"/>
      <c r="F77" s="84">
        <f>SUM(F78:F79)</f>
        <v>494285.81999999995</v>
      </c>
      <c r="G77" s="84"/>
    </row>
    <row r="78" spans="1:7" ht="18.75">
      <c r="A78" s="89"/>
      <c r="B78" s="373"/>
      <c r="C78" s="87" t="s">
        <v>132</v>
      </c>
      <c r="D78" s="88"/>
      <c r="E78" s="88"/>
      <c r="F78" s="88">
        <f>9000+5278.29</f>
        <v>14278.29</v>
      </c>
      <c r="G78" s="88"/>
    </row>
    <row r="79" spans="1:7" ht="18.75">
      <c r="A79" s="89"/>
      <c r="B79" s="90"/>
      <c r="C79" s="373" t="s">
        <v>66</v>
      </c>
      <c r="D79" s="88"/>
      <c r="E79" s="88"/>
      <c r="F79" s="88">
        <f>1149.61+359457.92+119400</f>
        <v>480007.52999999997</v>
      </c>
      <c r="G79" s="88"/>
    </row>
    <row r="80" spans="1:8" s="92" customFormat="1" ht="18.75">
      <c r="A80" s="166" t="s">
        <v>436</v>
      </c>
      <c r="B80" s="83"/>
      <c r="C80" s="86"/>
      <c r="D80" s="84">
        <f>D81</f>
        <v>0</v>
      </c>
      <c r="E80" s="84"/>
      <c r="F80" s="84">
        <f>F81</f>
        <v>15000</v>
      </c>
      <c r="G80" s="84"/>
      <c r="H80" s="97"/>
    </row>
    <row r="81" spans="1:7" ht="18.75">
      <c r="A81" s="89"/>
      <c r="B81" s="167" t="s">
        <v>49</v>
      </c>
      <c r="C81" s="91"/>
      <c r="D81" s="88">
        <f>SUM(D82:D83)</f>
        <v>0</v>
      </c>
      <c r="E81" s="88"/>
      <c r="F81" s="88">
        <f>SUM(F82:F83)</f>
        <v>15000</v>
      </c>
      <c r="G81" s="88"/>
    </row>
    <row r="82" spans="1:7" ht="18.75">
      <c r="A82" s="89"/>
      <c r="B82" s="90"/>
      <c r="C82" s="87" t="s">
        <v>179</v>
      </c>
      <c r="D82" s="88"/>
      <c r="E82" s="88"/>
      <c r="F82" s="88">
        <f>15000-200</f>
        <v>14800</v>
      </c>
      <c r="G82" s="88"/>
    </row>
    <row r="83" spans="1:8" s="92" customFormat="1" ht="18.75">
      <c r="A83" s="89"/>
      <c r="B83" s="99"/>
      <c r="C83" s="87" t="s">
        <v>64</v>
      </c>
      <c r="D83" s="88"/>
      <c r="E83" s="88"/>
      <c r="F83" s="88">
        <v>200</v>
      </c>
      <c r="G83" s="88"/>
      <c r="H83" s="97"/>
    </row>
    <row r="84" spans="1:8" s="92" customFormat="1" ht="18.75">
      <c r="A84" s="85" t="s">
        <v>199</v>
      </c>
      <c r="B84" s="794" t="s">
        <v>200</v>
      </c>
      <c r="C84" s="83"/>
      <c r="D84" s="84">
        <f>SUM(D85:D87)</f>
        <v>0</v>
      </c>
      <c r="E84" s="84"/>
      <c r="F84" s="84">
        <f>SUM(F85:F87)</f>
        <v>291312</v>
      </c>
      <c r="G84" s="84"/>
      <c r="H84" s="97"/>
    </row>
    <row r="85" spans="1:7" ht="18.75">
      <c r="A85" s="373"/>
      <c r="B85" s="624"/>
      <c r="C85" s="167" t="s">
        <v>201</v>
      </c>
      <c r="D85" s="88"/>
      <c r="E85" s="88"/>
      <c r="F85" s="88">
        <f>270130-32488</f>
        <v>237642</v>
      </c>
      <c r="G85" s="88"/>
    </row>
    <row r="86" spans="1:7" ht="18.75">
      <c r="A86" s="90"/>
      <c r="B86" s="374"/>
      <c r="C86" s="167" t="s">
        <v>661</v>
      </c>
      <c r="D86" s="98"/>
      <c r="E86" s="98"/>
      <c r="F86" s="98">
        <v>47670</v>
      </c>
      <c r="G86" s="98"/>
    </row>
    <row r="87" spans="1:7" ht="18.75">
      <c r="A87" s="90"/>
      <c r="B87" s="90"/>
      <c r="C87" s="167" t="s">
        <v>202</v>
      </c>
      <c r="D87" s="98"/>
      <c r="E87" s="98"/>
      <c r="F87" s="98">
        <v>6000</v>
      </c>
      <c r="G87" s="98"/>
    </row>
    <row r="88" spans="1:8" s="34" customFormat="1" ht="19.5" customHeight="1">
      <c r="A88" s="164" t="s">
        <v>84</v>
      </c>
      <c r="B88" s="165"/>
      <c r="C88" s="86"/>
      <c r="D88" s="100">
        <f>D71+D76+D77+D80+D84</f>
        <v>523000</v>
      </c>
      <c r="E88" s="100">
        <f>E71+E76+E77+E80+E84</f>
        <v>0</v>
      </c>
      <c r="F88" s="100">
        <f>F71+F76+F77+F80+F84</f>
        <v>947622.2999999999</v>
      </c>
      <c r="G88" s="100">
        <f>G71+G76+G77+G80+G84</f>
        <v>0</v>
      </c>
      <c r="H88" s="95"/>
    </row>
    <row r="89" spans="1:7" s="34" customFormat="1" ht="19.5" customHeight="1">
      <c r="A89" s="93"/>
      <c r="B89" s="94"/>
      <c r="C89" s="94"/>
      <c r="D89" s="95"/>
      <c r="E89" s="95"/>
      <c r="F89" s="95"/>
      <c r="G89" s="95"/>
    </row>
    <row r="90" spans="1:7" s="34" customFormat="1" ht="19.5" customHeight="1">
      <c r="A90" s="93"/>
      <c r="B90" s="94"/>
      <c r="C90" s="94"/>
      <c r="D90" s="95"/>
      <c r="E90" s="95"/>
      <c r="F90" s="95"/>
      <c r="G90" s="95"/>
    </row>
    <row r="91" spans="1:8" ht="19.5">
      <c r="A91" s="66" t="s">
        <v>439</v>
      </c>
      <c r="B91" s="67"/>
      <c r="C91" s="68"/>
      <c r="D91" s="69"/>
      <c r="E91" s="69"/>
      <c r="F91" s="70"/>
      <c r="G91" s="70"/>
      <c r="H91" s="71"/>
    </row>
    <row r="92" spans="1:8" ht="19.5">
      <c r="A92" s="66"/>
      <c r="B92" s="67"/>
      <c r="C92" s="68"/>
      <c r="D92" s="69"/>
      <c r="E92" s="69"/>
      <c r="F92" s="70"/>
      <c r="G92" s="70"/>
      <c r="H92" s="71"/>
    </row>
    <row r="93" spans="1:8" ht="19.5">
      <c r="A93" s="66"/>
      <c r="B93" s="67"/>
      <c r="C93" s="68"/>
      <c r="D93" s="69"/>
      <c r="E93" s="69"/>
      <c r="F93" s="70"/>
      <c r="G93" s="70"/>
      <c r="H93" s="71"/>
    </row>
    <row r="94" spans="1:7" ht="18.75">
      <c r="A94" s="75" t="s">
        <v>462</v>
      </c>
      <c r="B94" s="76"/>
      <c r="C94" s="77"/>
      <c r="D94" s="65"/>
      <c r="E94" s="65"/>
      <c r="F94" s="74"/>
      <c r="G94" s="74"/>
    </row>
    <row r="95" spans="1:7" ht="18.75">
      <c r="A95" s="72"/>
      <c r="B95" s="72"/>
      <c r="C95" s="72"/>
      <c r="D95" s="65"/>
      <c r="E95" s="65"/>
      <c r="F95" s="74"/>
      <c r="G95" s="74"/>
    </row>
    <row r="96" spans="1:7" ht="18.75">
      <c r="A96" s="78"/>
      <c r="B96" s="78"/>
      <c r="C96" s="79"/>
      <c r="D96" s="10" t="s">
        <v>101</v>
      </c>
      <c r="E96" s="11"/>
      <c r="F96" s="10" t="s">
        <v>102</v>
      </c>
      <c r="G96" s="11"/>
    </row>
    <row r="97" spans="1:7" ht="15" customHeight="1">
      <c r="A97" s="80"/>
      <c r="B97" s="80"/>
      <c r="C97" s="81"/>
      <c r="D97" s="12" t="s">
        <v>75</v>
      </c>
      <c r="E97" s="11" t="s">
        <v>74</v>
      </c>
      <c r="F97" s="12" t="s">
        <v>75</v>
      </c>
      <c r="G97" s="11" t="s">
        <v>74</v>
      </c>
    </row>
    <row r="98" spans="1:7" ht="21">
      <c r="A98" s="82" t="s">
        <v>77</v>
      </c>
      <c r="B98" s="82" t="s">
        <v>83</v>
      </c>
      <c r="C98" s="82" t="s">
        <v>78</v>
      </c>
      <c r="D98" s="13" t="s">
        <v>79</v>
      </c>
      <c r="E98" s="14" t="s">
        <v>80</v>
      </c>
      <c r="F98" s="13" t="s">
        <v>79</v>
      </c>
      <c r="G98" s="14" t="s">
        <v>80</v>
      </c>
    </row>
    <row r="99" spans="1:8" s="92" customFormat="1" ht="18.75">
      <c r="A99" s="83" t="s">
        <v>436</v>
      </c>
      <c r="B99" s="167" t="s">
        <v>50</v>
      </c>
      <c r="C99" s="624" t="s">
        <v>64</v>
      </c>
      <c r="D99" s="84"/>
      <c r="E99" s="84"/>
      <c r="F99" s="84">
        <v>3500</v>
      </c>
      <c r="G99" s="84"/>
      <c r="H99" s="97"/>
    </row>
    <row r="100" spans="1:8" s="92" customFormat="1" ht="18.75">
      <c r="A100" s="83" t="s">
        <v>523</v>
      </c>
      <c r="B100" s="86" t="s">
        <v>452</v>
      </c>
      <c r="C100" s="86" t="s">
        <v>453</v>
      </c>
      <c r="D100" s="84"/>
      <c r="E100" s="84"/>
      <c r="F100" s="84">
        <v>32390</v>
      </c>
      <c r="G100" s="96"/>
      <c r="H100" s="97"/>
    </row>
    <row r="101" spans="1:8" s="34" customFormat="1" ht="19.5" customHeight="1">
      <c r="A101" s="164" t="s">
        <v>84</v>
      </c>
      <c r="B101" s="165"/>
      <c r="C101" s="86"/>
      <c r="D101" s="100">
        <f>D99+D100</f>
        <v>0</v>
      </c>
      <c r="E101" s="100">
        <f>E99+E100</f>
        <v>0</v>
      </c>
      <c r="F101" s="100">
        <f>F99+F100</f>
        <v>35890</v>
      </c>
      <c r="G101" s="100">
        <f>G99+G100</f>
        <v>0</v>
      </c>
      <c r="H101" s="95"/>
    </row>
    <row r="102" spans="1:7" s="34" customFormat="1" ht="19.5" customHeight="1">
      <c r="A102" s="93"/>
      <c r="B102" s="94"/>
      <c r="C102" s="94"/>
      <c r="D102" s="95"/>
      <c r="E102" s="95"/>
      <c r="F102" s="95"/>
      <c r="G102" s="95"/>
    </row>
    <row r="103" spans="1:7" s="34" customFormat="1" ht="19.5" customHeight="1">
      <c r="A103" s="93"/>
      <c r="B103" s="94"/>
      <c r="C103" s="94"/>
      <c r="D103" s="95"/>
      <c r="E103" s="95"/>
      <c r="F103" s="95"/>
      <c r="G103" s="95"/>
    </row>
    <row r="104" spans="1:7" s="34" customFormat="1" ht="19.5" customHeight="1">
      <c r="A104" s="28" t="s">
        <v>630</v>
      </c>
      <c r="B104" s="28"/>
      <c r="C104" s="50"/>
      <c r="D104" s="2"/>
      <c r="E104" s="2"/>
      <c r="F104" s="2"/>
      <c r="G104" s="95"/>
    </row>
    <row r="105" spans="1:7" s="34" customFormat="1" ht="19.5" customHeight="1">
      <c r="A105" s="802" t="s">
        <v>629</v>
      </c>
      <c r="B105" s="28"/>
      <c r="C105" s="50"/>
      <c r="D105" s="2"/>
      <c r="E105" s="2"/>
      <c r="F105" s="2"/>
      <c r="G105" s="95"/>
    </row>
    <row r="106" spans="1:7" s="34" customFormat="1" ht="19.5" customHeight="1">
      <c r="A106" s="802" t="s">
        <v>631</v>
      </c>
      <c r="B106" s="28"/>
      <c r="C106" s="50"/>
      <c r="D106" s="2"/>
      <c r="E106" s="2"/>
      <c r="F106" s="2"/>
      <c r="G106" s="95"/>
    </row>
    <row r="107" spans="1:7" s="34" customFormat="1" ht="19.5" customHeight="1">
      <c r="A107" s="802"/>
      <c r="B107" s="28"/>
      <c r="C107" s="50"/>
      <c r="D107" s="2"/>
      <c r="E107" s="2"/>
      <c r="F107" s="2"/>
      <c r="G107" s="95"/>
    </row>
    <row r="108" spans="1:7" s="34" customFormat="1" ht="19.5" customHeight="1">
      <c r="A108" s="66"/>
      <c r="B108" s="28"/>
      <c r="C108" s="50"/>
      <c r="D108" s="2"/>
      <c r="E108" s="2"/>
      <c r="F108" s="2"/>
      <c r="G108" s="95"/>
    </row>
    <row r="109" spans="1:7" s="34" customFormat="1" ht="19.5" customHeight="1">
      <c r="A109" s="66" t="s">
        <v>427</v>
      </c>
      <c r="B109" s="28"/>
      <c r="C109" s="50"/>
      <c r="D109" s="2"/>
      <c r="E109" s="2"/>
      <c r="F109" s="2"/>
      <c r="G109" s="95"/>
    </row>
    <row r="110" spans="1:8" s="34" customFormat="1" ht="19.5" customHeight="1">
      <c r="A110" s="66"/>
      <c r="B110" s="28"/>
      <c r="C110" s="50"/>
      <c r="D110" s="2"/>
      <c r="E110" s="2"/>
      <c r="F110" s="4"/>
      <c r="G110" s="95"/>
      <c r="H110" s="805"/>
    </row>
    <row r="111" spans="1:8" s="34" customFormat="1" ht="19.5" customHeight="1">
      <c r="A111" s="28" t="s">
        <v>454</v>
      </c>
      <c r="B111" s="28"/>
      <c r="C111" s="50"/>
      <c r="D111" s="2"/>
      <c r="E111" s="2"/>
      <c r="F111" s="4"/>
      <c r="G111" s="95"/>
      <c r="H111" s="805">
        <f>H113</f>
        <v>32390</v>
      </c>
    </row>
    <row r="112" spans="1:8" s="34" customFormat="1" ht="19.5" customHeight="1">
      <c r="A112" s="28" t="s">
        <v>74</v>
      </c>
      <c r="B112" s="28"/>
      <c r="C112" s="50"/>
      <c r="D112" s="2"/>
      <c r="E112" s="2"/>
      <c r="F112" s="4"/>
      <c r="G112" s="95"/>
      <c r="H112" s="805"/>
    </row>
    <row r="113" spans="1:8" s="34" customFormat="1" ht="19.5" customHeight="1">
      <c r="A113" s="28" t="s">
        <v>455</v>
      </c>
      <c r="B113" s="28"/>
      <c r="C113" s="50"/>
      <c r="D113" s="2"/>
      <c r="E113" s="2"/>
      <c r="F113" s="4"/>
      <c r="G113" s="805"/>
      <c r="H113" s="806">
        <v>32390</v>
      </c>
    </row>
    <row r="114" spans="1:8" s="34" customFormat="1" ht="15" customHeight="1">
      <c r="A114" s="28"/>
      <c r="B114" s="28"/>
      <c r="C114" s="50"/>
      <c r="D114" s="2"/>
      <c r="E114" s="2"/>
      <c r="F114" s="4"/>
      <c r="G114" s="805"/>
      <c r="H114" s="805"/>
    </row>
    <row r="115" spans="1:8" s="34" customFormat="1" ht="14.25" customHeight="1">
      <c r="A115" s="28"/>
      <c r="B115" s="28"/>
      <c r="C115" s="50"/>
      <c r="D115" s="2"/>
      <c r="E115" s="2"/>
      <c r="F115" s="4"/>
      <c r="G115" s="805"/>
      <c r="H115" s="805"/>
    </row>
    <row r="116" spans="1:8" s="34" customFormat="1" ht="19.5" customHeight="1">
      <c r="A116" s="28" t="s">
        <v>85</v>
      </c>
      <c r="B116" s="28"/>
      <c r="C116" s="50"/>
      <c r="D116" s="2"/>
      <c r="E116" s="2"/>
      <c r="F116" s="4"/>
      <c r="G116" s="805"/>
      <c r="H116" s="805">
        <f>H118</f>
        <v>32390</v>
      </c>
    </row>
    <row r="117" spans="1:8" s="34" customFormat="1" ht="19.5" customHeight="1">
      <c r="A117" s="28" t="s">
        <v>74</v>
      </c>
      <c r="B117" s="28"/>
      <c r="C117" s="50"/>
      <c r="D117" s="2"/>
      <c r="E117" s="2"/>
      <c r="F117" s="4"/>
      <c r="G117" s="805"/>
      <c r="H117" s="805"/>
    </row>
    <row r="118" spans="1:8" s="34" customFormat="1" ht="19.5" customHeight="1">
      <c r="A118" s="28" t="s">
        <v>456</v>
      </c>
      <c r="B118" s="28"/>
      <c r="C118" s="50"/>
      <c r="D118" s="2"/>
      <c r="E118" s="2"/>
      <c r="F118" s="4"/>
      <c r="G118" s="805"/>
      <c r="H118" s="806">
        <v>32390</v>
      </c>
    </row>
    <row r="119" spans="1:8" s="34" customFormat="1" ht="19.5" customHeight="1">
      <c r="A119" s="93"/>
      <c r="B119" s="94"/>
      <c r="C119" s="94"/>
      <c r="D119" s="95"/>
      <c r="E119" s="95"/>
      <c r="F119" s="95"/>
      <c r="G119" s="95"/>
      <c r="H119" s="805"/>
    </row>
    <row r="120" spans="1:7" s="34" customFormat="1" ht="19.5" customHeight="1">
      <c r="A120" s="93"/>
      <c r="B120" s="94"/>
      <c r="C120" s="94"/>
      <c r="D120" s="95"/>
      <c r="E120" s="95"/>
      <c r="F120" s="95"/>
      <c r="G120" s="95"/>
    </row>
    <row r="121" spans="1:8" s="28" customFormat="1" ht="15.75">
      <c r="A121" s="53" t="s">
        <v>632</v>
      </c>
      <c r="B121" s="102"/>
      <c r="C121" s="103"/>
      <c r="H121" s="1"/>
    </row>
    <row r="122" spans="1:15" ht="15.75">
      <c r="A122" s="101"/>
      <c r="B122" s="101"/>
      <c r="C122" s="101"/>
      <c r="D122" s="28"/>
      <c r="E122" s="28"/>
      <c r="F122" s="28"/>
      <c r="G122" s="28"/>
      <c r="H122" s="1"/>
      <c r="I122" s="104"/>
      <c r="J122" s="104"/>
      <c r="K122" s="104"/>
      <c r="L122" s="104"/>
      <c r="M122" s="104"/>
      <c r="N122" s="104"/>
      <c r="O122" s="104"/>
    </row>
    <row r="123" spans="1:15" ht="18.75">
      <c r="A123" s="53"/>
      <c r="B123" s="102"/>
      <c r="C123" s="103"/>
      <c r="D123" s="16"/>
      <c r="E123" s="16"/>
      <c r="F123" s="16"/>
      <c r="G123" s="16"/>
      <c r="H123" s="17"/>
      <c r="I123" s="104"/>
      <c r="J123" s="104"/>
      <c r="K123" s="104"/>
      <c r="L123" s="104"/>
      <c r="M123" s="104"/>
      <c r="N123" s="104"/>
      <c r="O123" s="104"/>
    </row>
    <row r="124" spans="1:15" ht="15.75">
      <c r="A124" s="53"/>
      <c r="B124" s="105" t="s">
        <v>103</v>
      </c>
      <c r="C124" s="106"/>
      <c r="D124" s="16"/>
      <c r="E124" s="16"/>
      <c r="F124" s="16"/>
      <c r="G124" s="16"/>
      <c r="H124" s="107">
        <f>H127+H149</f>
        <v>408097083.5</v>
      </c>
      <c r="I124" s="104"/>
      <c r="J124" s="104"/>
      <c r="K124" s="104"/>
      <c r="L124" s="104"/>
      <c r="M124" s="104"/>
      <c r="N124" s="104"/>
      <c r="O124" s="104"/>
    </row>
    <row r="125" spans="1:15" ht="15.75">
      <c r="A125" s="53"/>
      <c r="B125" s="105" t="s">
        <v>100</v>
      </c>
      <c r="C125" s="106"/>
      <c r="D125" s="16"/>
      <c r="E125" s="16"/>
      <c r="F125" s="16"/>
      <c r="G125" s="16"/>
      <c r="H125" s="107">
        <f>H128+H150</f>
        <v>408557595.79999995</v>
      </c>
      <c r="I125" s="104"/>
      <c r="J125" s="104"/>
      <c r="K125" s="104"/>
      <c r="L125" s="104"/>
      <c r="M125" s="104"/>
      <c r="N125" s="104"/>
      <c r="O125" s="104"/>
    </row>
    <row r="126" spans="1:15" ht="15.75">
      <c r="A126" s="53"/>
      <c r="B126" s="108" t="s">
        <v>95</v>
      </c>
      <c r="C126" s="103"/>
      <c r="D126" s="16"/>
      <c r="E126" s="16"/>
      <c r="F126" s="16"/>
      <c r="G126" s="16"/>
      <c r="H126" s="107"/>
      <c r="I126" s="104"/>
      <c r="J126" s="104"/>
      <c r="K126" s="104"/>
      <c r="L126" s="104"/>
      <c r="M126" s="104"/>
      <c r="N126" s="104"/>
      <c r="O126" s="104"/>
    </row>
    <row r="127" spans="1:15" ht="15.75">
      <c r="A127" s="110" t="s">
        <v>104</v>
      </c>
      <c r="B127" s="110"/>
      <c r="C127" s="110"/>
      <c r="D127" s="69"/>
      <c r="E127" s="65"/>
      <c r="F127" s="65"/>
      <c r="G127" s="16"/>
      <c r="H127" s="107">
        <f>H130+H140</f>
        <v>278899990.28</v>
      </c>
      <c r="I127" s="104"/>
      <c r="J127" s="104"/>
      <c r="K127" s="104"/>
      <c r="L127" s="104"/>
      <c r="M127" s="104"/>
      <c r="N127" s="104"/>
      <c r="O127" s="104"/>
    </row>
    <row r="128" spans="1:15" ht="15.75">
      <c r="A128" s="110"/>
      <c r="B128" s="111" t="s">
        <v>100</v>
      </c>
      <c r="C128" s="110"/>
      <c r="D128" s="69"/>
      <c r="E128" s="65"/>
      <c r="F128" s="65"/>
      <c r="G128" s="16"/>
      <c r="H128" s="107">
        <f>H131+H141</f>
        <v>279157788.09999996</v>
      </c>
      <c r="I128" s="104"/>
      <c r="J128" s="104">
        <f>H130+H152</f>
        <v>363175559.28</v>
      </c>
      <c r="K128" s="104"/>
      <c r="L128" s="104"/>
      <c r="M128" s="104"/>
      <c r="N128" s="104"/>
      <c r="O128" s="104"/>
    </row>
    <row r="129" spans="1:15" ht="15.75">
      <c r="A129" s="64" t="s">
        <v>75</v>
      </c>
      <c r="B129" s="64" t="s">
        <v>105</v>
      </c>
      <c r="C129" s="64"/>
      <c r="D129" s="65"/>
      <c r="E129" s="65"/>
      <c r="F129" s="65"/>
      <c r="G129" s="16"/>
      <c r="H129" s="107"/>
      <c r="I129" s="104"/>
      <c r="J129" s="104"/>
      <c r="K129" s="104"/>
      <c r="L129" s="104"/>
      <c r="M129" s="104"/>
      <c r="N129" s="104"/>
      <c r="O129" s="104"/>
    </row>
    <row r="130" spans="1:15" ht="15.75">
      <c r="A130" s="112" t="s">
        <v>106</v>
      </c>
      <c r="B130" s="112"/>
      <c r="C130" s="112"/>
      <c r="D130" s="113"/>
      <c r="E130" s="65"/>
      <c r="F130" s="65"/>
      <c r="G130" s="16"/>
      <c r="H130" s="107">
        <v>248654193.2</v>
      </c>
      <c r="I130" s="104"/>
      <c r="J130" s="104"/>
      <c r="K130" s="104">
        <f>H131+H153</f>
        <v>362916154.45</v>
      </c>
      <c r="L130" s="104"/>
      <c r="M130" s="104"/>
      <c r="N130" s="104"/>
      <c r="O130" s="104"/>
    </row>
    <row r="131" spans="1:15" ht="15.75">
      <c r="A131" s="112"/>
      <c r="B131" s="114" t="s">
        <v>100</v>
      </c>
      <c r="C131" s="112"/>
      <c r="D131" s="113"/>
      <c r="E131" s="69"/>
      <c r="F131" s="113"/>
      <c r="G131" s="16"/>
      <c r="H131" s="107">
        <f>H130-D206+D204+F206-F205-F203-F186-F168</f>
        <v>248461473.89</v>
      </c>
      <c r="I131" s="104"/>
      <c r="J131" s="104">
        <f>H130-D206+D204+D168+F206-F205-F203-F186-F168</f>
        <v>248461473.89</v>
      </c>
      <c r="K131" s="104"/>
      <c r="L131" s="104"/>
      <c r="M131" s="104"/>
      <c r="N131" s="104"/>
      <c r="O131" s="104"/>
    </row>
    <row r="132" spans="1:15" ht="15.75">
      <c r="A132" s="112"/>
      <c r="B132" s="620" t="s">
        <v>74</v>
      </c>
      <c r="C132" s="112"/>
      <c r="D132" s="113"/>
      <c r="E132" s="69"/>
      <c r="F132" s="113"/>
      <c r="G132" s="16"/>
      <c r="H132" s="107"/>
      <c r="I132" s="104"/>
      <c r="J132" s="104"/>
      <c r="K132" s="104"/>
      <c r="L132" s="104"/>
      <c r="M132" s="104"/>
      <c r="N132" s="104"/>
      <c r="O132" s="104"/>
    </row>
    <row r="133" spans="1:15" ht="15.75">
      <c r="A133" s="61"/>
      <c r="B133" s="621" t="s">
        <v>48</v>
      </c>
      <c r="C133" s="56"/>
      <c r="D133" s="26"/>
      <c r="E133" s="69"/>
      <c r="F133" s="113"/>
      <c r="G133" s="16"/>
      <c r="H133" s="107"/>
      <c r="I133" s="104"/>
      <c r="J133" s="104"/>
      <c r="K133" s="104"/>
      <c r="L133" s="104"/>
      <c r="M133" s="104"/>
      <c r="N133" s="104"/>
      <c r="O133" s="104"/>
    </row>
    <row r="134" spans="1:15" ht="15.75">
      <c r="A134" s="61"/>
      <c r="B134" s="62" t="s">
        <v>52</v>
      </c>
      <c r="C134" s="56"/>
      <c r="D134" s="26"/>
      <c r="E134" s="69"/>
      <c r="F134" s="113"/>
      <c r="G134" s="16"/>
      <c r="H134" s="107"/>
      <c r="I134" s="104"/>
      <c r="J134" s="104"/>
      <c r="K134" s="104"/>
      <c r="L134" s="104"/>
      <c r="M134" s="104"/>
      <c r="N134" s="104"/>
      <c r="O134" s="104"/>
    </row>
    <row r="135" spans="1:15" ht="15.75">
      <c r="A135" s="61"/>
      <c r="B135" s="62" t="s">
        <v>53</v>
      </c>
      <c r="C135" s="56"/>
      <c r="D135" s="26"/>
      <c r="E135" s="69"/>
      <c r="F135" s="113"/>
      <c r="G135" s="16"/>
      <c r="H135" s="109">
        <v>6838272.14</v>
      </c>
      <c r="I135" s="104"/>
      <c r="J135" s="104"/>
      <c r="K135" s="104"/>
      <c r="L135" s="104"/>
      <c r="M135" s="104"/>
      <c r="N135" s="104"/>
      <c r="O135" s="104"/>
    </row>
    <row r="136" spans="1:15" ht="15.75">
      <c r="A136" s="61"/>
      <c r="B136" s="62" t="s">
        <v>100</v>
      </c>
      <c r="C136" s="56"/>
      <c r="D136" s="26"/>
      <c r="E136" s="69"/>
      <c r="F136" s="113"/>
      <c r="G136" s="16"/>
      <c r="H136" s="109">
        <f>H135-D195-D196-D200+F194+F197+F198+F199+F201+F202</f>
        <v>7021209.899999999</v>
      </c>
      <c r="I136" s="104"/>
      <c r="J136" s="104"/>
      <c r="K136" s="104"/>
      <c r="L136" s="104"/>
      <c r="M136" s="104"/>
      <c r="N136" s="104"/>
      <c r="O136" s="104"/>
    </row>
    <row r="137" spans="1:15" ht="15.75">
      <c r="A137" s="61"/>
      <c r="B137" s="62"/>
      <c r="C137" s="56"/>
      <c r="D137" s="26"/>
      <c r="E137" s="69"/>
      <c r="F137" s="113"/>
      <c r="G137" s="16"/>
      <c r="H137" s="109"/>
      <c r="I137" s="104"/>
      <c r="J137" s="104"/>
      <c r="K137" s="104"/>
      <c r="L137" s="104"/>
      <c r="M137" s="104"/>
      <c r="N137" s="104"/>
      <c r="O137" s="104"/>
    </row>
    <row r="138" spans="1:15" ht="15.75">
      <c r="A138" s="61"/>
      <c r="B138" s="62"/>
      <c r="C138" s="56"/>
      <c r="D138" s="26"/>
      <c r="E138" s="69"/>
      <c r="F138" s="113"/>
      <c r="G138" s="16"/>
      <c r="H138" s="109"/>
      <c r="I138" s="104"/>
      <c r="J138" s="104"/>
      <c r="K138" s="104"/>
      <c r="L138" s="104"/>
      <c r="M138" s="104"/>
      <c r="N138" s="104"/>
      <c r="O138" s="104"/>
    </row>
    <row r="139" spans="1:15" ht="15.75">
      <c r="A139" s="112"/>
      <c r="B139" s="114"/>
      <c r="C139" s="112"/>
      <c r="D139" s="113"/>
      <c r="E139" s="69"/>
      <c r="F139" s="113"/>
      <c r="G139" s="16"/>
      <c r="H139" s="107"/>
      <c r="I139" s="104"/>
      <c r="J139" s="104"/>
      <c r="K139" s="104"/>
      <c r="L139" s="104"/>
      <c r="M139" s="104"/>
      <c r="N139" s="104"/>
      <c r="O139" s="104"/>
    </row>
    <row r="140" spans="1:15" ht="15.75">
      <c r="A140" s="112" t="s">
        <v>107</v>
      </c>
      <c r="B140" s="112"/>
      <c r="C140" s="110"/>
      <c r="D140" s="113"/>
      <c r="E140" s="69"/>
      <c r="F140" s="113"/>
      <c r="G140" s="16"/>
      <c r="H140" s="107">
        <f>29783997.08+461800</f>
        <v>30245797.08</v>
      </c>
      <c r="I140" s="104"/>
      <c r="J140" s="104"/>
      <c r="K140" s="104"/>
      <c r="L140" s="104"/>
      <c r="M140" s="104"/>
      <c r="N140" s="104"/>
      <c r="O140" s="104"/>
    </row>
    <row r="141" spans="1:15" ht="15.75">
      <c r="A141" s="112"/>
      <c r="B141" s="114" t="s">
        <v>100</v>
      </c>
      <c r="C141" s="110"/>
      <c r="D141" s="113"/>
      <c r="E141" s="69"/>
      <c r="F141" s="113"/>
      <c r="G141" s="16"/>
      <c r="H141" s="107">
        <f>H140-D204+F205+F203+F186+F168</f>
        <v>30696314.21</v>
      </c>
      <c r="I141" s="104"/>
      <c r="J141" s="104"/>
      <c r="K141" s="104"/>
      <c r="L141" s="104"/>
      <c r="M141" s="104"/>
      <c r="N141" s="104"/>
      <c r="O141" s="104"/>
    </row>
    <row r="142" spans="1:15" ht="15.75">
      <c r="A142" s="112"/>
      <c r="B142" s="620" t="s">
        <v>74</v>
      </c>
      <c r="C142" s="112"/>
      <c r="D142" s="113"/>
      <c r="E142" s="69"/>
      <c r="F142" s="113"/>
      <c r="G142" s="16"/>
      <c r="H142" s="107"/>
      <c r="I142" s="104"/>
      <c r="J142" s="104"/>
      <c r="K142" s="104"/>
      <c r="L142" s="104"/>
      <c r="M142" s="104"/>
      <c r="N142" s="104"/>
      <c r="O142" s="104"/>
    </row>
    <row r="143" spans="1:15" ht="15.75">
      <c r="A143" s="61"/>
      <c r="B143" s="621" t="s">
        <v>48</v>
      </c>
      <c r="C143" s="56"/>
      <c r="D143" s="26"/>
      <c r="E143" s="69"/>
      <c r="F143" s="113"/>
      <c r="G143" s="16"/>
      <c r="H143" s="107"/>
      <c r="I143" s="104"/>
      <c r="J143" s="104"/>
      <c r="K143" s="104"/>
      <c r="L143" s="104"/>
      <c r="M143" s="104"/>
      <c r="N143" s="104"/>
      <c r="O143" s="104"/>
    </row>
    <row r="144" spans="1:15" ht="15.75">
      <c r="A144" s="61"/>
      <c r="B144" s="62" t="s">
        <v>52</v>
      </c>
      <c r="C144" s="56"/>
      <c r="D144" s="26"/>
      <c r="E144" s="69"/>
      <c r="F144" s="113"/>
      <c r="G144" s="16"/>
      <c r="H144" s="107"/>
      <c r="I144" s="104"/>
      <c r="J144" s="104"/>
      <c r="K144" s="104"/>
      <c r="L144" s="104"/>
      <c r="M144" s="104"/>
      <c r="N144" s="104"/>
      <c r="O144" s="104"/>
    </row>
    <row r="145" spans="1:15" ht="15.75">
      <c r="A145" s="61"/>
      <c r="B145" s="62" t="s">
        <v>53</v>
      </c>
      <c r="C145" s="56"/>
      <c r="D145" s="26"/>
      <c r="E145" s="69"/>
      <c r="F145" s="113"/>
      <c r="G145" s="16"/>
      <c r="H145" s="109">
        <v>2815960</v>
      </c>
      <c r="I145" s="104"/>
      <c r="J145" s="104"/>
      <c r="K145" s="104"/>
      <c r="L145" s="104"/>
      <c r="M145" s="104"/>
      <c r="N145" s="104"/>
      <c r="O145" s="104"/>
    </row>
    <row r="146" spans="1:15" ht="15.75">
      <c r="A146" s="61"/>
      <c r="B146" s="62" t="s">
        <v>100</v>
      </c>
      <c r="C146" s="56"/>
      <c r="D146" s="26"/>
      <c r="E146" s="69"/>
      <c r="F146" s="113"/>
      <c r="G146" s="16"/>
      <c r="H146" s="109">
        <f>H145-D204+F203</f>
        <v>2821960</v>
      </c>
      <c r="I146" s="104"/>
      <c r="J146" s="104"/>
      <c r="K146" s="104"/>
      <c r="L146" s="104"/>
      <c r="M146" s="104"/>
      <c r="N146" s="104"/>
      <c r="O146" s="104"/>
    </row>
    <row r="147" spans="1:15" ht="15.75">
      <c r="A147" s="61"/>
      <c r="B147" s="62"/>
      <c r="C147" s="56"/>
      <c r="D147" s="26"/>
      <c r="E147" s="69"/>
      <c r="F147" s="113"/>
      <c r="G147" s="16"/>
      <c r="H147" s="109"/>
      <c r="I147" s="104"/>
      <c r="J147" s="104"/>
      <c r="K147" s="104"/>
      <c r="L147" s="104"/>
      <c r="M147" s="104"/>
      <c r="N147" s="104"/>
      <c r="O147" s="104"/>
    </row>
    <row r="148" spans="1:15" ht="15.75">
      <c r="A148" s="112"/>
      <c r="B148" s="114"/>
      <c r="C148" s="110"/>
      <c r="D148" s="113"/>
      <c r="E148" s="69"/>
      <c r="F148" s="113"/>
      <c r="G148" s="16"/>
      <c r="H148" s="107"/>
      <c r="I148" s="104"/>
      <c r="J148" s="104"/>
      <c r="K148" s="104"/>
      <c r="L148" s="104"/>
      <c r="M148" s="104"/>
      <c r="N148" s="104"/>
      <c r="O148" s="104"/>
    </row>
    <row r="149" spans="1:15" ht="15.75">
      <c r="A149" s="110" t="s">
        <v>108</v>
      </c>
      <c r="B149" s="110"/>
      <c r="C149" s="110"/>
      <c r="D149" s="69"/>
      <c r="E149" s="69"/>
      <c r="F149" s="113"/>
      <c r="G149" s="16"/>
      <c r="H149" s="107">
        <f>H152+H156</f>
        <v>129197093.22</v>
      </c>
      <c r="I149" s="104"/>
      <c r="J149" s="104"/>
      <c r="K149" s="104"/>
      <c r="L149" s="104"/>
      <c r="M149" s="104"/>
      <c r="N149" s="104"/>
      <c r="O149" s="104"/>
    </row>
    <row r="150" spans="1:8" ht="15.75">
      <c r="A150" s="110"/>
      <c r="B150" s="111" t="s">
        <v>100</v>
      </c>
      <c r="C150" s="110"/>
      <c r="D150" s="69"/>
      <c r="E150" s="69"/>
      <c r="F150" s="113"/>
      <c r="H150" s="57">
        <f>H153+H157</f>
        <v>129399807.7</v>
      </c>
    </row>
    <row r="151" spans="1:8" ht="15.75">
      <c r="A151" s="64" t="s">
        <v>75</v>
      </c>
      <c r="B151" s="64" t="s">
        <v>105</v>
      </c>
      <c r="C151" s="64"/>
      <c r="D151" s="65"/>
      <c r="E151" s="69"/>
      <c r="F151" s="113"/>
      <c r="H151" s="57"/>
    </row>
    <row r="152" spans="1:15" ht="15.75">
      <c r="A152" s="112" t="s">
        <v>106</v>
      </c>
      <c r="B152" s="112"/>
      <c r="C152" s="112"/>
      <c r="D152" s="113"/>
      <c r="E152" s="69"/>
      <c r="F152" s="113"/>
      <c r="G152" s="16"/>
      <c r="H152" s="107">
        <v>114521366.08</v>
      </c>
      <c r="I152" s="104"/>
      <c r="J152" s="104"/>
      <c r="K152" s="104"/>
      <c r="L152" s="104"/>
      <c r="M152" s="104"/>
      <c r="N152" s="104"/>
      <c r="O152" s="104"/>
    </row>
    <row r="153" spans="1:15" ht="15.75">
      <c r="A153" s="112"/>
      <c r="B153" s="114" t="s">
        <v>100</v>
      </c>
      <c r="C153" s="112"/>
      <c r="D153" s="113"/>
      <c r="E153" s="69"/>
      <c r="F153" s="113"/>
      <c r="G153" s="16"/>
      <c r="H153" s="107">
        <f>H152-D244+F244-F221-F218</f>
        <v>114454680.56</v>
      </c>
      <c r="I153" s="104"/>
      <c r="J153" s="104"/>
      <c r="K153" s="104"/>
      <c r="L153" s="104"/>
      <c r="M153" s="104"/>
      <c r="N153" s="104"/>
      <c r="O153" s="104"/>
    </row>
    <row r="154" spans="1:15" ht="15.75">
      <c r="A154" s="112"/>
      <c r="B154" s="114"/>
      <c r="C154" s="112"/>
      <c r="D154" s="113"/>
      <c r="E154" s="69"/>
      <c r="F154" s="113"/>
      <c r="G154" s="16"/>
      <c r="H154" s="107"/>
      <c r="I154" s="104"/>
      <c r="J154" s="104"/>
      <c r="K154" s="104"/>
      <c r="L154" s="104"/>
      <c r="M154" s="104"/>
      <c r="N154" s="104"/>
      <c r="O154" s="104"/>
    </row>
    <row r="155" spans="1:15" ht="15.75">
      <c r="A155" s="112"/>
      <c r="B155" s="62"/>
      <c r="C155" s="56"/>
      <c r="D155" s="26"/>
      <c r="E155" s="69"/>
      <c r="F155" s="113"/>
      <c r="G155" s="16"/>
      <c r="H155" s="107"/>
      <c r="I155" s="104"/>
      <c r="J155" s="104"/>
      <c r="K155" s="104"/>
      <c r="L155" s="104"/>
      <c r="M155" s="104"/>
      <c r="N155" s="104"/>
      <c r="O155" s="104"/>
    </row>
    <row r="156" spans="1:15" ht="15.75">
      <c r="A156" s="112" t="s">
        <v>107</v>
      </c>
      <c r="B156" s="112"/>
      <c r="C156" s="110"/>
      <c r="D156" s="113"/>
      <c r="E156" s="69"/>
      <c r="F156" s="113"/>
      <c r="G156" s="16"/>
      <c r="H156" s="107">
        <v>14675727.14</v>
      </c>
      <c r="I156" s="104"/>
      <c r="J156" s="104"/>
      <c r="K156" s="104"/>
      <c r="L156" s="104"/>
      <c r="M156" s="104"/>
      <c r="N156" s="104"/>
      <c r="O156" s="104"/>
    </row>
    <row r="157" spans="1:15" ht="15.75">
      <c r="A157" s="112"/>
      <c r="B157" s="114" t="s">
        <v>100</v>
      </c>
      <c r="C157" s="110"/>
      <c r="D157" s="113"/>
      <c r="E157" s="69"/>
      <c r="F157" s="113"/>
      <c r="G157" s="16"/>
      <c r="H157" s="107">
        <f>H156+F218+F221</f>
        <v>14945127.14</v>
      </c>
      <c r="I157" s="104"/>
      <c r="J157" s="104"/>
      <c r="K157" s="104"/>
      <c r="L157" s="104"/>
      <c r="M157" s="104"/>
      <c r="N157" s="104"/>
      <c r="O157" s="104"/>
    </row>
    <row r="158" spans="1:15" ht="15.75">
      <c r="A158" s="15"/>
      <c r="B158" s="383"/>
      <c r="C158" s="382"/>
      <c r="D158" s="18"/>
      <c r="E158" s="69"/>
      <c r="F158" s="113"/>
      <c r="G158" s="16"/>
      <c r="H158" s="109"/>
      <c r="I158" s="104"/>
      <c r="J158" s="104"/>
      <c r="K158" s="104"/>
      <c r="L158" s="104"/>
      <c r="M158" s="104"/>
      <c r="N158" s="104"/>
      <c r="O158" s="104"/>
    </row>
    <row r="159" spans="1:15" ht="15.75">
      <c r="A159" s="112"/>
      <c r="B159" s="62"/>
      <c r="C159" s="56"/>
      <c r="D159" s="26"/>
      <c r="E159" s="69"/>
      <c r="F159" s="113"/>
      <c r="G159" s="16"/>
      <c r="H159" s="107"/>
      <c r="I159" s="104"/>
      <c r="J159" s="104"/>
      <c r="K159" s="104"/>
      <c r="L159" s="104"/>
      <c r="M159" s="104"/>
      <c r="N159" s="104"/>
      <c r="O159" s="104"/>
    </row>
    <row r="160" spans="1:15" ht="18.75">
      <c r="A160" s="110"/>
      <c r="B160" s="111"/>
      <c r="C160" s="110"/>
      <c r="D160" s="113"/>
      <c r="E160" s="69"/>
      <c r="F160" s="113"/>
      <c r="G160" s="16"/>
      <c r="H160" s="17"/>
      <c r="I160" s="104"/>
      <c r="J160" s="104"/>
      <c r="K160" s="104"/>
      <c r="L160" s="104"/>
      <c r="M160" s="104"/>
      <c r="N160" s="104"/>
      <c r="O160" s="104"/>
    </row>
    <row r="161" spans="1:15" ht="18.75">
      <c r="A161" s="116" t="s">
        <v>86</v>
      </c>
      <c r="B161" s="117"/>
      <c r="C161" s="118"/>
      <c r="D161" s="18"/>
      <c r="E161" s="18"/>
      <c r="F161" s="18"/>
      <c r="G161" s="18"/>
      <c r="H161" s="21"/>
      <c r="I161" s="16"/>
      <c r="J161" s="16"/>
      <c r="K161" s="16"/>
      <c r="L161" s="16"/>
      <c r="M161" s="16"/>
      <c r="N161" s="16"/>
      <c r="O161" s="16"/>
    </row>
    <row r="162" spans="1:15" ht="18.75">
      <c r="A162" s="116"/>
      <c r="B162" s="117"/>
      <c r="C162" s="118"/>
      <c r="D162" s="18"/>
      <c r="E162" s="18"/>
      <c r="F162" s="18"/>
      <c r="G162" s="18"/>
      <c r="H162" s="21"/>
      <c r="I162" s="16"/>
      <c r="J162" s="16"/>
      <c r="K162" s="16"/>
      <c r="L162" s="16"/>
      <c r="M162" s="16"/>
      <c r="N162" s="16"/>
      <c r="O162" s="16"/>
    </row>
    <row r="163" spans="1:15" ht="18.75">
      <c r="A163" s="119" t="s">
        <v>463</v>
      </c>
      <c r="B163" s="119"/>
      <c r="C163" s="120"/>
      <c r="D163" s="19"/>
      <c r="E163" s="19"/>
      <c r="F163" s="19"/>
      <c r="G163" s="19"/>
      <c r="H163" s="17"/>
      <c r="I163" s="16"/>
      <c r="J163" s="16"/>
      <c r="K163" s="16"/>
      <c r="L163" s="16"/>
      <c r="M163" s="16"/>
      <c r="N163" s="16"/>
      <c r="O163" s="16"/>
    </row>
    <row r="164" spans="1:15" ht="18.75">
      <c r="A164" s="119"/>
      <c r="B164" s="119"/>
      <c r="C164" s="120"/>
      <c r="D164" s="19"/>
      <c r="E164" s="19"/>
      <c r="F164" s="19"/>
      <c r="G164" s="19"/>
      <c r="H164" s="17"/>
      <c r="I164" s="16"/>
      <c r="J164" s="16"/>
      <c r="K164" s="16"/>
      <c r="L164" s="16"/>
      <c r="M164" s="16"/>
      <c r="N164" s="16"/>
      <c r="O164" s="16"/>
    </row>
    <row r="165" spans="1:15" ht="18.75">
      <c r="A165" s="78"/>
      <c r="B165" s="78"/>
      <c r="C165" s="79"/>
      <c r="D165" s="10" t="s">
        <v>72</v>
      </c>
      <c r="E165" s="11"/>
      <c r="F165" s="10" t="s">
        <v>73</v>
      </c>
      <c r="G165" s="11"/>
      <c r="H165" s="17"/>
      <c r="I165" s="16"/>
      <c r="J165" s="16"/>
      <c r="K165" s="16"/>
      <c r="L165" s="16"/>
      <c r="M165" s="16"/>
      <c r="N165" s="16"/>
      <c r="O165" s="16"/>
    </row>
    <row r="166" spans="1:15" ht="13.5" customHeight="1">
      <c r="A166" s="80"/>
      <c r="B166" s="80"/>
      <c r="C166" s="81"/>
      <c r="D166" s="12" t="s">
        <v>75</v>
      </c>
      <c r="E166" s="11" t="s">
        <v>74</v>
      </c>
      <c r="F166" s="12" t="s">
        <v>75</v>
      </c>
      <c r="G166" s="11" t="s">
        <v>74</v>
      </c>
      <c r="H166" s="17"/>
      <c r="I166" s="16"/>
      <c r="J166" s="16"/>
      <c r="K166" s="16"/>
      <c r="L166" s="16"/>
      <c r="M166" s="16"/>
      <c r="N166" s="16"/>
      <c r="O166" s="16"/>
    </row>
    <row r="167" spans="1:15" ht="27.75" customHeight="1">
      <c r="A167" s="82" t="s">
        <v>77</v>
      </c>
      <c r="B167" s="82" t="s">
        <v>83</v>
      </c>
      <c r="C167" s="82" t="s">
        <v>78</v>
      </c>
      <c r="D167" s="13" t="s">
        <v>79</v>
      </c>
      <c r="E167" s="14" t="s">
        <v>80</v>
      </c>
      <c r="F167" s="13" t="s">
        <v>79</v>
      </c>
      <c r="G167" s="14" t="s">
        <v>80</v>
      </c>
      <c r="H167" s="17"/>
      <c r="I167" s="16"/>
      <c r="J167" s="16"/>
      <c r="K167" s="16"/>
      <c r="L167" s="16"/>
      <c r="M167" s="16"/>
      <c r="N167" s="16"/>
      <c r="O167" s="16"/>
    </row>
    <row r="168" spans="1:15" s="29" customFormat="1" ht="19.5" customHeight="1">
      <c r="A168" s="85" t="s">
        <v>122</v>
      </c>
      <c r="B168" s="121" t="s">
        <v>123</v>
      </c>
      <c r="C168" s="83" t="s">
        <v>62</v>
      </c>
      <c r="D168" s="84"/>
      <c r="E168" s="84"/>
      <c r="F168" s="84">
        <v>359457.92</v>
      </c>
      <c r="G168" s="84"/>
      <c r="H168" s="107"/>
      <c r="I168" s="122"/>
      <c r="J168" s="122"/>
      <c r="K168" s="122"/>
      <c r="L168" s="122"/>
      <c r="M168" s="122"/>
      <c r="N168" s="122"/>
      <c r="O168" s="122"/>
    </row>
    <row r="169" spans="1:15" s="29" customFormat="1" ht="19.5" customHeight="1">
      <c r="A169" s="83" t="s">
        <v>115</v>
      </c>
      <c r="B169" s="121" t="s">
        <v>116</v>
      </c>
      <c r="C169" s="83"/>
      <c r="D169" s="84">
        <f>SUM(D170:D173)</f>
        <v>438000</v>
      </c>
      <c r="E169" s="84"/>
      <c r="F169" s="84"/>
      <c r="G169" s="84"/>
      <c r="H169" s="107"/>
      <c r="I169" s="122"/>
      <c r="J169" s="122"/>
      <c r="K169" s="122"/>
      <c r="L169" s="122"/>
      <c r="M169" s="122"/>
      <c r="N169" s="122"/>
      <c r="O169" s="122"/>
    </row>
    <row r="170" spans="1:15" s="28" customFormat="1" ht="19.5" customHeight="1">
      <c r="A170" s="89"/>
      <c r="B170" s="373"/>
      <c r="C170" s="87" t="s">
        <v>652</v>
      </c>
      <c r="D170" s="88">
        <v>78000</v>
      </c>
      <c r="E170" s="88"/>
      <c r="F170" s="88"/>
      <c r="G170" s="88"/>
      <c r="H170" s="109"/>
      <c r="I170" s="15"/>
      <c r="J170" s="15"/>
      <c r="K170" s="15"/>
      <c r="L170" s="15"/>
      <c r="M170" s="15"/>
      <c r="N170" s="15"/>
      <c r="O170" s="15"/>
    </row>
    <row r="171" spans="1:15" s="28" customFormat="1" ht="19.5" customHeight="1">
      <c r="A171" s="89"/>
      <c r="B171" s="90"/>
      <c r="C171" s="624" t="s">
        <v>60</v>
      </c>
      <c r="D171" s="88">
        <v>55000</v>
      </c>
      <c r="E171" s="88"/>
      <c r="F171" s="88"/>
      <c r="G171" s="88"/>
      <c r="H171" s="109"/>
      <c r="I171" s="15"/>
      <c r="J171" s="15"/>
      <c r="K171" s="15"/>
      <c r="L171" s="15"/>
      <c r="M171" s="15"/>
      <c r="N171" s="15"/>
      <c r="O171" s="15"/>
    </row>
    <row r="172" spans="1:15" s="28" customFormat="1" ht="19.5" customHeight="1">
      <c r="A172" s="89"/>
      <c r="B172" s="90"/>
      <c r="C172" s="373" t="s">
        <v>117</v>
      </c>
      <c r="D172" s="88">
        <v>280000</v>
      </c>
      <c r="E172" s="88"/>
      <c r="F172" s="88"/>
      <c r="G172" s="88"/>
      <c r="H172" s="109"/>
      <c r="I172" s="15"/>
      <c r="J172" s="15"/>
      <c r="K172" s="15"/>
      <c r="L172" s="15"/>
      <c r="M172" s="15"/>
      <c r="N172" s="15"/>
      <c r="O172" s="15"/>
    </row>
    <row r="173" spans="1:15" s="28" customFormat="1" ht="19.5" customHeight="1">
      <c r="A173" s="89"/>
      <c r="B173" s="90"/>
      <c r="C173" s="624" t="s">
        <v>121</v>
      </c>
      <c r="D173" s="88">
        <v>25000</v>
      </c>
      <c r="E173" s="88"/>
      <c r="F173" s="88"/>
      <c r="G173" s="88"/>
      <c r="H173" s="109"/>
      <c r="I173" s="15"/>
      <c r="J173" s="15"/>
      <c r="K173" s="15"/>
      <c r="L173" s="15"/>
      <c r="M173" s="15"/>
      <c r="N173" s="15"/>
      <c r="O173" s="15"/>
    </row>
    <row r="174" spans="1:15" s="29" customFormat="1" ht="19.5" customHeight="1">
      <c r="A174" s="166" t="s">
        <v>125</v>
      </c>
      <c r="B174" s="83" t="s">
        <v>126</v>
      </c>
      <c r="C174" s="86" t="s">
        <v>60</v>
      </c>
      <c r="D174" s="84"/>
      <c r="E174" s="84"/>
      <c r="F174" s="84">
        <f>9000+5278.29</f>
        <v>14278.29</v>
      </c>
      <c r="G174" s="84"/>
      <c r="H174" s="107"/>
      <c r="I174" s="122"/>
      <c r="J174" s="122"/>
      <c r="K174" s="122"/>
      <c r="L174" s="122"/>
      <c r="M174" s="122"/>
      <c r="N174" s="122"/>
      <c r="O174" s="122"/>
    </row>
    <row r="175" spans="1:15" s="29" customFormat="1" ht="19.5" customHeight="1">
      <c r="A175" s="623" t="s">
        <v>59</v>
      </c>
      <c r="B175" s="83" t="s">
        <v>649</v>
      </c>
      <c r="C175" s="86" t="s">
        <v>650</v>
      </c>
      <c r="D175" s="84"/>
      <c r="E175" s="84"/>
      <c r="F175" s="84">
        <f>102374.24-48909.6-5062.5</f>
        <v>48402.14000000001</v>
      </c>
      <c r="G175" s="84"/>
      <c r="H175" s="107"/>
      <c r="I175" s="122"/>
      <c r="J175" s="122"/>
      <c r="K175" s="122"/>
      <c r="L175" s="122"/>
      <c r="M175" s="122"/>
      <c r="N175" s="122"/>
      <c r="O175" s="122"/>
    </row>
    <row r="176" spans="1:15" s="29" customFormat="1" ht="19.5" customHeight="1">
      <c r="A176" s="166" t="s">
        <v>436</v>
      </c>
      <c r="B176" s="83"/>
      <c r="C176" s="86"/>
      <c r="D176" s="84">
        <f>D177</f>
        <v>12700</v>
      </c>
      <c r="E176" s="84"/>
      <c r="F176" s="84">
        <f>F177</f>
        <v>27700</v>
      </c>
      <c r="G176" s="84"/>
      <c r="H176" s="107"/>
      <c r="I176" s="122"/>
      <c r="J176" s="122"/>
      <c r="K176" s="122"/>
      <c r="L176" s="122"/>
      <c r="M176" s="122"/>
      <c r="N176" s="122"/>
      <c r="O176" s="122"/>
    </row>
    <row r="177" spans="1:15" s="28" customFormat="1" ht="19.5" customHeight="1">
      <c r="A177" s="89"/>
      <c r="B177" s="373" t="s">
        <v>49</v>
      </c>
      <c r="C177" s="91"/>
      <c r="D177" s="88">
        <f>SUM(D178:D186)</f>
        <v>12700</v>
      </c>
      <c r="E177" s="88"/>
      <c r="F177" s="88">
        <f>SUM(F178:F186)</f>
        <v>27700</v>
      </c>
      <c r="G177" s="88"/>
      <c r="H177" s="109"/>
      <c r="I177" s="15"/>
      <c r="J177" s="15"/>
      <c r="K177" s="15"/>
      <c r="L177" s="15"/>
      <c r="M177" s="15"/>
      <c r="N177" s="15"/>
      <c r="O177" s="15"/>
    </row>
    <row r="178" spans="1:15" s="28" customFormat="1" ht="19.5" customHeight="1">
      <c r="A178" s="89"/>
      <c r="B178" s="373"/>
      <c r="C178" s="91" t="s">
        <v>362</v>
      </c>
      <c r="D178" s="88">
        <v>2000</v>
      </c>
      <c r="E178" s="88"/>
      <c r="F178" s="88"/>
      <c r="G178" s="88"/>
      <c r="H178" s="109"/>
      <c r="I178" s="15"/>
      <c r="J178" s="15"/>
      <c r="K178" s="15"/>
      <c r="L178" s="15"/>
      <c r="M178" s="15"/>
      <c r="N178" s="15"/>
      <c r="O178" s="15"/>
    </row>
    <row r="179" spans="1:15" s="28" customFormat="1" ht="19.5" customHeight="1">
      <c r="A179" s="89"/>
      <c r="B179" s="90"/>
      <c r="C179" s="87" t="s">
        <v>183</v>
      </c>
      <c r="D179" s="88"/>
      <c r="E179" s="88"/>
      <c r="F179" s="88">
        <v>3000</v>
      </c>
      <c r="G179" s="88"/>
      <c r="H179" s="109"/>
      <c r="I179" s="15"/>
      <c r="J179" s="15"/>
      <c r="K179" s="15"/>
      <c r="L179" s="15"/>
      <c r="M179" s="15"/>
      <c r="N179" s="15"/>
      <c r="O179" s="15"/>
    </row>
    <row r="180" spans="1:15" s="28" customFormat="1" ht="19.5" customHeight="1">
      <c r="A180" s="89"/>
      <c r="B180" s="90"/>
      <c r="C180" s="87" t="s">
        <v>660</v>
      </c>
      <c r="D180" s="88"/>
      <c r="E180" s="88"/>
      <c r="F180" s="88">
        <v>4000</v>
      </c>
      <c r="G180" s="88"/>
      <c r="H180" s="109"/>
      <c r="I180" s="15"/>
      <c r="J180" s="15"/>
      <c r="K180" s="15"/>
      <c r="L180" s="15"/>
      <c r="M180" s="15"/>
      <c r="N180" s="15"/>
      <c r="O180" s="15"/>
    </row>
    <row r="181" spans="1:15" s="28" customFormat="1" ht="19.5" customHeight="1">
      <c r="A181" s="89"/>
      <c r="B181" s="90"/>
      <c r="C181" s="87" t="s">
        <v>181</v>
      </c>
      <c r="D181" s="88"/>
      <c r="E181" s="88"/>
      <c r="F181" s="88">
        <v>500</v>
      </c>
      <c r="G181" s="88"/>
      <c r="H181" s="109"/>
      <c r="I181" s="15"/>
      <c r="J181" s="15"/>
      <c r="K181" s="15"/>
      <c r="L181" s="15"/>
      <c r="M181" s="15"/>
      <c r="N181" s="15"/>
      <c r="O181" s="15"/>
    </row>
    <row r="182" spans="1:15" s="28" customFormat="1" ht="19.5" customHeight="1">
      <c r="A182" s="89"/>
      <c r="B182" s="90"/>
      <c r="C182" s="87" t="s">
        <v>182</v>
      </c>
      <c r="D182" s="88">
        <f>8000-3000-1000</f>
        <v>4000</v>
      </c>
      <c r="E182" s="88"/>
      <c r="F182" s="88"/>
      <c r="G182" s="88"/>
      <c r="H182" s="109"/>
      <c r="I182" s="15"/>
      <c r="J182" s="15"/>
      <c r="K182" s="15"/>
      <c r="L182" s="15"/>
      <c r="M182" s="15"/>
      <c r="N182" s="15"/>
      <c r="O182" s="15"/>
    </row>
    <row r="183" spans="1:15" s="28" customFormat="1" ht="19.5" customHeight="1">
      <c r="A183" s="89"/>
      <c r="B183" s="90"/>
      <c r="C183" s="87" t="s">
        <v>60</v>
      </c>
      <c r="D183" s="88"/>
      <c r="E183" s="88"/>
      <c r="F183" s="88">
        <v>10000</v>
      </c>
      <c r="G183" s="88"/>
      <c r="H183" s="109"/>
      <c r="I183" s="15"/>
      <c r="J183" s="15"/>
      <c r="K183" s="15"/>
      <c r="L183" s="15"/>
      <c r="M183" s="15"/>
      <c r="N183" s="15"/>
      <c r="O183" s="15"/>
    </row>
    <row r="184" spans="1:15" s="28" customFormat="1" ht="19.5" customHeight="1">
      <c r="A184" s="89"/>
      <c r="B184" s="90"/>
      <c r="C184" s="87" t="s">
        <v>360</v>
      </c>
      <c r="D184" s="88"/>
      <c r="E184" s="88"/>
      <c r="F184" s="88">
        <v>200</v>
      </c>
      <c r="G184" s="88"/>
      <c r="H184" s="109"/>
      <c r="I184" s="15"/>
      <c r="J184" s="15"/>
      <c r="K184" s="15"/>
      <c r="L184" s="15"/>
      <c r="M184" s="15"/>
      <c r="N184" s="15"/>
      <c r="O184" s="15"/>
    </row>
    <row r="185" spans="1:15" s="28" customFormat="1" ht="19.5" customHeight="1">
      <c r="A185" s="89"/>
      <c r="B185" s="90"/>
      <c r="C185" s="87" t="s">
        <v>361</v>
      </c>
      <c r="D185" s="88">
        <v>6700</v>
      </c>
      <c r="E185" s="88"/>
      <c r="F185" s="88"/>
      <c r="G185" s="88"/>
      <c r="H185" s="109"/>
      <c r="I185" s="15"/>
      <c r="J185" s="15"/>
      <c r="K185" s="15"/>
      <c r="L185" s="15"/>
      <c r="M185" s="15"/>
      <c r="N185" s="15"/>
      <c r="O185" s="15"/>
    </row>
    <row r="186" spans="1:15" s="28" customFormat="1" ht="19.5" customHeight="1">
      <c r="A186" s="89"/>
      <c r="B186" s="99"/>
      <c r="C186" s="87" t="s">
        <v>62</v>
      </c>
      <c r="D186" s="88"/>
      <c r="E186" s="88"/>
      <c r="F186" s="88">
        <v>10000</v>
      </c>
      <c r="G186" s="88"/>
      <c r="H186" s="109"/>
      <c r="I186" s="15"/>
      <c r="J186" s="15"/>
      <c r="K186" s="15"/>
      <c r="L186" s="15"/>
      <c r="M186" s="15"/>
      <c r="N186" s="15"/>
      <c r="O186" s="15"/>
    </row>
    <row r="187" spans="1:15" s="29" customFormat="1" ht="19.5" customHeight="1">
      <c r="A187" s="83" t="s">
        <v>459</v>
      </c>
      <c r="B187" s="793" t="s">
        <v>460</v>
      </c>
      <c r="C187" s="86"/>
      <c r="D187" s="84">
        <f>SUM(D188:D189)</f>
        <v>8900</v>
      </c>
      <c r="E187" s="84"/>
      <c r="F187" s="84">
        <f>SUM(F188:F189)</f>
        <v>8900</v>
      </c>
      <c r="G187" s="84"/>
      <c r="H187" s="107"/>
      <c r="I187" s="122"/>
      <c r="J187" s="122"/>
      <c r="K187" s="122"/>
      <c r="L187" s="122"/>
      <c r="M187" s="122"/>
      <c r="N187" s="122"/>
      <c r="O187" s="122"/>
    </row>
    <row r="188" spans="1:15" s="28" customFormat="1" ht="19.5" customHeight="1">
      <c r="A188" s="89"/>
      <c r="B188" s="373"/>
      <c r="C188" s="87" t="s">
        <v>643</v>
      </c>
      <c r="D188" s="88">
        <v>8900</v>
      </c>
      <c r="E188" s="88"/>
      <c r="F188" s="88"/>
      <c r="G188" s="88"/>
      <c r="H188" s="109"/>
      <c r="I188" s="15"/>
      <c r="J188" s="15"/>
      <c r="K188" s="15"/>
      <c r="L188" s="15"/>
      <c r="M188" s="15"/>
      <c r="N188" s="15"/>
      <c r="O188" s="15"/>
    </row>
    <row r="189" spans="1:15" s="28" customFormat="1" ht="19.5" customHeight="1">
      <c r="A189" s="89"/>
      <c r="B189" s="99"/>
      <c r="C189" s="87" t="s">
        <v>60</v>
      </c>
      <c r="D189" s="88"/>
      <c r="E189" s="88"/>
      <c r="F189" s="88">
        <v>8900</v>
      </c>
      <c r="G189" s="88"/>
      <c r="H189" s="109"/>
      <c r="I189" s="15"/>
      <c r="J189" s="15"/>
      <c r="K189" s="15"/>
      <c r="L189" s="15"/>
      <c r="M189" s="15"/>
      <c r="N189" s="15"/>
      <c r="O189" s="15"/>
    </row>
    <row r="190" spans="1:15" s="29" customFormat="1" ht="19.5" customHeight="1">
      <c r="A190" s="85" t="s">
        <v>199</v>
      </c>
      <c r="B190" s="803"/>
      <c r="C190" s="83"/>
      <c r="D190" s="84">
        <f>D191+D192</f>
        <v>56360</v>
      </c>
      <c r="E190" s="84"/>
      <c r="F190" s="84">
        <f>F191+F192</f>
        <v>239960.26</v>
      </c>
      <c r="G190" s="84"/>
      <c r="H190" s="107"/>
      <c r="I190" s="122"/>
      <c r="J190" s="122"/>
      <c r="K190" s="122"/>
      <c r="L190" s="122"/>
      <c r="M190" s="122"/>
      <c r="N190" s="122"/>
      <c r="O190" s="122"/>
    </row>
    <row r="191" spans="1:15" s="28" customFormat="1" ht="19.5" customHeight="1">
      <c r="A191" s="373"/>
      <c r="B191" s="374" t="s">
        <v>112</v>
      </c>
      <c r="C191" s="167" t="s">
        <v>113</v>
      </c>
      <c r="D191" s="88">
        <v>10400</v>
      </c>
      <c r="E191" s="88"/>
      <c r="F191" s="88"/>
      <c r="G191" s="88"/>
      <c r="H191" s="109"/>
      <c r="I191" s="15"/>
      <c r="J191" s="15"/>
      <c r="K191" s="15"/>
      <c r="L191" s="15"/>
      <c r="M191" s="15"/>
      <c r="N191" s="15"/>
      <c r="O191" s="15"/>
    </row>
    <row r="192" spans="1:15" s="28" customFormat="1" ht="19.5" customHeight="1">
      <c r="A192" s="90"/>
      <c r="B192" s="167" t="s">
        <v>200</v>
      </c>
      <c r="C192" s="167"/>
      <c r="D192" s="88">
        <f>SUM(D193:D204)</f>
        <v>45960</v>
      </c>
      <c r="E192" s="88"/>
      <c r="F192" s="88">
        <f>SUM(F193:F204)</f>
        <v>239960.26</v>
      </c>
      <c r="G192" s="88"/>
      <c r="H192" s="109"/>
      <c r="I192" s="15"/>
      <c r="J192" s="15"/>
      <c r="K192" s="15"/>
      <c r="L192" s="15"/>
      <c r="M192" s="15"/>
      <c r="N192" s="15"/>
      <c r="O192" s="15"/>
    </row>
    <row r="193" spans="1:15" s="28" customFormat="1" ht="19.5" customHeight="1">
      <c r="A193" s="90"/>
      <c r="B193" s="374"/>
      <c r="C193" s="167" t="s">
        <v>453</v>
      </c>
      <c r="D193" s="88"/>
      <c r="E193" s="88"/>
      <c r="F193" s="88">
        <v>5062.5</v>
      </c>
      <c r="G193" s="88"/>
      <c r="H193" s="109"/>
      <c r="I193" s="15"/>
      <c r="J193" s="15"/>
      <c r="K193" s="15"/>
      <c r="L193" s="15"/>
      <c r="M193" s="15"/>
      <c r="N193" s="15"/>
      <c r="O193" s="15"/>
    </row>
    <row r="194" spans="1:15" s="28" customFormat="1" ht="19.5" customHeight="1">
      <c r="A194" s="90"/>
      <c r="B194" s="374"/>
      <c r="C194" s="167" t="s">
        <v>442</v>
      </c>
      <c r="D194" s="88"/>
      <c r="E194" s="88"/>
      <c r="F194" s="88">
        <f>13740+7800</f>
        <v>21540</v>
      </c>
      <c r="G194" s="88"/>
      <c r="H194" s="109"/>
      <c r="I194" s="15"/>
      <c r="J194" s="15"/>
      <c r="K194" s="15"/>
      <c r="L194" s="15"/>
      <c r="M194" s="15"/>
      <c r="N194" s="15"/>
      <c r="O194" s="15"/>
    </row>
    <row r="195" spans="1:15" s="28" customFormat="1" ht="19.5" customHeight="1">
      <c r="A195" s="90"/>
      <c r="B195" s="374"/>
      <c r="C195" s="167" t="s">
        <v>646</v>
      </c>
      <c r="D195" s="88">
        <v>1218</v>
      </c>
      <c r="E195" s="88"/>
      <c r="F195" s="88"/>
      <c r="G195" s="88"/>
      <c r="H195" s="109"/>
      <c r="I195" s="15"/>
      <c r="J195" s="15"/>
      <c r="K195" s="15"/>
      <c r="L195" s="15"/>
      <c r="M195" s="15"/>
      <c r="N195" s="15"/>
      <c r="O195" s="15"/>
    </row>
    <row r="196" spans="1:15" s="28" customFormat="1" ht="19.5" customHeight="1">
      <c r="A196" s="90"/>
      <c r="B196" s="374"/>
      <c r="C196" s="167" t="s">
        <v>647</v>
      </c>
      <c r="D196" s="88">
        <f>13740+6820+7182</f>
        <v>27742</v>
      </c>
      <c r="E196" s="88"/>
      <c r="F196" s="88"/>
      <c r="G196" s="88"/>
      <c r="H196" s="109"/>
      <c r="I196" s="15"/>
      <c r="J196" s="15"/>
      <c r="K196" s="15"/>
      <c r="L196" s="15"/>
      <c r="M196" s="15"/>
      <c r="N196" s="15"/>
      <c r="O196" s="15"/>
    </row>
    <row r="197" spans="1:15" s="28" customFormat="1" ht="19.5" customHeight="1">
      <c r="A197" s="90"/>
      <c r="B197" s="374"/>
      <c r="C197" s="167" t="s">
        <v>203</v>
      </c>
      <c r="D197" s="88"/>
      <c r="E197" s="88"/>
      <c r="F197" s="88">
        <f>1924+13692.66</f>
        <v>15616.66</v>
      </c>
      <c r="G197" s="88"/>
      <c r="H197" s="109"/>
      <c r="I197" s="15"/>
      <c r="J197" s="15"/>
      <c r="K197" s="15"/>
      <c r="L197" s="15"/>
      <c r="M197" s="15"/>
      <c r="N197" s="15"/>
      <c r="O197" s="15"/>
    </row>
    <row r="198" spans="1:15" s="28" customFormat="1" ht="19.5" customHeight="1">
      <c r="A198" s="90"/>
      <c r="B198" s="374"/>
      <c r="C198" s="167" t="s">
        <v>662</v>
      </c>
      <c r="D198" s="88"/>
      <c r="E198" s="88"/>
      <c r="F198" s="88">
        <v>2416.35</v>
      </c>
      <c r="G198" s="88"/>
      <c r="H198" s="109"/>
      <c r="I198" s="15"/>
      <c r="J198" s="15"/>
      <c r="K198" s="15"/>
      <c r="L198" s="15"/>
      <c r="M198" s="15"/>
      <c r="N198" s="15"/>
      <c r="O198" s="15"/>
    </row>
    <row r="199" spans="1:15" s="28" customFormat="1" ht="19.5" customHeight="1">
      <c r="A199" s="90"/>
      <c r="B199" s="374"/>
      <c r="C199" s="167" t="s">
        <v>444</v>
      </c>
      <c r="D199" s="88"/>
      <c r="E199" s="88"/>
      <c r="F199" s="88">
        <f>4435+4000</f>
        <v>8435</v>
      </c>
      <c r="G199" s="88"/>
      <c r="H199" s="109"/>
      <c r="I199" s="15"/>
      <c r="J199" s="15"/>
      <c r="K199" s="15"/>
      <c r="L199" s="15"/>
      <c r="M199" s="15"/>
      <c r="N199" s="15"/>
      <c r="O199" s="15"/>
    </row>
    <row r="200" spans="1:15" s="28" customFormat="1" ht="19.5" customHeight="1">
      <c r="A200" s="90"/>
      <c r="B200" s="374"/>
      <c r="C200" s="167" t="s">
        <v>457</v>
      </c>
      <c r="D200" s="88">
        <v>10000</v>
      </c>
      <c r="E200" s="88"/>
      <c r="F200" s="88"/>
      <c r="G200" s="88"/>
      <c r="H200" s="109"/>
      <c r="I200" s="15"/>
      <c r="J200" s="15"/>
      <c r="K200" s="15"/>
      <c r="L200" s="15"/>
      <c r="M200" s="15"/>
      <c r="N200" s="15"/>
      <c r="O200" s="15"/>
    </row>
    <row r="201" spans="1:15" s="28" customFormat="1" ht="19.5" customHeight="1">
      <c r="A201" s="90"/>
      <c r="B201" s="374"/>
      <c r="C201" s="167" t="s">
        <v>648</v>
      </c>
      <c r="D201" s="88"/>
      <c r="E201" s="88"/>
      <c r="F201" s="88">
        <f>169419.24-25427</f>
        <v>143992.24</v>
      </c>
      <c r="G201" s="88"/>
      <c r="H201" s="109"/>
      <c r="I201" s="15"/>
      <c r="J201" s="15"/>
      <c r="K201" s="15"/>
      <c r="L201" s="15"/>
      <c r="M201" s="15"/>
      <c r="N201" s="15"/>
      <c r="O201" s="15"/>
    </row>
    <row r="202" spans="1:15" s="28" customFormat="1" ht="19.5" customHeight="1">
      <c r="A202" s="90"/>
      <c r="B202" s="374"/>
      <c r="C202" s="87" t="s">
        <v>663</v>
      </c>
      <c r="D202" s="88"/>
      <c r="E202" s="98"/>
      <c r="F202" s="88">
        <v>29897.51</v>
      </c>
      <c r="G202" s="88"/>
      <c r="H202" s="109"/>
      <c r="I202" s="15"/>
      <c r="J202" s="15"/>
      <c r="K202" s="15"/>
      <c r="L202" s="15"/>
      <c r="M202" s="15"/>
      <c r="N202" s="15"/>
      <c r="O202" s="15"/>
    </row>
    <row r="203" spans="1:15" s="28" customFormat="1" ht="19.5" customHeight="1">
      <c r="A203" s="90"/>
      <c r="B203" s="374"/>
      <c r="C203" s="87" t="s">
        <v>458</v>
      </c>
      <c r="D203" s="88"/>
      <c r="E203" s="98"/>
      <c r="F203" s="88">
        <v>13000</v>
      </c>
      <c r="G203" s="88"/>
      <c r="H203" s="109"/>
      <c r="I203" s="15"/>
      <c r="J203" s="15"/>
      <c r="K203" s="15"/>
      <c r="L203" s="15"/>
      <c r="M203" s="15"/>
      <c r="N203" s="15"/>
      <c r="O203" s="15"/>
    </row>
    <row r="204" spans="1:15" s="28" customFormat="1" ht="19.5" customHeight="1">
      <c r="A204" s="99"/>
      <c r="B204" s="91"/>
      <c r="C204" s="87" t="s">
        <v>204</v>
      </c>
      <c r="D204" s="88">
        <v>7000</v>
      </c>
      <c r="E204" s="98"/>
      <c r="F204" s="88"/>
      <c r="G204" s="88"/>
      <c r="H204" s="109"/>
      <c r="I204" s="15"/>
      <c r="J204" s="15"/>
      <c r="K204" s="15"/>
      <c r="L204" s="15"/>
      <c r="M204" s="15"/>
      <c r="N204" s="15"/>
      <c r="O204" s="15"/>
    </row>
    <row r="205" spans="1:15" s="29" customFormat="1" ht="19.5" customHeight="1">
      <c r="A205" s="83" t="s">
        <v>61</v>
      </c>
      <c r="B205" s="83" t="s">
        <v>619</v>
      </c>
      <c r="C205" s="844" t="s">
        <v>62</v>
      </c>
      <c r="D205" s="84"/>
      <c r="E205" s="32"/>
      <c r="F205" s="32">
        <f>1149.61+25000+48909.6</f>
        <v>75059.20999999999</v>
      </c>
      <c r="G205" s="84"/>
      <c r="H205" s="107"/>
      <c r="I205" s="122"/>
      <c r="J205" s="122"/>
      <c r="K205" s="122"/>
      <c r="L205" s="122"/>
      <c r="M205" s="122"/>
      <c r="N205" s="122"/>
      <c r="O205" s="122"/>
    </row>
    <row r="206" spans="1:15" s="3" customFormat="1" ht="21.75" customHeight="1">
      <c r="A206" s="625" t="s">
        <v>81</v>
      </c>
      <c r="B206" s="626"/>
      <c r="C206" s="125"/>
      <c r="D206" s="33">
        <f>D168+D169+D174+D175+D176+D187+D190+D205</f>
        <v>515960</v>
      </c>
      <c r="E206" s="33">
        <f>E168+E169+E174+E175+E176+E187+E190+E205</f>
        <v>0</v>
      </c>
      <c r="F206" s="33">
        <f>F168+F169+F174+F175+F176+F187+F190+F205</f>
        <v>773757.82</v>
      </c>
      <c r="G206" s="33">
        <f>G168+G169+G174+G175+G176+G187+G190+G205</f>
        <v>0</v>
      </c>
      <c r="H206" s="20"/>
      <c r="I206" s="25"/>
      <c r="J206" s="25"/>
      <c r="K206" s="25"/>
      <c r="L206" s="25"/>
      <c r="M206" s="25"/>
      <c r="N206" s="25"/>
      <c r="O206" s="25"/>
    </row>
    <row r="207" spans="1:15" s="3" customFormat="1" ht="21.75" customHeight="1">
      <c r="A207" s="126"/>
      <c r="B207" s="127"/>
      <c r="C207" s="128"/>
      <c r="D207" s="27"/>
      <c r="E207" s="27"/>
      <c r="F207" s="27"/>
      <c r="G207" s="27"/>
      <c r="H207" s="20"/>
      <c r="I207" s="25"/>
      <c r="J207" s="25"/>
      <c r="K207" s="25"/>
      <c r="L207" s="25"/>
      <c r="M207" s="25"/>
      <c r="N207" s="25"/>
      <c r="O207" s="25"/>
    </row>
    <row r="208" spans="1:15" s="3" customFormat="1" ht="21.75" customHeight="1">
      <c r="A208" s="126"/>
      <c r="B208" s="127"/>
      <c r="C208" s="128"/>
      <c r="D208" s="27"/>
      <c r="E208" s="27"/>
      <c r="F208" s="27"/>
      <c r="G208" s="27"/>
      <c r="H208" s="20"/>
      <c r="I208" s="25"/>
      <c r="J208" s="25"/>
      <c r="K208" s="25"/>
      <c r="L208" s="25"/>
      <c r="M208" s="25"/>
      <c r="N208" s="25"/>
      <c r="O208" s="25"/>
    </row>
    <row r="209" spans="1:15" ht="18.75">
      <c r="A209" s="116" t="s">
        <v>82</v>
      </c>
      <c r="B209" s="102"/>
      <c r="C209" s="118"/>
      <c r="D209" s="18"/>
      <c r="E209" s="18"/>
      <c r="F209" s="18"/>
      <c r="G209" s="18"/>
      <c r="H209" s="21"/>
      <c r="I209" s="16"/>
      <c r="J209" s="16"/>
      <c r="K209" s="16"/>
      <c r="L209" s="16"/>
      <c r="M209" s="16"/>
      <c r="N209" s="16"/>
      <c r="O209" s="16"/>
    </row>
    <row r="210" spans="1:15" ht="18.75">
      <c r="A210" s="116"/>
      <c r="B210" s="102"/>
      <c r="C210" s="118"/>
      <c r="D210" s="18"/>
      <c r="E210" s="18"/>
      <c r="F210" s="18"/>
      <c r="G210" s="18"/>
      <c r="H210" s="21"/>
      <c r="I210" s="16"/>
      <c r="J210" s="16"/>
      <c r="K210" s="16"/>
      <c r="L210" s="16"/>
      <c r="M210" s="16"/>
      <c r="N210" s="16"/>
      <c r="O210" s="16"/>
    </row>
    <row r="211" spans="1:15" ht="18.75">
      <c r="A211" s="119" t="s">
        <v>633</v>
      </c>
      <c r="B211" s="117"/>
      <c r="C211" s="120"/>
      <c r="D211" s="19"/>
      <c r="E211" s="19"/>
      <c r="F211" s="19"/>
      <c r="G211" s="19"/>
      <c r="H211" s="17"/>
      <c r="I211" s="16"/>
      <c r="J211" s="16"/>
      <c r="K211" s="16"/>
      <c r="L211" s="16"/>
      <c r="M211" s="16"/>
      <c r="N211" s="16"/>
      <c r="O211" s="16"/>
    </row>
    <row r="212" spans="1:15" ht="18.75">
      <c r="A212" s="119"/>
      <c r="B212" s="119"/>
      <c r="C212" s="120"/>
      <c r="D212" s="19"/>
      <c r="E212" s="19"/>
      <c r="F212" s="19"/>
      <c r="G212" s="19"/>
      <c r="H212" s="17"/>
      <c r="I212" s="16"/>
      <c r="J212" s="16"/>
      <c r="K212" s="16"/>
      <c r="L212" s="16"/>
      <c r="M212" s="16"/>
      <c r="N212" s="16"/>
      <c r="O212" s="16"/>
    </row>
    <row r="213" spans="1:15" ht="18.75">
      <c r="A213" s="129"/>
      <c r="B213" s="78"/>
      <c r="C213" s="130"/>
      <c r="D213" s="10" t="s">
        <v>72</v>
      </c>
      <c r="E213" s="11"/>
      <c r="F213" s="10" t="s">
        <v>109</v>
      </c>
      <c r="G213" s="11"/>
      <c r="H213" s="17"/>
      <c r="I213" s="16"/>
      <c r="J213" s="16"/>
      <c r="K213" s="16"/>
      <c r="L213" s="16"/>
      <c r="M213" s="16"/>
      <c r="N213" s="16"/>
      <c r="O213" s="16"/>
    </row>
    <row r="214" spans="1:15" ht="13.5" customHeight="1">
      <c r="A214" s="131"/>
      <c r="B214" s="80"/>
      <c r="C214" s="132"/>
      <c r="D214" s="12" t="s">
        <v>75</v>
      </c>
      <c r="E214" s="11" t="s">
        <v>74</v>
      </c>
      <c r="F214" s="12" t="s">
        <v>75</v>
      </c>
      <c r="G214" s="11" t="s">
        <v>74</v>
      </c>
      <c r="H214" s="17"/>
      <c r="I214" s="16"/>
      <c r="J214" s="16"/>
      <c r="K214" s="16"/>
      <c r="L214" s="16"/>
      <c r="M214" s="16"/>
      <c r="N214" s="16"/>
      <c r="O214" s="16"/>
    </row>
    <row r="215" spans="1:15" ht="27.75" customHeight="1">
      <c r="A215" s="133" t="s">
        <v>77</v>
      </c>
      <c r="B215" s="134" t="s">
        <v>83</v>
      </c>
      <c r="C215" s="135" t="s">
        <v>78</v>
      </c>
      <c r="D215" s="136" t="s">
        <v>79</v>
      </c>
      <c r="E215" s="137" t="s">
        <v>80</v>
      </c>
      <c r="F215" s="136" t="s">
        <v>79</v>
      </c>
      <c r="G215" s="137" t="s">
        <v>80</v>
      </c>
      <c r="H215" s="17"/>
      <c r="I215" s="16"/>
      <c r="J215" s="16"/>
      <c r="K215" s="16"/>
      <c r="L215" s="16"/>
      <c r="M215" s="16"/>
      <c r="N215" s="16"/>
      <c r="O215" s="16"/>
    </row>
    <row r="216" spans="1:7" s="34" customFormat="1" ht="18.75" customHeight="1">
      <c r="A216" s="83" t="s">
        <v>122</v>
      </c>
      <c r="B216" s="83" t="s">
        <v>129</v>
      </c>
      <c r="C216" s="83"/>
      <c r="D216" s="705">
        <f>SUM(D217:D218)</f>
        <v>0</v>
      </c>
      <c r="E216" s="845"/>
      <c r="F216" s="705">
        <f>SUM(F217:F218)</f>
        <v>156424.48</v>
      </c>
      <c r="G216" s="845"/>
    </row>
    <row r="217" spans="1:7" s="375" customFormat="1" ht="18.75" customHeight="1">
      <c r="A217" s="795"/>
      <c r="B217" s="373"/>
      <c r="C217" s="624" t="s">
        <v>60</v>
      </c>
      <c r="D217" s="88"/>
      <c r="E217" s="380"/>
      <c r="F217" s="811">
        <v>37024.48</v>
      </c>
      <c r="G217" s="380"/>
    </row>
    <row r="218" spans="1:7" s="375" customFormat="1" ht="18.75" customHeight="1">
      <c r="A218" s="843"/>
      <c r="B218" s="99"/>
      <c r="C218" s="624" t="s">
        <v>62</v>
      </c>
      <c r="D218" s="88"/>
      <c r="E218" s="380"/>
      <c r="F218" s="811">
        <v>119400</v>
      </c>
      <c r="G218" s="380"/>
    </row>
    <row r="219" spans="1:7" s="34" customFormat="1" ht="18.75" customHeight="1">
      <c r="A219" s="830" t="s">
        <v>349</v>
      </c>
      <c r="B219" s="803" t="s">
        <v>449</v>
      </c>
      <c r="C219" s="86"/>
      <c r="D219" s="84">
        <f>SUM(D220:D221)</f>
        <v>150000</v>
      </c>
      <c r="E219" s="32"/>
      <c r="F219" s="84">
        <f>SUM(F220:F221)</f>
        <v>150000</v>
      </c>
      <c r="G219" s="32"/>
    </row>
    <row r="220" spans="1:7" s="375" customFormat="1" ht="18.75" customHeight="1">
      <c r="A220" s="795"/>
      <c r="B220" s="373"/>
      <c r="C220" s="87" t="s">
        <v>450</v>
      </c>
      <c r="D220" s="88">
        <v>150000</v>
      </c>
      <c r="E220" s="380"/>
      <c r="F220" s="380"/>
      <c r="G220" s="380"/>
    </row>
    <row r="221" spans="1:7" s="375" customFormat="1" ht="18.75" customHeight="1">
      <c r="A221" s="89"/>
      <c r="B221" s="90"/>
      <c r="C221" s="624" t="s">
        <v>451</v>
      </c>
      <c r="D221" s="88"/>
      <c r="E221" s="380"/>
      <c r="F221" s="380">
        <v>150000</v>
      </c>
      <c r="G221" s="380"/>
    </row>
    <row r="222" spans="1:7" s="375" customFormat="1" ht="18.75" customHeight="1">
      <c r="A222" s="166" t="s">
        <v>59</v>
      </c>
      <c r="B222" s="83" t="s">
        <v>649</v>
      </c>
      <c r="C222" s="86" t="s">
        <v>650</v>
      </c>
      <c r="D222" s="84">
        <v>10000</v>
      </c>
      <c r="E222" s="380"/>
      <c r="F222" s="811"/>
      <c r="G222" s="380"/>
    </row>
    <row r="223" spans="1:7" s="34" customFormat="1" ht="18.75" customHeight="1">
      <c r="A223" s="166" t="s">
        <v>436</v>
      </c>
      <c r="B223" s="83"/>
      <c r="C223" s="86"/>
      <c r="D223" s="84">
        <f>D224+D228+D229+D232+D233</f>
        <v>12031</v>
      </c>
      <c r="E223" s="32"/>
      <c r="F223" s="84">
        <f>F224+F228+F229+F232+F233</f>
        <v>25531</v>
      </c>
      <c r="G223" s="32"/>
    </row>
    <row r="224" spans="1:7" s="375" customFormat="1" ht="18.75" customHeight="1">
      <c r="A224" s="89"/>
      <c r="B224" s="167" t="s">
        <v>521</v>
      </c>
      <c r="C224" s="624"/>
      <c r="D224" s="88">
        <f>SUM(D225:D227)</f>
        <v>12031</v>
      </c>
      <c r="E224" s="380"/>
      <c r="F224" s="88">
        <f>SUM(F225:F227)</f>
        <v>2451</v>
      </c>
      <c r="G224" s="380"/>
    </row>
    <row r="225" spans="1:7" s="375" customFormat="1" ht="18.75" customHeight="1">
      <c r="A225" s="89"/>
      <c r="B225" s="90"/>
      <c r="C225" s="624" t="s">
        <v>359</v>
      </c>
      <c r="D225" s="88">
        <v>12031</v>
      </c>
      <c r="E225" s="380"/>
      <c r="F225" s="380"/>
      <c r="G225" s="380"/>
    </row>
    <row r="226" spans="1:7" s="375" customFormat="1" ht="18.75" customHeight="1">
      <c r="A226" s="89"/>
      <c r="B226" s="90"/>
      <c r="C226" s="624" t="s">
        <v>180</v>
      </c>
      <c r="D226" s="88"/>
      <c r="E226" s="380"/>
      <c r="F226" s="380">
        <v>2231</v>
      </c>
      <c r="G226" s="380"/>
    </row>
    <row r="227" spans="1:7" s="375" customFormat="1" ht="18.75" customHeight="1">
      <c r="A227" s="89"/>
      <c r="B227" s="90"/>
      <c r="C227" s="624" t="s">
        <v>360</v>
      </c>
      <c r="D227" s="88"/>
      <c r="E227" s="380"/>
      <c r="F227" s="380">
        <v>220</v>
      </c>
      <c r="G227" s="380"/>
    </row>
    <row r="228" spans="1:7" s="375" customFormat="1" ht="18.75" customHeight="1">
      <c r="A228" s="89"/>
      <c r="B228" s="373" t="s">
        <v>522</v>
      </c>
      <c r="C228" s="624" t="s">
        <v>360</v>
      </c>
      <c r="D228" s="88"/>
      <c r="E228" s="380"/>
      <c r="F228" s="380">
        <v>78</v>
      </c>
      <c r="G228" s="380"/>
    </row>
    <row r="229" spans="1:7" s="375" customFormat="1" ht="18.75" customHeight="1">
      <c r="A229" s="89"/>
      <c r="B229" s="167" t="s">
        <v>184</v>
      </c>
      <c r="C229" s="624"/>
      <c r="D229" s="88"/>
      <c r="E229" s="380"/>
      <c r="F229" s="380">
        <f>SUM(F230:F231)</f>
        <v>9502</v>
      </c>
      <c r="G229" s="380"/>
    </row>
    <row r="230" spans="1:7" s="375" customFormat="1" ht="18.75" customHeight="1">
      <c r="A230" s="89"/>
      <c r="B230" s="90"/>
      <c r="C230" s="624" t="s">
        <v>180</v>
      </c>
      <c r="D230" s="88"/>
      <c r="E230" s="380"/>
      <c r="F230" s="380">
        <v>6800</v>
      </c>
      <c r="G230" s="380"/>
    </row>
    <row r="231" spans="1:7" s="375" customFormat="1" ht="18.75" customHeight="1">
      <c r="A231" s="89"/>
      <c r="B231" s="90"/>
      <c r="C231" s="624" t="s">
        <v>360</v>
      </c>
      <c r="D231" s="88"/>
      <c r="E231" s="380"/>
      <c r="F231" s="380">
        <v>2702</v>
      </c>
      <c r="G231" s="380"/>
    </row>
    <row r="232" spans="1:7" s="375" customFormat="1" ht="18.75" customHeight="1">
      <c r="A232" s="89"/>
      <c r="B232" s="167" t="s">
        <v>651</v>
      </c>
      <c r="C232" s="624" t="s">
        <v>652</v>
      </c>
      <c r="D232" s="88"/>
      <c r="E232" s="380"/>
      <c r="F232" s="380">
        <v>10000</v>
      </c>
      <c r="G232" s="380"/>
    </row>
    <row r="233" spans="1:7" s="375" customFormat="1" ht="18.75" customHeight="1">
      <c r="A233" s="89"/>
      <c r="B233" s="167" t="s">
        <v>50</v>
      </c>
      <c r="C233" s="624"/>
      <c r="D233" s="88"/>
      <c r="E233" s="380"/>
      <c r="F233" s="380">
        <f>SUM(F234:F235)</f>
        <v>3500</v>
      </c>
      <c r="G233" s="380"/>
    </row>
    <row r="234" spans="1:7" s="375" customFormat="1" ht="18.75" customHeight="1">
      <c r="A234" s="89"/>
      <c r="B234" s="90"/>
      <c r="C234" s="624" t="s">
        <v>183</v>
      </c>
      <c r="D234" s="88"/>
      <c r="E234" s="380"/>
      <c r="F234" s="380">
        <v>2000</v>
      </c>
      <c r="G234" s="380"/>
    </row>
    <row r="235" spans="1:7" s="375" customFormat="1" ht="18.75" customHeight="1">
      <c r="A235" s="89"/>
      <c r="B235" s="99"/>
      <c r="C235" s="624" t="s">
        <v>60</v>
      </c>
      <c r="D235" s="88"/>
      <c r="E235" s="380"/>
      <c r="F235" s="380">
        <v>1500</v>
      </c>
      <c r="G235" s="380"/>
    </row>
    <row r="236" spans="1:7" s="375" customFormat="1" ht="18.75" customHeight="1">
      <c r="A236" s="83" t="s">
        <v>523</v>
      </c>
      <c r="B236" s="86"/>
      <c r="C236" s="86"/>
      <c r="D236" s="84">
        <f>D237+D238</f>
        <v>3000</v>
      </c>
      <c r="E236" s="32"/>
      <c r="F236" s="84">
        <f>F237+F238</f>
        <v>45790</v>
      </c>
      <c r="G236" s="380"/>
    </row>
    <row r="237" spans="1:7" s="375" customFormat="1" ht="18.75" customHeight="1">
      <c r="A237" s="90"/>
      <c r="B237" s="374" t="s">
        <v>114</v>
      </c>
      <c r="C237" s="87" t="s">
        <v>453</v>
      </c>
      <c r="D237" s="88"/>
      <c r="E237" s="380"/>
      <c r="F237" s="811">
        <v>10400</v>
      </c>
      <c r="G237" s="380"/>
    </row>
    <row r="238" spans="1:7" s="375" customFormat="1" ht="18.75" customHeight="1">
      <c r="A238" s="90"/>
      <c r="B238" s="624" t="s">
        <v>452</v>
      </c>
      <c r="C238" s="87"/>
      <c r="D238" s="88">
        <f>SUM(D239:D243)</f>
        <v>3000</v>
      </c>
      <c r="E238" s="380"/>
      <c r="F238" s="88">
        <f>SUM(F239:F243)</f>
        <v>35390</v>
      </c>
      <c r="G238" s="380"/>
    </row>
    <row r="239" spans="1:7" s="375" customFormat="1" ht="18.75" customHeight="1">
      <c r="A239" s="90"/>
      <c r="B239" s="624"/>
      <c r="C239" s="91" t="s">
        <v>507</v>
      </c>
      <c r="D239" s="88"/>
      <c r="E239" s="380"/>
      <c r="F239" s="380">
        <f>32390-32390+21000</f>
        <v>21000</v>
      </c>
      <c r="G239" s="380"/>
    </row>
    <row r="240" spans="1:7" s="375" customFormat="1" ht="18.75" customHeight="1">
      <c r="A240" s="90"/>
      <c r="B240" s="374"/>
      <c r="C240" s="91" t="s">
        <v>51</v>
      </c>
      <c r="D240" s="88"/>
      <c r="E240" s="380"/>
      <c r="F240" s="380">
        <v>2096</v>
      </c>
      <c r="G240" s="380"/>
    </row>
    <row r="241" spans="1:7" s="375" customFormat="1" ht="18.75" customHeight="1">
      <c r="A241" s="90"/>
      <c r="B241" s="374"/>
      <c r="C241" s="91" t="s">
        <v>362</v>
      </c>
      <c r="D241" s="88"/>
      <c r="E241" s="380"/>
      <c r="F241" s="380">
        <v>294</v>
      </c>
      <c r="G241" s="380"/>
    </row>
    <row r="242" spans="1:7" s="375" customFormat="1" ht="18.75" customHeight="1">
      <c r="A242" s="90"/>
      <c r="B242" s="374"/>
      <c r="C242" s="91" t="s">
        <v>180</v>
      </c>
      <c r="D242" s="88"/>
      <c r="E242" s="380"/>
      <c r="F242" s="380">
        <v>12000</v>
      </c>
      <c r="G242" s="380"/>
    </row>
    <row r="243" spans="1:7" s="34" customFormat="1" ht="18.75" customHeight="1">
      <c r="A243" s="803"/>
      <c r="B243" s="91"/>
      <c r="C243" s="87" t="s">
        <v>60</v>
      </c>
      <c r="D243" s="88">
        <v>3000</v>
      </c>
      <c r="E243" s="32"/>
      <c r="F243" s="380"/>
      <c r="G243" s="32"/>
    </row>
    <row r="244" spans="1:15" s="3" customFormat="1" ht="21.75" customHeight="1">
      <c r="A244" s="123" t="s">
        <v>81</v>
      </c>
      <c r="B244" s="124"/>
      <c r="C244" s="87"/>
      <c r="D244" s="33">
        <f>D216+D219+D222+D223+D236</f>
        <v>175031</v>
      </c>
      <c r="E244" s="33">
        <f>E216+E219+E222+E223+E236</f>
        <v>0</v>
      </c>
      <c r="F244" s="33">
        <f>F216+F219+F222+F223+F236</f>
        <v>377745.48</v>
      </c>
      <c r="G244" s="33">
        <f>G216+G219+G222+G223+G236</f>
        <v>0</v>
      </c>
      <c r="H244" s="20"/>
      <c r="I244" s="25"/>
      <c r="J244" s="25"/>
      <c r="K244" s="25"/>
      <c r="L244" s="25"/>
      <c r="M244" s="25"/>
      <c r="N244" s="25"/>
      <c r="O244" s="25"/>
    </row>
    <row r="245" spans="1:15" s="3" customFormat="1" ht="21.75" customHeight="1">
      <c r="A245" s="126"/>
      <c r="B245" s="127"/>
      <c r="C245" s="127"/>
      <c r="D245" s="27"/>
      <c r="E245" s="27"/>
      <c r="F245" s="27"/>
      <c r="G245" s="27"/>
      <c r="H245" s="20"/>
      <c r="I245" s="25"/>
      <c r="J245" s="25"/>
      <c r="K245" s="25"/>
      <c r="L245" s="25"/>
      <c r="M245" s="25"/>
      <c r="N245" s="25"/>
      <c r="O245" s="25"/>
    </row>
    <row r="246" spans="1:15" s="3" customFormat="1" ht="21.75" customHeight="1">
      <c r="A246" s="126"/>
      <c r="B246" s="127"/>
      <c r="C246" s="127"/>
      <c r="D246" s="27"/>
      <c r="E246" s="27"/>
      <c r="F246" s="27"/>
      <c r="G246" s="27"/>
      <c r="H246" s="20"/>
      <c r="I246" s="25"/>
      <c r="J246" s="25"/>
      <c r="K246" s="25"/>
      <c r="L246" s="25"/>
      <c r="M246" s="25"/>
      <c r="N246" s="25"/>
      <c r="O246" s="25"/>
    </row>
    <row r="247" spans="1:15" s="3" customFormat="1" ht="21.75" customHeight="1">
      <c r="A247" s="53" t="s">
        <v>464</v>
      </c>
      <c r="B247" s="127"/>
      <c r="C247" s="103"/>
      <c r="D247" s="16"/>
      <c r="E247" s="16"/>
      <c r="F247" s="27"/>
      <c r="G247" s="27"/>
      <c r="H247" s="20"/>
      <c r="I247" s="25"/>
      <c r="J247" s="25"/>
      <c r="K247" s="25"/>
      <c r="L247" s="25"/>
      <c r="M247" s="25"/>
      <c r="N247" s="25"/>
      <c r="O247" s="25"/>
    </row>
    <row r="248" spans="1:15" s="3" customFormat="1" ht="21.75" customHeight="1">
      <c r="A248" s="53"/>
      <c r="B248" s="127"/>
      <c r="C248" s="103"/>
      <c r="D248" s="16"/>
      <c r="E248" s="16"/>
      <c r="F248" s="27"/>
      <c r="G248" s="27"/>
      <c r="H248" s="20"/>
      <c r="I248" s="25"/>
      <c r="J248" s="25"/>
      <c r="K248" s="25"/>
      <c r="L248" s="25"/>
      <c r="M248" s="25"/>
      <c r="N248" s="25"/>
      <c r="O248" s="25"/>
    </row>
    <row r="249" spans="1:15" s="3" customFormat="1" ht="18.75" customHeight="1">
      <c r="A249" s="138" t="s">
        <v>110</v>
      </c>
      <c r="B249" s="102"/>
      <c r="C249" s="103"/>
      <c r="D249" s="16"/>
      <c r="E249" s="16"/>
      <c r="F249" s="27"/>
      <c r="G249" s="27"/>
      <c r="H249" s="20"/>
      <c r="I249" s="25"/>
      <c r="J249" s="25"/>
      <c r="K249" s="25"/>
      <c r="L249" s="25"/>
      <c r="M249" s="25"/>
      <c r="N249" s="25"/>
      <c r="O249" s="25"/>
    </row>
    <row r="250" spans="1:15" s="3" customFormat="1" ht="21" customHeight="1">
      <c r="A250" s="139" t="s">
        <v>465</v>
      </c>
      <c r="B250" s="102"/>
      <c r="C250" s="140"/>
      <c r="D250" s="22"/>
      <c r="E250" s="16"/>
      <c r="F250" s="27"/>
      <c r="G250" s="27"/>
      <c r="H250" s="20"/>
      <c r="I250" s="25"/>
      <c r="J250" s="25"/>
      <c r="K250" s="25"/>
      <c r="L250" s="25"/>
      <c r="M250" s="25"/>
      <c r="N250" s="25"/>
      <c r="O250" s="25"/>
    </row>
    <row r="251" spans="1:15" s="3" customFormat="1" ht="21" customHeight="1">
      <c r="A251" s="138"/>
      <c r="B251" s="102"/>
      <c r="C251" s="140"/>
      <c r="D251" s="22"/>
      <c r="E251" s="16"/>
      <c r="F251" s="27"/>
      <c r="G251" s="27"/>
      <c r="H251" s="20"/>
      <c r="I251" s="25"/>
      <c r="J251" s="25"/>
      <c r="K251" s="25"/>
      <c r="L251" s="25"/>
      <c r="M251" s="25"/>
      <c r="N251" s="25"/>
      <c r="O251" s="25"/>
    </row>
    <row r="252" spans="1:15" s="3" customFormat="1" ht="21.75" customHeight="1">
      <c r="A252" s="141" t="s">
        <v>111</v>
      </c>
      <c r="B252" s="142"/>
      <c r="C252" s="127"/>
      <c r="D252" s="36"/>
      <c r="E252" s="36"/>
      <c r="F252" s="36"/>
      <c r="G252" s="36"/>
      <c r="H252" s="37"/>
      <c r="I252" s="37"/>
      <c r="J252" s="37"/>
      <c r="K252" s="37"/>
      <c r="L252" s="37"/>
      <c r="M252" s="37"/>
      <c r="N252" s="37"/>
      <c r="O252" s="37"/>
    </row>
    <row r="253" spans="1:15" s="3" customFormat="1" ht="15" customHeight="1">
      <c r="A253" s="143"/>
      <c r="B253" s="142"/>
      <c r="C253" s="144"/>
      <c r="D253" s="36"/>
      <c r="E253" s="36"/>
      <c r="F253" s="36"/>
      <c r="G253" s="36"/>
      <c r="H253" s="25"/>
      <c r="I253" s="37"/>
      <c r="J253" s="37"/>
      <c r="K253" s="37"/>
      <c r="L253" s="37"/>
      <c r="M253" s="37"/>
      <c r="N253" s="37"/>
      <c r="O253" s="37"/>
    </row>
    <row r="254" spans="1:15" s="3" customFormat="1" ht="15" customHeight="1">
      <c r="A254" s="143"/>
      <c r="B254" s="142"/>
      <c r="C254" s="144"/>
      <c r="D254" s="36"/>
      <c r="E254" s="36"/>
      <c r="F254" s="36"/>
      <c r="G254" s="36"/>
      <c r="H254" s="25"/>
      <c r="I254" s="37"/>
      <c r="J254" s="37"/>
      <c r="K254" s="37"/>
      <c r="L254" s="37"/>
      <c r="M254" s="37"/>
      <c r="N254" s="37"/>
      <c r="O254" s="37"/>
    </row>
    <row r="255" spans="1:15" s="3" customFormat="1" ht="15" customHeight="1">
      <c r="A255" s="143" t="s">
        <v>621</v>
      </c>
      <c r="B255" s="142"/>
      <c r="C255" s="144"/>
      <c r="D255" s="36"/>
      <c r="E255" s="36"/>
      <c r="F255" s="36"/>
      <c r="G255" s="36"/>
      <c r="H255" s="25">
        <f>H257</f>
        <v>7000</v>
      </c>
      <c r="I255" s="37"/>
      <c r="J255" s="37"/>
      <c r="K255" s="37"/>
      <c r="L255" s="37"/>
      <c r="M255" s="37"/>
      <c r="N255" s="37"/>
      <c r="O255" s="37"/>
    </row>
    <row r="256" spans="1:15" s="3" customFormat="1" ht="15" customHeight="1">
      <c r="A256" s="53" t="s">
        <v>74</v>
      </c>
      <c r="B256" s="145"/>
      <c r="C256" s="144"/>
      <c r="D256" s="36"/>
      <c r="E256" s="36"/>
      <c r="F256" s="36"/>
      <c r="G256" s="36"/>
      <c r="H256" s="25"/>
      <c r="I256" s="37"/>
      <c r="J256" s="37"/>
      <c r="K256" s="37"/>
      <c r="L256" s="37"/>
      <c r="M256" s="37"/>
      <c r="N256" s="37"/>
      <c r="O256" s="37"/>
    </row>
    <row r="257" spans="1:15" s="3" customFormat="1" ht="15" customHeight="1">
      <c r="A257" s="105" t="s">
        <v>333</v>
      </c>
      <c r="B257" s="145"/>
      <c r="C257" s="144"/>
      <c r="D257" s="36"/>
      <c r="E257" s="36"/>
      <c r="F257" s="36"/>
      <c r="G257" s="36"/>
      <c r="H257" s="25">
        <f>H259+H260</f>
        <v>7000</v>
      </c>
      <c r="I257" s="37"/>
      <c r="J257" s="37"/>
      <c r="K257" s="37"/>
      <c r="L257" s="37"/>
      <c r="M257" s="37"/>
      <c r="N257" s="37"/>
      <c r="O257" s="37"/>
    </row>
    <row r="258" spans="1:15" s="3" customFormat="1" ht="15" customHeight="1">
      <c r="A258" s="53" t="s">
        <v>74</v>
      </c>
      <c r="B258" s="145"/>
      <c r="C258" s="144"/>
      <c r="D258" s="36"/>
      <c r="E258" s="36"/>
      <c r="F258" s="36"/>
      <c r="G258" s="36"/>
      <c r="H258" s="25"/>
      <c r="I258" s="37"/>
      <c r="J258" s="37"/>
      <c r="K258" s="37"/>
      <c r="L258" s="37"/>
      <c r="M258" s="37"/>
      <c r="N258" s="37"/>
      <c r="O258" s="37"/>
    </row>
    <row r="259" spans="1:15" s="3" customFormat="1" ht="15" customHeight="1">
      <c r="A259" s="143"/>
      <c r="B259" s="142" t="s">
        <v>309</v>
      </c>
      <c r="C259" s="144"/>
      <c r="D259" s="36"/>
      <c r="E259" s="36"/>
      <c r="F259" s="36"/>
      <c r="G259" s="36"/>
      <c r="H259" s="37">
        <f>2000+4000</f>
        <v>6000</v>
      </c>
      <c r="I259" s="37"/>
      <c r="J259" s="37"/>
      <c r="K259" s="37"/>
      <c r="L259" s="37"/>
      <c r="M259" s="37"/>
      <c r="N259" s="37"/>
      <c r="O259" s="37"/>
    </row>
    <row r="260" spans="1:15" s="3" customFormat="1" ht="15" customHeight="1">
      <c r="A260" s="143"/>
      <c r="B260" s="142" t="s">
        <v>306</v>
      </c>
      <c r="C260" s="144"/>
      <c r="D260" s="36"/>
      <c r="E260" s="36"/>
      <c r="F260" s="36"/>
      <c r="G260" s="36"/>
      <c r="H260" s="37">
        <v>1000</v>
      </c>
      <c r="I260" s="37"/>
      <c r="J260" s="37"/>
      <c r="K260" s="37"/>
      <c r="L260" s="37"/>
      <c r="M260" s="37"/>
      <c r="N260" s="37"/>
      <c r="O260" s="37"/>
    </row>
    <row r="261" spans="1:15" s="3" customFormat="1" ht="15" customHeight="1">
      <c r="A261" s="143"/>
      <c r="B261" s="142"/>
      <c r="C261" s="144"/>
      <c r="D261" s="36"/>
      <c r="E261" s="36"/>
      <c r="F261" s="36"/>
      <c r="G261" s="36"/>
      <c r="H261" s="37"/>
      <c r="I261" s="37"/>
      <c r="J261" s="37"/>
      <c r="K261" s="37"/>
      <c r="L261" s="37"/>
      <c r="M261" s="37"/>
      <c r="N261" s="37"/>
      <c r="O261" s="37"/>
    </row>
    <row r="262" spans="1:15" s="3" customFormat="1" ht="15" customHeight="1">
      <c r="A262" s="53"/>
      <c r="B262" s="127"/>
      <c r="C262" s="127"/>
      <c r="D262" s="36"/>
      <c r="E262" s="36"/>
      <c r="F262" s="36"/>
      <c r="G262" s="36"/>
      <c r="H262" s="37"/>
      <c r="I262" s="37"/>
      <c r="J262" s="37"/>
      <c r="K262" s="37"/>
      <c r="L262" s="37"/>
      <c r="M262" s="37"/>
      <c r="N262" s="37"/>
      <c r="O262" s="37"/>
    </row>
    <row r="263" spans="1:15" s="3" customFormat="1" ht="17.25" customHeight="1">
      <c r="A263" s="143" t="s">
        <v>85</v>
      </c>
      <c r="B263" s="142"/>
      <c r="C263" s="144"/>
      <c r="D263" s="36"/>
      <c r="E263" s="36"/>
      <c r="F263" s="36"/>
      <c r="G263" s="36"/>
      <c r="H263" s="38">
        <f>H265+H269+H273+H277</f>
        <v>457517.13</v>
      </c>
      <c r="I263" s="37"/>
      <c r="J263" s="37"/>
      <c r="K263" s="37"/>
      <c r="L263" s="37"/>
      <c r="M263" s="37"/>
      <c r="N263" s="37"/>
      <c r="O263" s="37"/>
    </row>
    <row r="264" spans="1:15" s="3" customFormat="1" ht="16.5" customHeight="1">
      <c r="A264" s="53" t="s">
        <v>74</v>
      </c>
      <c r="B264" s="145"/>
      <c r="C264" s="146"/>
      <c r="D264" s="22"/>
      <c r="E264" s="16"/>
      <c r="F264" s="27"/>
      <c r="G264" s="27"/>
      <c r="H264" s="37"/>
      <c r="I264" s="25"/>
      <c r="J264" s="25"/>
      <c r="K264" s="25"/>
      <c r="L264" s="25"/>
      <c r="M264" s="25"/>
      <c r="N264" s="25"/>
      <c r="O264" s="25"/>
    </row>
    <row r="265" spans="1:15" s="3" customFormat="1" ht="16.5" customHeight="1">
      <c r="A265" s="105" t="s">
        <v>124</v>
      </c>
      <c r="B265" s="145"/>
      <c r="C265" s="146"/>
      <c r="D265" s="22"/>
      <c r="E265" s="16"/>
      <c r="F265" s="27"/>
      <c r="G265" s="27"/>
      <c r="H265" s="25">
        <f>H267</f>
        <v>359457.92</v>
      </c>
      <c r="I265" s="25"/>
      <c r="J265" s="25"/>
      <c r="K265" s="25"/>
      <c r="L265" s="25"/>
      <c r="M265" s="25"/>
      <c r="N265" s="25"/>
      <c r="O265" s="25"/>
    </row>
    <row r="266" spans="1:15" s="3" customFormat="1" ht="16.5" customHeight="1">
      <c r="A266" s="53" t="s">
        <v>74</v>
      </c>
      <c r="B266" s="145"/>
      <c r="C266" s="146"/>
      <c r="D266" s="22"/>
      <c r="E266" s="16"/>
      <c r="F266" s="27"/>
      <c r="G266" s="27"/>
      <c r="H266" s="37"/>
      <c r="I266" s="25"/>
      <c r="J266" s="25"/>
      <c r="K266" s="25"/>
      <c r="L266" s="25"/>
      <c r="M266" s="25"/>
      <c r="N266" s="25"/>
      <c r="O266" s="25"/>
    </row>
    <row r="267" spans="1:15" s="3" customFormat="1" ht="16.5" customHeight="1">
      <c r="A267" s="53"/>
      <c r="B267" s="145" t="s">
        <v>212</v>
      </c>
      <c r="C267" s="146"/>
      <c r="D267" s="22"/>
      <c r="E267" s="16"/>
      <c r="F267" s="27"/>
      <c r="G267" s="27"/>
      <c r="H267" s="37">
        <v>359457.92</v>
      </c>
      <c r="I267" s="25"/>
      <c r="J267" s="25"/>
      <c r="K267" s="25"/>
      <c r="L267" s="25"/>
      <c r="M267" s="25"/>
      <c r="N267" s="25"/>
      <c r="O267" s="25"/>
    </row>
    <row r="268" spans="1:15" s="3" customFormat="1" ht="16.5" customHeight="1">
      <c r="A268" s="53"/>
      <c r="B268" s="145"/>
      <c r="C268" s="146"/>
      <c r="D268" s="22"/>
      <c r="E268" s="16"/>
      <c r="F268" s="27"/>
      <c r="G268" s="27"/>
      <c r="H268" s="37"/>
      <c r="I268" s="25"/>
      <c r="J268" s="25"/>
      <c r="K268" s="25"/>
      <c r="L268" s="25"/>
      <c r="M268" s="25"/>
      <c r="N268" s="25"/>
      <c r="O268" s="25"/>
    </row>
    <row r="269" spans="1:15" s="3" customFormat="1" ht="16.5" customHeight="1">
      <c r="A269" s="105" t="s">
        <v>445</v>
      </c>
      <c r="B269" s="145"/>
      <c r="C269" s="146"/>
      <c r="D269" s="22"/>
      <c r="E269" s="16"/>
      <c r="F269" s="27"/>
      <c r="G269" s="27"/>
      <c r="H269" s="25">
        <f>H271</f>
        <v>10000</v>
      </c>
      <c r="I269" s="25"/>
      <c r="J269" s="25"/>
      <c r="K269" s="25"/>
      <c r="L269" s="25"/>
      <c r="M269" s="25"/>
      <c r="N269" s="25"/>
      <c r="O269" s="25"/>
    </row>
    <row r="270" spans="1:15" s="3" customFormat="1" ht="16.5" customHeight="1">
      <c r="A270" s="53" t="s">
        <v>74</v>
      </c>
      <c r="B270" s="145"/>
      <c r="C270" s="146"/>
      <c r="D270" s="22"/>
      <c r="E270" s="16"/>
      <c r="F270" s="27"/>
      <c r="G270" s="27"/>
      <c r="H270" s="37"/>
      <c r="I270" s="25"/>
      <c r="J270" s="25"/>
      <c r="K270" s="25"/>
      <c r="L270" s="25"/>
      <c r="M270" s="25"/>
      <c r="N270" s="25"/>
      <c r="O270" s="25"/>
    </row>
    <row r="271" spans="1:15" s="3" customFormat="1" ht="16.5" customHeight="1">
      <c r="A271" s="53"/>
      <c r="B271" s="145" t="s">
        <v>446</v>
      </c>
      <c r="C271" s="146"/>
      <c r="D271" s="22"/>
      <c r="E271" s="16"/>
      <c r="F271" s="27"/>
      <c r="G271" s="27"/>
      <c r="H271" s="37">
        <v>10000</v>
      </c>
      <c r="I271" s="25"/>
      <c r="J271" s="25"/>
      <c r="K271" s="25"/>
      <c r="L271" s="25"/>
      <c r="M271" s="25"/>
      <c r="N271" s="25"/>
      <c r="O271" s="25"/>
    </row>
    <row r="272" spans="1:15" s="3" customFormat="1" ht="16.5" customHeight="1">
      <c r="A272" s="53"/>
      <c r="B272" s="145"/>
      <c r="C272" s="146"/>
      <c r="D272" s="22"/>
      <c r="E272" s="16"/>
      <c r="F272" s="27"/>
      <c r="G272" s="27"/>
      <c r="H272" s="37"/>
      <c r="I272" s="25"/>
      <c r="J272" s="25"/>
      <c r="K272" s="25"/>
      <c r="L272" s="25"/>
      <c r="M272" s="25"/>
      <c r="N272" s="25"/>
      <c r="O272" s="25"/>
    </row>
    <row r="273" spans="1:15" s="405" customFormat="1" ht="16.5" customHeight="1">
      <c r="A273" s="105" t="s">
        <v>334</v>
      </c>
      <c r="B273" s="807"/>
      <c r="C273" s="808"/>
      <c r="D273" s="809"/>
      <c r="E273" s="810"/>
      <c r="F273" s="27"/>
      <c r="G273" s="27"/>
      <c r="H273" s="25">
        <f>H275</f>
        <v>13000</v>
      </c>
      <c r="I273" s="25"/>
      <c r="J273" s="25"/>
      <c r="K273" s="25"/>
      <c r="L273" s="25"/>
      <c r="M273" s="25"/>
      <c r="N273" s="25"/>
      <c r="O273" s="25"/>
    </row>
    <row r="274" spans="1:15" s="3" customFormat="1" ht="16.5" customHeight="1">
      <c r="A274" s="53" t="s">
        <v>54</v>
      </c>
      <c r="B274" s="145"/>
      <c r="C274" s="146"/>
      <c r="D274" s="22"/>
      <c r="E274" s="16"/>
      <c r="F274" s="27"/>
      <c r="G274" s="27"/>
      <c r="H274" s="37"/>
      <c r="I274" s="25"/>
      <c r="J274" s="25"/>
      <c r="K274" s="25"/>
      <c r="L274" s="25"/>
      <c r="M274" s="25"/>
      <c r="N274" s="25"/>
      <c r="O274" s="25"/>
    </row>
    <row r="275" spans="1:15" s="3" customFormat="1" ht="16.5" customHeight="1">
      <c r="A275" s="53"/>
      <c r="B275" s="145" t="s">
        <v>671</v>
      </c>
      <c r="C275" s="146"/>
      <c r="D275" s="22"/>
      <c r="E275" s="16"/>
      <c r="F275" s="27"/>
      <c r="G275" s="27"/>
      <c r="H275" s="37">
        <v>13000</v>
      </c>
      <c r="I275" s="25"/>
      <c r="J275" s="25"/>
      <c r="K275" s="25"/>
      <c r="L275" s="25"/>
      <c r="M275" s="25"/>
      <c r="N275" s="25"/>
      <c r="O275" s="25"/>
    </row>
    <row r="276" spans="1:15" s="3" customFormat="1" ht="16.5" customHeight="1">
      <c r="A276" s="53"/>
      <c r="B276" s="145"/>
      <c r="C276" s="146"/>
      <c r="D276" s="22"/>
      <c r="E276" s="16"/>
      <c r="F276" s="27"/>
      <c r="G276" s="27"/>
      <c r="H276" s="37"/>
      <c r="I276" s="25"/>
      <c r="J276" s="25"/>
      <c r="K276" s="25"/>
      <c r="L276" s="25"/>
      <c r="M276" s="25"/>
      <c r="N276" s="25"/>
      <c r="O276" s="25"/>
    </row>
    <row r="277" spans="1:15" s="3" customFormat="1" ht="16.5" customHeight="1">
      <c r="A277" s="105" t="s">
        <v>2</v>
      </c>
      <c r="B277" s="145"/>
      <c r="C277" s="146"/>
      <c r="D277" s="22"/>
      <c r="E277" s="16"/>
      <c r="F277" s="27"/>
      <c r="G277" s="27"/>
      <c r="H277" s="25">
        <f>H279+H280+H281</f>
        <v>75059.20999999999</v>
      </c>
      <c r="I277" s="25"/>
      <c r="J277" s="25"/>
      <c r="K277" s="25"/>
      <c r="L277" s="25"/>
      <c r="M277" s="25"/>
      <c r="N277" s="25"/>
      <c r="O277" s="25"/>
    </row>
    <row r="278" spans="1:15" s="3" customFormat="1" ht="16.5" customHeight="1">
      <c r="A278" s="53" t="s">
        <v>74</v>
      </c>
      <c r="B278" s="145"/>
      <c r="C278" s="146"/>
      <c r="D278" s="22"/>
      <c r="E278" s="16"/>
      <c r="F278" s="27"/>
      <c r="G278" s="27"/>
      <c r="H278" s="37"/>
      <c r="I278" s="25"/>
      <c r="J278" s="25"/>
      <c r="K278" s="25"/>
      <c r="L278" s="25"/>
      <c r="M278" s="25"/>
      <c r="N278" s="25"/>
      <c r="O278" s="25"/>
    </row>
    <row r="279" spans="1:15" s="3" customFormat="1" ht="16.5" customHeight="1">
      <c r="A279" s="53"/>
      <c r="B279" s="145" t="s">
        <v>441</v>
      </c>
      <c r="C279" s="146"/>
      <c r="D279" s="22"/>
      <c r="E279" s="16"/>
      <c r="F279" s="27"/>
      <c r="G279" s="27"/>
      <c r="H279" s="37">
        <v>1149.61</v>
      </c>
      <c r="I279" s="25"/>
      <c r="J279" s="25"/>
      <c r="K279" s="25"/>
      <c r="L279" s="25"/>
      <c r="M279" s="25"/>
      <c r="N279" s="25"/>
      <c r="O279" s="25"/>
    </row>
    <row r="280" spans="1:15" s="3" customFormat="1" ht="16.5" customHeight="1">
      <c r="A280" s="53"/>
      <c r="B280" s="145" t="s">
        <v>63</v>
      </c>
      <c r="C280" s="146"/>
      <c r="D280" s="22"/>
      <c r="E280" s="16"/>
      <c r="F280" s="27"/>
      <c r="G280" s="27"/>
      <c r="H280" s="37">
        <v>25000</v>
      </c>
      <c r="I280" s="25"/>
      <c r="J280" s="25"/>
      <c r="K280" s="25"/>
      <c r="L280" s="25"/>
      <c r="M280" s="25"/>
      <c r="N280" s="25"/>
      <c r="O280" s="25"/>
    </row>
    <row r="281" spans="1:15" s="3" customFormat="1" ht="16.5" customHeight="1">
      <c r="A281" s="53"/>
      <c r="B281" s="145" t="s">
        <v>353</v>
      </c>
      <c r="C281" s="146"/>
      <c r="D281" s="22"/>
      <c r="E281" s="16"/>
      <c r="F281" s="27"/>
      <c r="G281" s="27"/>
      <c r="H281" s="37">
        <v>48909.6</v>
      </c>
      <c r="I281" s="25"/>
      <c r="J281" s="25"/>
      <c r="K281" s="25"/>
      <c r="L281" s="25"/>
      <c r="M281" s="25"/>
      <c r="N281" s="25"/>
      <c r="O281" s="25"/>
    </row>
    <row r="282" spans="1:15" s="3" customFormat="1" ht="16.5" customHeight="1">
      <c r="A282" s="53"/>
      <c r="B282" s="145"/>
      <c r="C282" s="146"/>
      <c r="D282" s="22"/>
      <c r="E282" s="16"/>
      <c r="F282" s="27"/>
      <c r="G282" s="27"/>
      <c r="H282" s="37"/>
      <c r="I282" s="25"/>
      <c r="J282" s="25"/>
      <c r="K282" s="25"/>
      <c r="L282" s="25"/>
      <c r="M282" s="25"/>
      <c r="N282" s="25"/>
      <c r="O282" s="25"/>
    </row>
    <row r="283" spans="1:15" s="3" customFormat="1" ht="16.5" customHeight="1">
      <c r="A283" s="53"/>
      <c r="B283" s="145"/>
      <c r="C283" s="146"/>
      <c r="D283" s="22"/>
      <c r="E283" s="16"/>
      <c r="F283" s="27"/>
      <c r="G283" s="27"/>
      <c r="H283" s="37"/>
      <c r="I283" s="25"/>
      <c r="J283" s="25"/>
      <c r="K283" s="25"/>
      <c r="L283" s="25"/>
      <c r="M283" s="25"/>
      <c r="N283" s="25"/>
      <c r="O283" s="25"/>
    </row>
    <row r="284" spans="1:15" s="3" customFormat="1" ht="21.75" customHeight="1">
      <c r="A284" s="141" t="s">
        <v>427</v>
      </c>
      <c r="B284" s="142"/>
      <c r="C284" s="127"/>
      <c r="D284" s="36"/>
      <c r="E284" s="36"/>
      <c r="F284" s="36"/>
      <c r="G284" s="36"/>
      <c r="H284" s="37"/>
      <c r="I284" s="37"/>
      <c r="J284" s="37"/>
      <c r="K284" s="37"/>
      <c r="L284" s="37"/>
      <c r="M284" s="37"/>
      <c r="N284" s="37"/>
      <c r="O284" s="37"/>
    </row>
    <row r="285" spans="1:15" s="3" customFormat="1" ht="21.75" customHeight="1">
      <c r="A285" s="141"/>
      <c r="B285" s="142"/>
      <c r="C285" s="127"/>
      <c r="D285" s="36"/>
      <c r="E285" s="36"/>
      <c r="F285" s="36"/>
      <c r="G285" s="36"/>
      <c r="H285" s="37"/>
      <c r="I285" s="37"/>
      <c r="J285" s="37"/>
      <c r="K285" s="37"/>
      <c r="L285" s="37"/>
      <c r="M285" s="37"/>
      <c r="N285" s="37"/>
      <c r="O285" s="37"/>
    </row>
    <row r="286" spans="1:15" s="3" customFormat="1" ht="15" customHeight="1">
      <c r="A286" s="53"/>
      <c r="B286" s="127"/>
      <c r="C286" s="127"/>
      <c r="D286" s="36"/>
      <c r="E286" s="36"/>
      <c r="F286" s="36"/>
      <c r="G286" s="36"/>
      <c r="H286" s="37"/>
      <c r="I286" s="37"/>
      <c r="J286" s="37"/>
      <c r="K286" s="37"/>
      <c r="L286" s="37"/>
      <c r="M286" s="37"/>
      <c r="N286" s="37"/>
      <c r="O286" s="37"/>
    </row>
    <row r="287" spans="1:15" s="3" customFormat="1" ht="15" customHeight="1">
      <c r="A287" s="143" t="s">
        <v>85</v>
      </c>
      <c r="B287" s="142"/>
      <c r="C287" s="144"/>
      <c r="D287" s="36"/>
      <c r="E287" s="36"/>
      <c r="F287" s="36"/>
      <c r="G287" s="36"/>
      <c r="H287" s="25">
        <f>H289+H293</f>
        <v>269400</v>
      </c>
      <c r="I287" s="37"/>
      <c r="J287" s="37"/>
      <c r="K287" s="37"/>
      <c r="L287" s="37"/>
      <c r="M287" s="37"/>
      <c r="N287" s="37"/>
      <c r="O287" s="37"/>
    </row>
    <row r="288" spans="1:15" s="3" customFormat="1" ht="15" customHeight="1">
      <c r="A288" s="53" t="s">
        <v>74</v>
      </c>
      <c r="B288" s="145"/>
      <c r="C288" s="146"/>
      <c r="D288" s="36"/>
      <c r="E288" s="36"/>
      <c r="F288" s="36"/>
      <c r="G288" s="36"/>
      <c r="H288" s="37"/>
      <c r="I288" s="37"/>
      <c r="J288" s="37"/>
      <c r="K288" s="37"/>
      <c r="L288" s="37"/>
      <c r="M288" s="37"/>
      <c r="N288" s="37"/>
      <c r="O288" s="37"/>
    </row>
    <row r="289" spans="1:15" s="3" customFormat="1" ht="15" customHeight="1">
      <c r="A289" s="105" t="s">
        <v>673</v>
      </c>
      <c r="B289" s="127"/>
      <c r="C289" s="127"/>
      <c r="D289" s="36"/>
      <c r="E289" s="36"/>
      <c r="F289" s="36"/>
      <c r="G289" s="36"/>
      <c r="H289" s="25">
        <f>H291</f>
        <v>119400</v>
      </c>
      <c r="I289" s="37"/>
      <c r="J289" s="37"/>
      <c r="K289" s="37"/>
      <c r="L289" s="37"/>
      <c r="M289" s="37"/>
      <c r="N289" s="37"/>
      <c r="O289" s="37"/>
    </row>
    <row r="290" spans="1:15" s="3" customFormat="1" ht="16.5" customHeight="1">
      <c r="A290" s="53" t="s">
        <v>74</v>
      </c>
      <c r="B290" s="127"/>
      <c r="C290" s="127"/>
      <c r="D290" s="36"/>
      <c r="E290" s="36"/>
      <c r="F290" s="36"/>
      <c r="G290" s="36"/>
      <c r="H290" s="37"/>
      <c r="I290" s="37"/>
      <c r="J290" s="37"/>
      <c r="K290" s="37"/>
      <c r="L290" s="37"/>
      <c r="M290" s="37"/>
      <c r="N290" s="37"/>
      <c r="O290" s="37"/>
    </row>
    <row r="291" spans="1:15" s="3" customFormat="1" ht="19.5" customHeight="1">
      <c r="A291" s="836"/>
      <c r="B291" s="837" t="s">
        <v>130</v>
      </c>
      <c r="C291" s="127"/>
      <c r="D291" s="36"/>
      <c r="E291" s="36"/>
      <c r="F291" s="36"/>
      <c r="G291" s="36"/>
      <c r="H291" s="37">
        <v>119400</v>
      </c>
      <c r="I291" s="37"/>
      <c r="J291" s="37"/>
      <c r="K291" s="37"/>
      <c r="L291" s="37"/>
      <c r="M291" s="37"/>
      <c r="N291" s="37"/>
      <c r="O291" s="37"/>
    </row>
    <row r="292" spans="1:15" s="3" customFormat="1" ht="19.5" customHeight="1">
      <c r="A292" s="836"/>
      <c r="B292" s="837"/>
      <c r="C292" s="127"/>
      <c r="D292" s="36"/>
      <c r="E292" s="36"/>
      <c r="F292" s="36"/>
      <c r="G292" s="36"/>
      <c r="H292" s="37"/>
      <c r="I292" s="37"/>
      <c r="J292" s="37"/>
      <c r="K292" s="37"/>
      <c r="L292" s="37"/>
      <c r="M292" s="37"/>
      <c r="N292" s="37"/>
      <c r="O292" s="37"/>
    </row>
    <row r="293" spans="1:15" s="3" customFormat="1" ht="16.5" customHeight="1">
      <c r="A293" s="105" t="s">
        <v>447</v>
      </c>
      <c r="B293" s="145"/>
      <c r="C293" s="146"/>
      <c r="D293" s="22"/>
      <c r="E293" s="16"/>
      <c r="F293" s="27"/>
      <c r="G293" s="27"/>
      <c r="H293" s="25">
        <f>H295</f>
        <v>150000</v>
      </c>
      <c r="I293" s="25"/>
      <c r="J293" s="25"/>
      <c r="K293" s="25"/>
      <c r="L293" s="25"/>
      <c r="M293" s="25"/>
      <c r="N293" s="25"/>
      <c r="O293" s="25"/>
    </row>
    <row r="294" spans="1:15" s="3" customFormat="1" ht="16.5" customHeight="1">
      <c r="A294" s="53" t="s">
        <v>74</v>
      </c>
      <c r="B294" s="145"/>
      <c r="C294" s="146"/>
      <c r="D294" s="22"/>
      <c r="E294" s="16"/>
      <c r="F294" s="27"/>
      <c r="G294" s="27"/>
      <c r="H294" s="37"/>
      <c r="I294" s="25"/>
      <c r="J294" s="25"/>
      <c r="K294" s="25"/>
      <c r="L294" s="25"/>
      <c r="M294" s="25"/>
      <c r="N294" s="25"/>
      <c r="O294" s="25"/>
    </row>
    <row r="295" spans="1:15" s="3" customFormat="1" ht="16.5" customHeight="1">
      <c r="A295" s="53"/>
      <c r="B295" s="145" t="s">
        <v>448</v>
      </c>
      <c r="C295" s="146"/>
      <c r="D295" s="22"/>
      <c r="E295" s="16"/>
      <c r="F295" s="27"/>
      <c r="G295" s="27"/>
      <c r="H295" s="37">
        <v>150000</v>
      </c>
      <c r="I295" s="25"/>
      <c r="J295" s="25"/>
      <c r="K295" s="25"/>
      <c r="L295" s="25"/>
      <c r="M295" s="25"/>
      <c r="N295" s="25"/>
      <c r="O295" s="25"/>
    </row>
    <row r="296" spans="1:15" s="3" customFormat="1" ht="15" customHeight="1">
      <c r="A296" s="53"/>
      <c r="B296" s="127"/>
      <c r="C296" s="127"/>
      <c r="D296" s="36"/>
      <c r="E296" s="36"/>
      <c r="F296" s="36"/>
      <c r="G296" s="36"/>
      <c r="H296" s="37"/>
      <c r="I296" s="37"/>
      <c r="J296" s="37"/>
      <c r="K296" s="37"/>
      <c r="L296" s="37"/>
      <c r="M296" s="37"/>
      <c r="N296" s="37"/>
      <c r="O296" s="37"/>
    </row>
    <row r="297" spans="1:15" s="3" customFormat="1" ht="16.5" customHeight="1">
      <c r="A297" s="119"/>
      <c r="B297" s="53"/>
      <c r="C297" s="128"/>
      <c r="D297" s="36"/>
      <c r="E297" s="36"/>
      <c r="F297" s="36"/>
      <c r="G297" s="36"/>
      <c r="H297" s="37"/>
      <c r="I297" s="37"/>
      <c r="J297" s="37"/>
      <c r="K297" s="37"/>
      <c r="L297" s="37"/>
      <c r="M297" s="37"/>
      <c r="N297" s="37"/>
      <c r="O297" s="37"/>
    </row>
    <row r="298" spans="1:15" s="3" customFormat="1" ht="17.25" customHeight="1">
      <c r="A298" s="147" t="s">
        <v>134</v>
      </c>
      <c r="B298" s="147"/>
      <c r="C298" s="140"/>
      <c r="D298" s="22"/>
      <c r="E298" s="16"/>
      <c r="F298" s="36"/>
      <c r="G298" s="36"/>
      <c r="H298" s="37"/>
      <c r="I298" s="37"/>
      <c r="J298" s="37"/>
      <c r="K298" s="37"/>
      <c r="L298" s="37"/>
      <c r="M298" s="37"/>
      <c r="N298" s="37"/>
      <c r="O298" s="37"/>
    </row>
    <row r="299" spans="1:15" s="3" customFormat="1" ht="17.25" customHeight="1">
      <c r="A299" s="147" t="s">
        <v>135</v>
      </c>
      <c r="B299" s="147"/>
      <c r="C299" s="140"/>
      <c r="D299" s="22"/>
      <c r="E299" s="16"/>
      <c r="F299" s="36"/>
      <c r="G299" s="36"/>
      <c r="H299" s="37"/>
      <c r="I299" s="37"/>
      <c r="J299" s="37"/>
      <c r="K299" s="37"/>
      <c r="L299" s="37"/>
      <c r="M299" s="37"/>
      <c r="N299" s="37"/>
      <c r="O299" s="37"/>
    </row>
    <row r="300" spans="1:15" s="3" customFormat="1" ht="17.25" customHeight="1">
      <c r="A300" s="147"/>
      <c r="B300" s="147"/>
      <c r="C300" s="140"/>
      <c r="D300" s="22"/>
      <c r="E300" s="16"/>
      <c r="F300" s="36"/>
      <c r="G300" s="36"/>
      <c r="H300" s="37"/>
      <c r="I300" s="37"/>
      <c r="J300" s="37"/>
      <c r="K300" s="37"/>
      <c r="L300" s="37"/>
      <c r="M300" s="37"/>
      <c r="N300" s="37"/>
      <c r="O300" s="37"/>
    </row>
    <row r="301" spans="1:15" s="3" customFormat="1" ht="17.25" customHeight="1">
      <c r="A301" s="147"/>
      <c r="B301" s="147"/>
      <c r="C301" s="140"/>
      <c r="D301" s="22"/>
      <c r="E301" s="16"/>
      <c r="F301" s="36"/>
      <c r="G301" s="36"/>
      <c r="H301" s="37"/>
      <c r="I301" s="37"/>
      <c r="J301" s="37"/>
      <c r="K301" s="37"/>
      <c r="L301" s="37"/>
      <c r="M301" s="37"/>
      <c r="N301" s="37"/>
      <c r="O301" s="37"/>
    </row>
    <row r="302" spans="1:15" s="3" customFormat="1" ht="17.25" customHeight="1">
      <c r="A302" s="628"/>
      <c r="B302" s="629"/>
      <c r="C302" s="630"/>
      <c r="D302" s="631"/>
      <c r="E302" s="631"/>
      <c r="F302" s="631"/>
      <c r="G302" s="631"/>
      <c r="H302" s="632"/>
      <c r="I302" s="37"/>
      <c r="J302" s="37"/>
      <c r="K302" s="37"/>
      <c r="L302" s="37"/>
      <c r="M302" s="37"/>
      <c r="N302" s="37"/>
      <c r="O302" s="37"/>
    </row>
    <row r="303" spans="1:15" s="3" customFormat="1" ht="17.25" customHeight="1">
      <c r="A303" s="147" t="s">
        <v>634</v>
      </c>
      <c r="B303" s="147"/>
      <c r="C303" s="140"/>
      <c r="D303" s="22"/>
      <c r="E303" s="16"/>
      <c r="F303" s="36"/>
      <c r="G303" s="36"/>
      <c r="H303" s="37"/>
      <c r="I303" s="37"/>
      <c r="J303" s="37"/>
      <c r="K303" s="37"/>
      <c r="L303" s="37"/>
      <c r="M303" s="37"/>
      <c r="N303" s="37"/>
      <c r="O303" s="37"/>
    </row>
    <row r="304" spans="1:15" s="3" customFormat="1" ht="17.25" customHeight="1">
      <c r="A304" s="147"/>
      <c r="B304" s="147"/>
      <c r="C304" s="140"/>
      <c r="D304" s="22"/>
      <c r="E304" s="16"/>
      <c r="F304" s="36"/>
      <c r="G304" s="36"/>
      <c r="H304" s="37"/>
      <c r="I304" s="37"/>
      <c r="J304" s="37"/>
      <c r="K304" s="37"/>
      <c r="L304" s="37"/>
      <c r="M304" s="37"/>
      <c r="N304" s="37"/>
      <c r="O304" s="37"/>
    </row>
    <row r="305" spans="1:15" s="3" customFormat="1" ht="17.25" customHeight="1">
      <c r="A305" s="147" t="s">
        <v>68</v>
      </c>
      <c r="B305" s="147"/>
      <c r="C305" s="140"/>
      <c r="D305" s="22"/>
      <c r="E305" s="16"/>
      <c r="F305" s="36"/>
      <c r="G305" s="36"/>
      <c r="H305" s="37"/>
      <c r="I305" s="37"/>
      <c r="J305" s="37"/>
      <c r="K305" s="37"/>
      <c r="L305" s="37"/>
      <c r="M305" s="37"/>
      <c r="N305" s="37"/>
      <c r="O305" s="37"/>
    </row>
    <row r="306" spans="1:15" s="3" customFormat="1" ht="17.25" customHeight="1">
      <c r="A306" s="147"/>
      <c r="B306" s="147"/>
      <c r="C306" s="140"/>
      <c r="D306" s="22"/>
      <c r="E306" s="16"/>
      <c r="F306" s="36"/>
      <c r="G306" s="36"/>
      <c r="H306" s="37"/>
      <c r="I306" s="37"/>
      <c r="J306" s="37"/>
      <c r="K306" s="37"/>
      <c r="L306" s="37"/>
      <c r="M306" s="37"/>
      <c r="N306" s="37"/>
      <c r="O306" s="37"/>
    </row>
    <row r="307" spans="1:15" s="3" customFormat="1" ht="17.25" customHeight="1">
      <c r="A307" s="147" t="s">
        <v>70</v>
      </c>
      <c r="B307" s="147"/>
      <c r="C307" s="140"/>
      <c r="D307" s="22"/>
      <c r="E307" s="16"/>
      <c r="F307" s="36"/>
      <c r="G307" s="36"/>
      <c r="H307" s="37"/>
      <c r="I307" s="37"/>
      <c r="J307" s="37"/>
      <c r="K307" s="37"/>
      <c r="L307" s="37"/>
      <c r="M307" s="37"/>
      <c r="N307" s="37"/>
      <c r="O307" s="37"/>
    </row>
    <row r="308" spans="1:15" s="3" customFormat="1" ht="17.25" customHeight="1">
      <c r="A308" s="706" t="s">
        <v>71</v>
      </c>
      <c r="B308" s="706"/>
      <c r="C308" s="707"/>
      <c r="D308" s="708"/>
      <c r="E308" s="631"/>
      <c r="F308" s="685"/>
      <c r="G308" s="36"/>
      <c r="H308" s="37"/>
      <c r="I308" s="37"/>
      <c r="J308" s="37"/>
      <c r="K308" s="37"/>
      <c r="L308" s="37"/>
      <c r="M308" s="37"/>
      <c r="N308" s="37"/>
      <c r="O308" s="37"/>
    </row>
    <row r="309" spans="1:15" s="3" customFormat="1" ht="17.25" customHeight="1">
      <c r="A309" s="706" t="s">
        <v>338</v>
      </c>
      <c r="B309" s="706"/>
      <c r="C309" s="707"/>
      <c r="D309" s="708"/>
      <c r="E309" s="631"/>
      <c r="F309" s="685"/>
      <c r="G309" s="36"/>
      <c r="H309" s="37"/>
      <c r="I309" s="37"/>
      <c r="J309" s="37"/>
      <c r="K309" s="37"/>
      <c r="L309" s="37"/>
      <c r="M309" s="37"/>
      <c r="N309" s="37"/>
      <c r="O309" s="37"/>
    </row>
    <row r="310" spans="1:15" s="3" customFormat="1" ht="17.25" customHeight="1">
      <c r="A310" s="147" t="s">
        <v>638</v>
      </c>
      <c r="B310" s="147"/>
      <c r="C310" s="140"/>
      <c r="D310" s="22"/>
      <c r="E310" s="16"/>
      <c r="F310" s="36"/>
      <c r="G310" s="36"/>
      <c r="H310" s="37"/>
      <c r="I310" s="37"/>
      <c r="J310" s="37"/>
      <c r="K310" s="37"/>
      <c r="L310" s="37"/>
      <c r="M310" s="37"/>
      <c r="N310" s="37"/>
      <c r="O310" s="37"/>
    </row>
    <row r="311" spans="1:15" s="3" customFormat="1" ht="17.25" customHeight="1">
      <c r="A311" s="147"/>
      <c r="B311" s="147"/>
      <c r="C311" s="140"/>
      <c r="D311" s="22"/>
      <c r="E311" s="16"/>
      <c r="F311" s="36"/>
      <c r="G311" s="36"/>
      <c r="H311" s="37"/>
      <c r="I311" s="37"/>
      <c r="J311" s="37"/>
      <c r="K311" s="37"/>
      <c r="L311" s="37"/>
      <c r="M311" s="37"/>
      <c r="N311" s="37"/>
      <c r="O311" s="37"/>
    </row>
    <row r="312" spans="1:15" s="3" customFormat="1" ht="17.25" customHeight="1">
      <c r="A312" s="147"/>
      <c r="B312" s="147"/>
      <c r="C312" s="140"/>
      <c r="D312" s="22"/>
      <c r="E312" s="16"/>
      <c r="F312" s="36"/>
      <c r="G312" s="36"/>
      <c r="H312" s="37"/>
      <c r="I312" s="37"/>
      <c r="J312" s="37"/>
      <c r="K312" s="37"/>
      <c r="L312" s="37"/>
      <c r="M312" s="37"/>
      <c r="N312" s="37"/>
      <c r="O312" s="37"/>
    </row>
    <row r="313" spans="1:15" s="3" customFormat="1" ht="17.25" customHeight="1">
      <c r="A313" s="147" t="s">
        <v>69</v>
      </c>
      <c r="B313" s="147"/>
      <c r="C313" s="140"/>
      <c r="D313" s="22"/>
      <c r="E313" s="16"/>
      <c r="F313" s="36"/>
      <c r="G313" s="36"/>
      <c r="H313" s="37"/>
      <c r="I313" s="37"/>
      <c r="J313" s="37"/>
      <c r="K313" s="37"/>
      <c r="L313" s="37"/>
      <c r="M313" s="37"/>
      <c r="N313" s="37"/>
      <c r="O313" s="37"/>
    </row>
    <row r="314" spans="1:15" s="3" customFormat="1" ht="17.25" customHeight="1">
      <c r="A314" s="147"/>
      <c r="B314" s="147"/>
      <c r="C314" s="140"/>
      <c r="D314" s="22"/>
      <c r="E314" s="16"/>
      <c r="F314" s="36"/>
      <c r="G314" s="36"/>
      <c r="H314" s="37"/>
      <c r="I314" s="37"/>
      <c r="J314" s="37"/>
      <c r="K314" s="37"/>
      <c r="L314" s="37"/>
      <c r="M314" s="37"/>
      <c r="N314" s="37"/>
      <c r="O314" s="37"/>
    </row>
    <row r="315" spans="1:15" s="3" customFormat="1" ht="17.25" customHeight="1">
      <c r="A315" s="147" t="s">
        <v>336</v>
      </c>
      <c r="B315" s="147"/>
      <c r="C315" s="140"/>
      <c r="D315" s="22"/>
      <c r="E315" s="16"/>
      <c r="F315" s="36"/>
      <c r="G315" s="36"/>
      <c r="H315" s="37"/>
      <c r="I315" s="37"/>
      <c r="J315" s="37"/>
      <c r="K315" s="37"/>
      <c r="L315" s="37"/>
      <c r="M315" s="37"/>
      <c r="N315" s="37"/>
      <c r="O315" s="37"/>
    </row>
    <row r="316" spans="1:15" s="686" customFormat="1" ht="17.25" customHeight="1">
      <c r="A316" s="706" t="s">
        <v>337</v>
      </c>
      <c r="B316" s="706"/>
      <c r="C316" s="707"/>
      <c r="D316" s="708"/>
      <c r="E316" s="631"/>
      <c r="F316" s="685"/>
      <c r="G316" s="685"/>
      <c r="H316" s="687"/>
      <c r="I316" s="687"/>
      <c r="J316" s="687"/>
      <c r="K316" s="687"/>
      <c r="L316" s="687"/>
      <c r="M316" s="687"/>
      <c r="N316" s="687"/>
      <c r="O316" s="687"/>
    </row>
    <row r="317" spans="1:15" s="3" customFormat="1" ht="17.25" customHeight="1">
      <c r="A317" s="706" t="s">
        <v>338</v>
      </c>
      <c r="B317" s="706"/>
      <c r="C317" s="707"/>
      <c r="D317" s="708"/>
      <c r="E317" s="631"/>
      <c r="F317" s="685"/>
      <c r="G317" s="36"/>
      <c r="H317" s="37"/>
      <c r="I317" s="37"/>
      <c r="J317" s="37"/>
      <c r="K317" s="37"/>
      <c r="L317" s="37"/>
      <c r="M317" s="37"/>
      <c r="N317" s="37"/>
      <c r="O317" s="37"/>
    </row>
    <row r="318" spans="1:15" s="3" customFormat="1" ht="17.25" customHeight="1">
      <c r="A318" s="147" t="s">
        <v>342</v>
      </c>
      <c r="B318" s="147"/>
      <c r="C318" s="140"/>
      <c r="D318" s="22"/>
      <c r="E318" s="16"/>
      <c r="F318" s="36"/>
      <c r="G318" s="36"/>
      <c r="H318" s="37"/>
      <c r="I318" s="37"/>
      <c r="J318" s="37"/>
      <c r="K318" s="37"/>
      <c r="L318" s="37"/>
      <c r="M318" s="37"/>
      <c r="N318" s="37"/>
      <c r="O318" s="37"/>
    </row>
    <row r="319" spans="1:15" s="3" customFormat="1" ht="17.25" customHeight="1">
      <c r="A319" s="147"/>
      <c r="B319" s="147"/>
      <c r="C319" s="140"/>
      <c r="D319" s="22"/>
      <c r="E319" s="16"/>
      <c r="F319" s="36"/>
      <c r="G319" s="36"/>
      <c r="H319" s="37"/>
      <c r="I319" s="37"/>
      <c r="J319" s="37"/>
      <c r="K319" s="37"/>
      <c r="L319" s="37"/>
      <c r="M319" s="37"/>
      <c r="N319" s="37"/>
      <c r="O319" s="37"/>
    </row>
    <row r="320" spans="1:15" s="3" customFormat="1" ht="17.25" customHeight="1">
      <c r="A320" s="147"/>
      <c r="B320" s="147"/>
      <c r="C320" s="140"/>
      <c r="D320" s="22"/>
      <c r="E320" s="16"/>
      <c r="F320" s="36"/>
      <c r="G320" s="36"/>
      <c r="H320" s="37"/>
      <c r="I320" s="37"/>
      <c r="J320" s="37"/>
      <c r="K320" s="37"/>
      <c r="L320" s="37"/>
      <c r="M320" s="37"/>
      <c r="N320" s="37"/>
      <c r="O320" s="37"/>
    </row>
    <row r="321" spans="1:15" s="3" customFormat="1" ht="17.25" customHeight="1">
      <c r="A321" s="147"/>
      <c r="B321" s="147"/>
      <c r="C321" s="140"/>
      <c r="D321" s="22"/>
      <c r="E321" s="16"/>
      <c r="F321" s="36"/>
      <c r="G321" s="36"/>
      <c r="H321" s="37"/>
      <c r="I321" s="37"/>
      <c r="J321" s="37"/>
      <c r="K321" s="37"/>
      <c r="L321" s="37"/>
      <c r="M321" s="37"/>
      <c r="N321" s="37"/>
      <c r="O321" s="37"/>
    </row>
    <row r="322" spans="1:15" s="3" customFormat="1" ht="17.25" customHeight="1">
      <c r="A322" s="709" t="s">
        <v>635</v>
      </c>
      <c r="B322" s="50"/>
      <c r="C322" s="50"/>
      <c r="D322" s="16"/>
      <c r="E322" s="16"/>
      <c r="F322" s="36"/>
      <c r="G322" s="36"/>
      <c r="H322" s="37"/>
      <c r="I322" s="37"/>
      <c r="J322" s="37"/>
      <c r="K322" s="37"/>
      <c r="L322" s="37"/>
      <c r="M322" s="37"/>
      <c r="N322" s="37"/>
      <c r="O322" s="37"/>
    </row>
    <row r="323" spans="1:15" s="3" customFormat="1" ht="17.25" customHeight="1">
      <c r="A323" s="709"/>
      <c r="B323" s="50"/>
      <c r="C323" s="50"/>
      <c r="D323" s="16"/>
      <c r="E323" s="16"/>
      <c r="F323" s="36"/>
      <c r="G323" s="36"/>
      <c r="H323" s="37"/>
      <c r="I323" s="37"/>
      <c r="J323" s="37"/>
      <c r="K323" s="37"/>
      <c r="L323" s="37"/>
      <c r="M323" s="37"/>
      <c r="N323" s="37"/>
      <c r="O323" s="37"/>
    </row>
    <row r="324" spans="1:15" s="3" customFormat="1" ht="17.25" customHeight="1">
      <c r="A324" s="709" t="s">
        <v>341</v>
      </c>
      <c r="B324" s="50"/>
      <c r="C324" s="50"/>
      <c r="D324" s="16"/>
      <c r="E324" s="16"/>
      <c r="F324" s="36"/>
      <c r="G324" s="36"/>
      <c r="H324" s="37"/>
      <c r="I324" s="37"/>
      <c r="J324" s="37"/>
      <c r="K324" s="37"/>
      <c r="L324" s="37"/>
      <c r="M324" s="37"/>
      <c r="N324" s="37"/>
      <c r="O324" s="37"/>
    </row>
    <row r="325" spans="1:15" s="3" customFormat="1" ht="17.25" customHeight="1">
      <c r="A325" s="148"/>
      <c r="B325" s="50"/>
      <c r="C325" s="50"/>
      <c r="D325" s="16"/>
      <c r="E325" s="16"/>
      <c r="F325" s="36"/>
      <c r="G325" s="36"/>
      <c r="H325" s="37"/>
      <c r="I325" s="37"/>
      <c r="J325" s="37"/>
      <c r="K325" s="37"/>
      <c r="L325" s="37"/>
      <c r="M325" s="37"/>
      <c r="N325" s="37"/>
      <c r="O325" s="37"/>
    </row>
    <row r="326" spans="1:15" s="3" customFormat="1" ht="17.25" customHeight="1">
      <c r="A326" s="709" t="s">
        <v>339</v>
      </c>
      <c r="B326" s="630"/>
      <c r="C326" s="630"/>
      <c r="D326" s="631"/>
      <c r="E326" s="631"/>
      <c r="F326" s="36"/>
      <c r="G326" s="36"/>
      <c r="H326" s="37"/>
      <c r="I326" s="37"/>
      <c r="J326" s="37"/>
      <c r="K326" s="37"/>
      <c r="L326" s="37"/>
      <c r="M326" s="37"/>
      <c r="N326" s="37"/>
      <c r="O326" s="37"/>
    </row>
    <row r="327" spans="1:15" s="3" customFormat="1" ht="17.25" customHeight="1">
      <c r="A327" s="710" t="s">
        <v>340</v>
      </c>
      <c r="B327" s="630"/>
      <c r="C327" s="630"/>
      <c r="D327" s="631"/>
      <c r="E327" s="631"/>
      <c r="F327" s="36"/>
      <c r="G327" s="36"/>
      <c r="H327" s="37"/>
      <c r="I327" s="37"/>
      <c r="J327" s="37"/>
      <c r="K327" s="37"/>
      <c r="L327" s="37"/>
      <c r="M327" s="37"/>
      <c r="N327" s="37"/>
      <c r="O327" s="37"/>
    </row>
    <row r="328" spans="1:15" s="3" customFormat="1" ht="17.25" customHeight="1">
      <c r="A328" s="709" t="s">
        <v>343</v>
      </c>
      <c r="B328" s="101"/>
      <c r="C328" s="50"/>
      <c r="D328" s="16"/>
      <c r="E328" s="16"/>
      <c r="F328" s="36"/>
      <c r="G328" s="36"/>
      <c r="H328" s="37"/>
      <c r="I328" s="37"/>
      <c r="J328" s="37"/>
      <c r="K328" s="37"/>
      <c r="L328" s="37"/>
      <c r="M328" s="37"/>
      <c r="N328" s="37"/>
      <c r="O328" s="37"/>
    </row>
    <row r="329" spans="1:15" s="3" customFormat="1" ht="17.25" customHeight="1">
      <c r="A329" s="147"/>
      <c r="B329" s="147"/>
      <c r="C329" s="140"/>
      <c r="D329" s="22"/>
      <c r="E329" s="16"/>
      <c r="F329" s="36"/>
      <c r="G329" s="36"/>
      <c r="H329" s="37"/>
      <c r="I329" s="37"/>
      <c r="J329" s="37"/>
      <c r="K329" s="37"/>
      <c r="L329" s="37"/>
      <c r="M329" s="37"/>
      <c r="N329" s="37"/>
      <c r="O329" s="37"/>
    </row>
    <row r="330" spans="1:15" s="3" customFormat="1" ht="17.25" customHeight="1">
      <c r="A330" s="628"/>
      <c r="B330" s="629"/>
      <c r="C330" s="630"/>
      <c r="D330" s="631"/>
      <c r="E330" s="631"/>
      <c r="F330" s="631"/>
      <c r="G330" s="631"/>
      <c r="H330" s="632"/>
      <c r="I330" s="37"/>
      <c r="J330" s="37"/>
      <c r="K330" s="37"/>
      <c r="L330" s="37"/>
      <c r="M330" s="37"/>
      <c r="N330" s="37"/>
      <c r="O330" s="37"/>
    </row>
    <row r="331" spans="1:15" s="3" customFormat="1" ht="17.25" customHeight="1">
      <c r="A331" s="709" t="s">
        <v>364</v>
      </c>
      <c r="B331" s="50"/>
      <c r="C331" s="50"/>
      <c r="D331" s="631"/>
      <c r="E331" s="631"/>
      <c r="F331" s="631"/>
      <c r="G331" s="631"/>
      <c r="H331" s="632"/>
      <c r="I331" s="37"/>
      <c r="J331" s="37"/>
      <c r="K331" s="37"/>
      <c r="L331" s="37"/>
      <c r="M331" s="37"/>
      <c r="N331" s="37"/>
      <c r="O331" s="37"/>
    </row>
    <row r="332" spans="1:15" s="3" customFormat="1" ht="17.25" customHeight="1">
      <c r="A332" s="148"/>
      <c r="B332" s="50"/>
      <c r="C332" s="50"/>
      <c r="D332" s="631"/>
      <c r="E332" s="631"/>
      <c r="F332" s="631"/>
      <c r="G332" s="631"/>
      <c r="H332" s="632"/>
      <c r="I332" s="37"/>
      <c r="J332" s="37"/>
      <c r="K332" s="37"/>
      <c r="L332" s="37"/>
      <c r="M332" s="37"/>
      <c r="N332" s="37"/>
      <c r="O332" s="37"/>
    </row>
    <row r="333" spans="1:15" s="3" customFormat="1" ht="17.25" customHeight="1">
      <c r="A333" s="709" t="s">
        <v>344</v>
      </c>
      <c r="B333" s="630"/>
      <c r="C333" s="630"/>
      <c r="D333" s="631"/>
      <c r="E333" s="631"/>
      <c r="F333" s="631"/>
      <c r="G333" s="631"/>
      <c r="H333" s="632"/>
      <c r="I333" s="37"/>
      <c r="J333" s="37"/>
      <c r="K333" s="37"/>
      <c r="L333" s="37"/>
      <c r="M333" s="37"/>
      <c r="N333" s="37"/>
      <c r="O333" s="37"/>
    </row>
    <row r="334" spans="1:15" s="3" customFormat="1" ht="17.25" customHeight="1">
      <c r="A334" s="710" t="s">
        <v>340</v>
      </c>
      <c r="B334" s="630"/>
      <c r="C334" s="630"/>
      <c r="D334" s="631"/>
      <c r="E334" s="631"/>
      <c r="F334" s="631"/>
      <c r="G334" s="631"/>
      <c r="H334" s="632"/>
      <c r="I334" s="37"/>
      <c r="J334" s="37"/>
      <c r="K334" s="37"/>
      <c r="L334" s="37"/>
      <c r="M334" s="37"/>
      <c r="N334" s="37"/>
      <c r="O334" s="37"/>
    </row>
    <row r="335" spans="1:15" s="3" customFormat="1" ht="17.25" customHeight="1">
      <c r="A335" s="709" t="s">
        <v>345</v>
      </c>
      <c r="B335" s="101"/>
      <c r="C335" s="50"/>
      <c r="D335" s="631"/>
      <c r="E335" s="631"/>
      <c r="F335" s="631"/>
      <c r="G335" s="631"/>
      <c r="H335" s="632"/>
      <c r="I335" s="37"/>
      <c r="J335" s="37"/>
      <c r="K335" s="37"/>
      <c r="L335" s="37"/>
      <c r="M335" s="37"/>
      <c r="N335" s="37"/>
      <c r="O335" s="37"/>
    </row>
    <row r="336" spans="1:15" s="3" customFormat="1" ht="17.25" customHeight="1">
      <c r="A336" s="628"/>
      <c r="B336" s="629"/>
      <c r="C336" s="630"/>
      <c r="D336" s="631"/>
      <c r="E336" s="631"/>
      <c r="F336" s="631"/>
      <c r="G336" s="631"/>
      <c r="H336" s="632"/>
      <c r="I336" s="37"/>
      <c r="J336" s="37"/>
      <c r="K336" s="37"/>
      <c r="L336" s="37"/>
      <c r="M336" s="37"/>
      <c r="N336" s="37"/>
      <c r="O336" s="37"/>
    </row>
    <row r="337" spans="1:15" s="3" customFormat="1" ht="17.25" customHeight="1">
      <c r="A337" s="628"/>
      <c r="B337" s="629"/>
      <c r="C337" s="630"/>
      <c r="D337" s="631"/>
      <c r="E337" s="631"/>
      <c r="F337" s="631"/>
      <c r="G337" s="631"/>
      <c r="H337" s="632"/>
      <c r="I337" s="37"/>
      <c r="J337" s="37"/>
      <c r="K337" s="37"/>
      <c r="L337" s="37"/>
      <c r="M337" s="37"/>
      <c r="N337" s="37"/>
      <c r="O337" s="37"/>
    </row>
    <row r="338" spans="1:15" s="3" customFormat="1" ht="17.25" customHeight="1">
      <c r="A338" s="628"/>
      <c r="B338" s="629"/>
      <c r="C338" s="630"/>
      <c r="D338" s="631"/>
      <c r="E338" s="631"/>
      <c r="F338" s="631"/>
      <c r="G338" s="631"/>
      <c r="H338" s="632"/>
      <c r="I338" s="37"/>
      <c r="J338" s="37"/>
      <c r="K338" s="37"/>
      <c r="L338" s="37"/>
      <c r="M338" s="37"/>
      <c r="N338" s="37"/>
      <c r="O338" s="37"/>
    </row>
    <row r="339" spans="1:15" ht="18.75">
      <c r="A339" s="787" t="s">
        <v>636</v>
      </c>
      <c r="B339" s="633"/>
      <c r="C339" s="633"/>
      <c r="D339" s="19"/>
      <c r="E339" s="19"/>
      <c r="F339" s="19"/>
      <c r="G339" s="115"/>
      <c r="H339" s="17"/>
      <c r="I339" s="104"/>
      <c r="J339" s="104"/>
      <c r="K339" s="104"/>
      <c r="L339" s="104"/>
      <c r="M339" s="104"/>
      <c r="N339" s="104"/>
      <c r="O339" s="104"/>
    </row>
    <row r="340" spans="1:15" ht="15.75">
      <c r="A340" s="148"/>
      <c r="B340" s="50"/>
      <c r="C340" s="50"/>
      <c r="D340" s="16"/>
      <c r="E340" s="16"/>
      <c r="F340" s="16"/>
      <c r="G340" s="115"/>
      <c r="H340" s="109"/>
      <c r="I340" s="104"/>
      <c r="J340" s="104"/>
      <c r="K340" s="104"/>
      <c r="L340" s="104"/>
      <c r="M340" s="104"/>
      <c r="N340" s="104"/>
      <c r="O340" s="104"/>
    </row>
    <row r="341" spans="1:15" ht="15.75">
      <c r="A341" s="148"/>
      <c r="B341" s="50"/>
      <c r="C341" s="50"/>
      <c r="D341" s="16"/>
      <c r="E341" s="16"/>
      <c r="F341" s="16"/>
      <c r="G341" s="115"/>
      <c r="H341" s="109"/>
      <c r="I341" s="104"/>
      <c r="J341" s="104"/>
      <c r="K341" s="104"/>
      <c r="L341" s="104"/>
      <c r="M341" s="104"/>
      <c r="N341" s="104"/>
      <c r="O341" s="104"/>
    </row>
    <row r="342" spans="1:15" ht="16.5">
      <c r="A342" s="119" t="s">
        <v>584</v>
      </c>
      <c r="B342" s="119"/>
      <c r="C342" s="120"/>
      <c r="D342" s="19"/>
      <c r="E342" s="16"/>
      <c r="F342" s="16"/>
      <c r="G342" s="109">
        <f>191866.6+149929.58-13757.05</f>
        <v>328039.13</v>
      </c>
      <c r="H342" s="109"/>
      <c r="I342" s="104"/>
      <c r="J342" s="104"/>
      <c r="K342" s="104"/>
      <c r="L342" s="104"/>
      <c r="M342" s="104"/>
      <c r="N342" s="104"/>
      <c r="O342" s="104"/>
    </row>
    <row r="343" spans="1:15" ht="16.5">
      <c r="A343" s="119" t="s">
        <v>136</v>
      </c>
      <c r="B343" s="119"/>
      <c r="C343" s="120"/>
      <c r="D343" s="19"/>
      <c r="E343" s="16"/>
      <c r="F343" s="16"/>
      <c r="G343" s="109">
        <f>G342+48402.14</f>
        <v>376441.27</v>
      </c>
      <c r="H343" s="109"/>
      <c r="I343" s="104"/>
      <c r="J343" s="104"/>
      <c r="K343" s="104"/>
      <c r="L343" s="104"/>
      <c r="M343" s="104"/>
      <c r="N343" s="104"/>
      <c r="O343" s="104"/>
    </row>
    <row r="344" spans="1:15" ht="16.5">
      <c r="A344" s="119" t="s">
        <v>137</v>
      </c>
      <c r="B344" s="119"/>
      <c r="C344" s="120"/>
      <c r="D344" s="19"/>
      <c r="E344" s="16"/>
      <c r="F344" s="16"/>
      <c r="G344" s="109"/>
      <c r="H344" s="109"/>
      <c r="I344" s="104"/>
      <c r="J344" s="104"/>
      <c r="K344" s="104"/>
      <c r="L344" s="104"/>
      <c r="M344" s="104"/>
      <c r="N344" s="104"/>
      <c r="O344" s="104"/>
    </row>
    <row r="345" spans="1:15" ht="16.5">
      <c r="A345" s="119"/>
      <c r="B345" s="119"/>
      <c r="C345" s="120"/>
      <c r="D345" s="19"/>
      <c r="E345" s="16"/>
      <c r="F345" s="16"/>
      <c r="G345" s="109"/>
      <c r="H345" s="109"/>
      <c r="I345" s="104"/>
      <c r="J345" s="104"/>
      <c r="K345" s="104"/>
      <c r="L345" s="104"/>
      <c r="M345" s="104"/>
      <c r="N345" s="104"/>
      <c r="O345" s="104"/>
    </row>
    <row r="346" spans="1:15" ht="16.5">
      <c r="A346" s="119"/>
      <c r="B346" s="119" t="s">
        <v>138</v>
      </c>
      <c r="C346" s="788"/>
      <c r="D346" s="789"/>
      <c r="E346" s="16"/>
      <c r="F346" s="16"/>
      <c r="G346" s="109">
        <f>191866.6-13757.05</f>
        <v>178109.55000000002</v>
      </c>
      <c r="H346" s="109"/>
      <c r="I346" s="104"/>
      <c r="J346" s="104"/>
      <c r="K346" s="104"/>
      <c r="L346" s="104"/>
      <c r="M346" s="104"/>
      <c r="N346" s="104"/>
      <c r="O346" s="104"/>
    </row>
    <row r="347" spans="1:15" ht="16.5">
      <c r="A347" s="119"/>
      <c r="B347" s="119" t="s">
        <v>139</v>
      </c>
      <c r="C347" s="788"/>
      <c r="D347" s="789"/>
      <c r="E347" s="16"/>
      <c r="F347" s="16"/>
      <c r="G347" s="109">
        <f>G346+48402.14</f>
        <v>226511.69</v>
      </c>
      <c r="H347" s="109"/>
      <c r="I347" s="104"/>
      <c r="J347" s="104"/>
      <c r="K347" s="104"/>
      <c r="L347" s="104"/>
      <c r="M347" s="104"/>
      <c r="N347" s="104"/>
      <c r="O347" s="104"/>
    </row>
    <row r="348" spans="1:15" ht="15.75">
      <c r="A348" s="148"/>
      <c r="B348" s="50"/>
      <c r="C348" s="50"/>
      <c r="D348" s="16"/>
      <c r="E348" s="16"/>
      <c r="F348" s="16"/>
      <c r="G348" s="115"/>
      <c r="H348" s="109"/>
      <c r="I348" s="104"/>
      <c r="J348" s="104"/>
      <c r="K348" s="104"/>
      <c r="L348" s="104"/>
      <c r="M348" s="104"/>
      <c r="N348" s="104"/>
      <c r="O348" s="104"/>
    </row>
    <row r="349" spans="1:15" ht="16.5" customHeight="1">
      <c r="A349" s="119"/>
      <c r="B349" s="119"/>
      <c r="C349" s="120"/>
      <c r="D349" s="19"/>
      <c r="E349" s="16"/>
      <c r="F349" s="16"/>
      <c r="G349" s="109"/>
      <c r="H349" s="109"/>
      <c r="I349" s="104"/>
      <c r="J349" s="104"/>
      <c r="K349" s="104"/>
      <c r="L349" s="104"/>
      <c r="M349" s="104"/>
      <c r="N349" s="104"/>
      <c r="O349" s="104"/>
    </row>
    <row r="350" spans="1:15" ht="16.5">
      <c r="A350" s="119" t="s">
        <v>67</v>
      </c>
      <c r="B350" s="119"/>
      <c r="C350" s="120"/>
      <c r="D350" s="19"/>
      <c r="E350" s="16"/>
      <c r="F350" s="16"/>
      <c r="G350" s="109">
        <f>150882.59+215550-11200-20000</f>
        <v>335232.58999999997</v>
      </c>
      <c r="H350" s="109"/>
      <c r="I350" s="104"/>
      <c r="J350" s="104"/>
      <c r="K350" s="104"/>
      <c r="L350" s="104"/>
      <c r="M350" s="104"/>
      <c r="N350" s="104"/>
      <c r="O350" s="104"/>
    </row>
    <row r="351" spans="1:15" ht="16.5">
      <c r="A351" s="119" t="s">
        <v>136</v>
      </c>
      <c r="B351" s="119"/>
      <c r="C351" s="120"/>
      <c r="D351" s="19"/>
      <c r="E351" s="16"/>
      <c r="F351" s="16"/>
      <c r="G351" s="109">
        <f>G350-10000</f>
        <v>325232.58999999997</v>
      </c>
      <c r="H351" s="109"/>
      <c r="I351" s="104"/>
      <c r="J351" s="104"/>
      <c r="K351" s="104"/>
      <c r="L351" s="104"/>
      <c r="M351" s="104"/>
      <c r="N351" s="104"/>
      <c r="O351" s="104"/>
    </row>
    <row r="352" spans="1:15" ht="16.5">
      <c r="A352" s="119" t="s">
        <v>137</v>
      </c>
      <c r="B352" s="119"/>
      <c r="C352" s="120"/>
      <c r="D352" s="19"/>
      <c r="E352" s="16"/>
      <c r="F352" s="16"/>
      <c r="G352" s="109"/>
      <c r="H352" s="109"/>
      <c r="I352" s="104"/>
      <c r="J352" s="104"/>
      <c r="K352" s="104"/>
      <c r="L352" s="104"/>
      <c r="M352" s="104"/>
      <c r="N352" s="104"/>
      <c r="O352" s="104"/>
    </row>
    <row r="353" spans="1:15" ht="16.5">
      <c r="A353" s="119"/>
      <c r="B353" s="119"/>
      <c r="C353" s="788"/>
      <c r="D353" s="789"/>
      <c r="E353" s="16"/>
      <c r="F353" s="16"/>
      <c r="G353" s="109"/>
      <c r="H353" s="109"/>
      <c r="I353" s="104"/>
      <c r="J353" s="104"/>
      <c r="K353" s="104"/>
      <c r="L353" s="104"/>
      <c r="M353" s="104"/>
      <c r="N353" s="104"/>
      <c r="O353" s="104"/>
    </row>
    <row r="354" spans="1:15" ht="16.5">
      <c r="A354" s="119"/>
      <c r="B354" s="119" t="s">
        <v>433</v>
      </c>
      <c r="C354" s="788"/>
      <c r="D354" s="789"/>
      <c r="E354" s="16"/>
      <c r="F354" s="16"/>
      <c r="G354" s="109">
        <f>215550-20000</f>
        <v>195550</v>
      </c>
      <c r="H354" s="109"/>
      <c r="I354" s="104"/>
      <c r="J354" s="104"/>
      <c r="K354" s="104"/>
      <c r="L354" s="104"/>
      <c r="M354" s="104"/>
      <c r="N354" s="104"/>
      <c r="O354" s="104"/>
    </row>
    <row r="355" spans="1:15" ht="16.5">
      <c r="A355" s="119"/>
      <c r="B355" s="119" t="s">
        <v>139</v>
      </c>
      <c r="C355" s="788"/>
      <c r="D355" s="789"/>
      <c r="E355" s="16"/>
      <c r="F355" s="16"/>
      <c r="G355" s="109">
        <f>G354-10000</f>
        <v>185550</v>
      </c>
      <c r="H355" s="109"/>
      <c r="I355" s="104"/>
      <c r="J355" s="104"/>
      <c r="K355" s="104"/>
      <c r="L355" s="104"/>
      <c r="M355" s="104"/>
      <c r="N355" s="104"/>
      <c r="O355" s="104"/>
    </row>
    <row r="356" spans="1:15" ht="16.5">
      <c r="A356" s="119"/>
      <c r="B356" s="119"/>
      <c r="C356" s="120"/>
      <c r="D356" s="19"/>
      <c r="E356" s="16"/>
      <c r="F356" s="16"/>
      <c r="G356" s="109"/>
      <c r="H356" s="109"/>
      <c r="I356" s="104"/>
      <c r="J356" s="104"/>
      <c r="K356" s="104"/>
      <c r="L356" s="104"/>
      <c r="M356" s="104"/>
      <c r="N356" s="104"/>
      <c r="O356" s="104"/>
    </row>
    <row r="357" spans="1:15" ht="15.75">
      <c r="A357" s="108"/>
      <c r="B357" s="108"/>
      <c r="C357" s="149"/>
      <c r="D357" s="150"/>
      <c r="E357" s="16"/>
      <c r="F357" s="16"/>
      <c r="G357" s="109"/>
      <c r="H357" s="109"/>
      <c r="I357" s="104"/>
      <c r="J357" s="104"/>
      <c r="K357" s="104"/>
      <c r="L357" s="104"/>
      <c r="M357" s="104"/>
      <c r="N357" s="104"/>
      <c r="O357" s="104"/>
    </row>
    <row r="358" spans="1:15" ht="15.75">
      <c r="A358" s="108"/>
      <c r="B358" s="108"/>
      <c r="C358" s="149"/>
      <c r="D358" s="150"/>
      <c r="E358" s="16"/>
      <c r="F358" s="16"/>
      <c r="G358" s="109"/>
      <c r="H358" s="109"/>
      <c r="I358" s="104"/>
      <c r="J358" s="104"/>
      <c r="K358" s="104"/>
      <c r="L358" s="104"/>
      <c r="M358" s="104"/>
      <c r="N358" s="104"/>
      <c r="O358" s="104"/>
    </row>
    <row r="359" spans="1:8" ht="16.5" customHeight="1">
      <c r="A359" s="75" t="s">
        <v>140</v>
      </c>
      <c r="B359" s="75"/>
      <c r="C359" s="151"/>
      <c r="D359" s="152"/>
      <c r="E359" s="152"/>
      <c r="F359" s="153"/>
      <c r="G359" s="152"/>
      <c r="H359" s="109"/>
    </row>
    <row r="360" spans="1:8" ht="16.5" customHeight="1">
      <c r="A360" s="75"/>
      <c r="B360" s="75"/>
      <c r="C360" s="151"/>
      <c r="D360" s="152"/>
      <c r="E360" s="152"/>
      <c r="F360" s="153"/>
      <c r="G360" s="152"/>
      <c r="H360" s="109"/>
    </row>
    <row r="361" spans="1:8" ht="16.5" customHeight="1">
      <c r="A361" s="75"/>
      <c r="B361" s="75"/>
      <c r="C361" s="151"/>
      <c r="D361" s="152"/>
      <c r="E361" s="152"/>
      <c r="F361" s="153"/>
      <c r="G361" s="152"/>
      <c r="H361" s="109"/>
    </row>
    <row r="362" spans="1:8" ht="18" customHeight="1">
      <c r="A362" s="154" t="s">
        <v>141</v>
      </c>
      <c r="B362" s="154"/>
      <c r="C362" s="155"/>
      <c r="D362" s="156"/>
      <c r="E362" s="156"/>
      <c r="F362" s="157"/>
      <c r="G362" s="156"/>
      <c r="H362" s="17"/>
    </row>
    <row r="363" spans="1:8" ht="18" customHeight="1">
      <c r="A363" s="154"/>
      <c r="B363" s="154"/>
      <c r="C363" s="155"/>
      <c r="D363" s="156"/>
      <c r="E363" s="156"/>
      <c r="F363" s="157"/>
      <c r="G363" s="156"/>
      <c r="H363" s="17"/>
    </row>
    <row r="364" spans="1:8" ht="18" customHeight="1">
      <c r="A364" s="59"/>
      <c r="B364" s="108"/>
      <c r="C364" s="149"/>
      <c r="D364" s="150"/>
      <c r="E364" s="15"/>
      <c r="F364" s="15"/>
      <c r="G364" s="15"/>
      <c r="H364" s="17"/>
    </row>
    <row r="365" spans="1:8" ht="16.5" customHeight="1">
      <c r="A365" s="75" t="s">
        <v>142</v>
      </c>
      <c r="B365" s="75"/>
      <c r="C365" s="151"/>
      <c r="D365" s="152"/>
      <c r="E365" s="152"/>
      <c r="F365" s="153"/>
      <c r="G365" s="152"/>
      <c r="H365" s="109"/>
    </row>
    <row r="366" spans="1:8" ht="18.75">
      <c r="A366" s="154"/>
      <c r="B366" s="154"/>
      <c r="C366" s="155"/>
      <c r="D366" s="156"/>
      <c r="E366" s="156"/>
      <c r="F366" s="157"/>
      <c r="G366" s="156"/>
      <c r="H366" s="17"/>
    </row>
    <row r="367" spans="1:7" ht="18.75">
      <c r="A367" s="154" t="s">
        <v>143</v>
      </c>
      <c r="B367" s="154"/>
      <c r="C367" s="155"/>
      <c r="D367" s="156"/>
      <c r="E367" s="156"/>
      <c r="F367" s="157"/>
      <c r="G367" s="156"/>
    </row>
    <row r="368" spans="1:7" ht="18.75">
      <c r="A368" s="154"/>
      <c r="B368" s="154"/>
      <c r="C368" s="155"/>
      <c r="D368" s="156"/>
      <c r="E368" s="156"/>
      <c r="F368" s="157"/>
      <c r="G368" s="156"/>
    </row>
    <row r="369" spans="1:7" ht="18.75">
      <c r="A369" s="154"/>
      <c r="B369" s="154"/>
      <c r="C369" s="155"/>
      <c r="D369" s="156"/>
      <c r="E369" s="156"/>
      <c r="F369" s="157"/>
      <c r="G369" s="156"/>
    </row>
    <row r="370" spans="1:7" ht="18.75">
      <c r="A370" s="154"/>
      <c r="B370" s="154"/>
      <c r="C370" s="155"/>
      <c r="D370" s="156"/>
      <c r="E370" s="156"/>
      <c r="F370" s="157"/>
      <c r="G370" s="156"/>
    </row>
    <row r="371" spans="1:7" ht="18.75">
      <c r="A371" s="72"/>
      <c r="B371" s="72"/>
      <c r="C371" s="73"/>
      <c r="D371" s="158"/>
      <c r="E371" s="158"/>
      <c r="F371" s="159" t="s">
        <v>144</v>
      </c>
      <c r="G371" s="158"/>
    </row>
    <row r="372" spans="1:7" ht="18.75">
      <c r="A372" s="72"/>
      <c r="B372" s="72"/>
      <c r="C372" s="73"/>
      <c r="D372" s="158"/>
      <c r="E372" s="158"/>
      <c r="F372" s="159" t="s">
        <v>145</v>
      </c>
      <c r="G372" s="158"/>
    </row>
    <row r="373" spans="1:7" ht="18.75">
      <c r="A373" s="72"/>
      <c r="B373" s="72"/>
      <c r="C373" s="73"/>
      <c r="D373" s="158"/>
      <c r="E373" s="158"/>
      <c r="F373" s="159"/>
      <c r="G373" s="158"/>
    </row>
    <row r="374" spans="1:7" ht="19.5">
      <c r="A374" s="72"/>
      <c r="B374" s="72"/>
      <c r="C374" s="73"/>
      <c r="D374" s="158"/>
      <c r="E374" s="158"/>
      <c r="F374" s="160" t="s">
        <v>428</v>
      </c>
      <c r="G374" s="158"/>
    </row>
    <row r="375" spans="1:3" ht="18.75">
      <c r="A375" s="50"/>
      <c r="B375" s="50"/>
      <c r="C375" s="50"/>
    </row>
    <row r="376" spans="1:3" ht="18.75">
      <c r="A376" s="50"/>
      <c r="B376" s="50"/>
      <c r="C376" s="50"/>
    </row>
    <row r="377" spans="1:3" ht="18.75">
      <c r="A377" s="50"/>
      <c r="B377" s="50"/>
      <c r="C377" s="50"/>
    </row>
  </sheetData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01"/>
  <sheetViews>
    <sheetView workbookViewId="0" topLeftCell="A67">
      <selection activeCell="F70" sqref="F70"/>
    </sheetView>
  </sheetViews>
  <sheetFormatPr defaultColWidth="9.140625" defaultRowHeight="12.75"/>
  <cols>
    <col min="1" max="1" width="3.57421875" style="45" customWidth="1"/>
    <col min="2" max="2" width="5.140625" style="45" customWidth="1"/>
    <col min="3" max="3" width="6.57421875" style="45" customWidth="1"/>
    <col min="4" max="4" width="5.28125" style="45" customWidth="1"/>
    <col min="5" max="5" width="26.28125" style="45" customWidth="1"/>
    <col min="6" max="6" width="14.7109375" style="45" customWidth="1"/>
    <col min="7" max="7" width="13.421875" style="45" customWidth="1"/>
    <col min="8" max="8" width="23.28125" style="45" customWidth="1"/>
    <col min="9" max="9" width="12.421875" style="45" customWidth="1"/>
    <col min="10" max="10" width="12.28125" style="45" customWidth="1"/>
    <col min="11" max="11" width="8.421875" style="45" customWidth="1"/>
    <col min="12" max="12" width="8.140625" style="45" customWidth="1"/>
    <col min="13" max="13" width="15.140625" style="45" customWidth="1"/>
    <col min="14" max="14" width="20.8515625" style="45" customWidth="1"/>
    <col min="15" max="15" width="14.7109375" style="45" customWidth="1"/>
    <col min="16" max="16384" width="9.140625" style="45" customWidth="1"/>
  </cols>
  <sheetData>
    <row r="1" spans="1:12" ht="20.25">
      <c r="A1" s="168"/>
      <c r="B1" s="169"/>
      <c r="C1" s="169"/>
      <c r="D1" s="168"/>
      <c r="E1" s="170"/>
      <c r="F1" s="170"/>
      <c r="G1" s="170"/>
      <c r="H1" s="171" t="s">
        <v>153</v>
      </c>
      <c r="I1" s="2"/>
      <c r="J1" s="2"/>
      <c r="K1" s="172"/>
      <c r="L1" s="172"/>
    </row>
    <row r="2" spans="1:12" ht="18.75">
      <c r="A2" s="168"/>
      <c r="B2" s="169"/>
      <c r="C2" s="169"/>
      <c r="D2" s="168"/>
      <c r="E2" s="170"/>
      <c r="F2" s="170"/>
      <c r="G2" s="170"/>
      <c r="H2" s="173" t="s">
        <v>653</v>
      </c>
      <c r="I2" s="2"/>
      <c r="J2" s="2"/>
      <c r="K2" s="172"/>
      <c r="L2" s="172"/>
    </row>
    <row r="3" spans="1:12" ht="18.75">
      <c r="A3" s="168"/>
      <c r="B3" s="169"/>
      <c r="C3" s="169"/>
      <c r="D3" s="168"/>
      <c r="E3" s="170"/>
      <c r="F3" s="170"/>
      <c r="G3" s="170"/>
      <c r="H3" s="173" t="s">
        <v>145</v>
      </c>
      <c r="I3" s="2"/>
      <c r="J3" s="174"/>
      <c r="K3" s="172"/>
      <c r="L3" s="172"/>
    </row>
    <row r="4" spans="1:12" ht="18.75">
      <c r="A4" s="168"/>
      <c r="B4" s="169"/>
      <c r="C4" s="169"/>
      <c r="D4" s="168"/>
      <c r="E4" s="170"/>
      <c r="F4" s="170"/>
      <c r="G4" s="170"/>
      <c r="H4" s="173" t="s">
        <v>654</v>
      </c>
      <c r="I4" s="2"/>
      <c r="J4" s="175"/>
      <c r="K4" s="172"/>
      <c r="L4" s="172"/>
    </row>
    <row r="5" spans="1:12" ht="12.75">
      <c r="A5" s="168"/>
      <c r="B5" s="169"/>
      <c r="C5" s="169"/>
      <c r="D5" s="168"/>
      <c r="E5" s="170"/>
      <c r="F5" s="170"/>
      <c r="G5" s="170"/>
      <c r="H5" s="176"/>
      <c r="I5" s="2"/>
      <c r="J5" s="2"/>
      <c r="K5" s="172"/>
      <c r="L5" s="172"/>
    </row>
    <row r="6" spans="1:12" ht="19.5">
      <c r="A6" s="168"/>
      <c r="B6" s="177"/>
      <c r="C6" s="178" t="s">
        <v>154</v>
      </c>
      <c r="D6" s="179"/>
      <c r="E6" s="180"/>
      <c r="F6" s="180"/>
      <c r="G6" s="180"/>
      <c r="H6" s="181"/>
      <c r="I6" s="182"/>
      <c r="J6" s="182"/>
      <c r="K6" s="183"/>
      <c r="L6" s="183"/>
    </row>
    <row r="7" spans="1:12" ht="19.5">
      <c r="A7" s="168"/>
      <c r="B7" s="177"/>
      <c r="C7" s="178"/>
      <c r="D7" s="179"/>
      <c r="E7" s="180"/>
      <c r="F7" s="180"/>
      <c r="G7" s="180"/>
      <c r="H7" s="181"/>
      <c r="I7" s="182"/>
      <c r="J7" s="184"/>
      <c r="K7" s="183"/>
      <c r="L7" s="183"/>
    </row>
    <row r="8" spans="1:12" ht="18.75">
      <c r="A8" s="168"/>
      <c r="B8" s="177"/>
      <c r="C8" s="185"/>
      <c r="D8" s="179"/>
      <c r="E8" s="180"/>
      <c r="F8" s="180"/>
      <c r="G8" s="180"/>
      <c r="H8" s="181"/>
      <c r="I8" s="182"/>
      <c r="J8" s="182"/>
      <c r="K8" s="183"/>
      <c r="L8" s="183"/>
    </row>
    <row r="9" spans="1:12" ht="12.75">
      <c r="A9" s="168"/>
      <c r="B9" s="177" t="s">
        <v>75</v>
      </c>
      <c r="C9" s="186"/>
      <c r="D9" s="187"/>
      <c r="E9" s="180"/>
      <c r="F9" s="180"/>
      <c r="G9" s="180"/>
      <c r="H9" s="188"/>
      <c r="I9" s="189" t="s">
        <v>155</v>
      </c>
      <c r="J9" s="189"/>
      <c r="K9" s="190"/>
      <c r="L9" s="190"/>
    </row>
    <row r="10" spans="1:12" ht="18.75" customHeight="1">
      <c r="A10" s="191"/>
      <c r="B10" s="192"/>
      <c r="C10" s="193"/>
      <c r="D10" s="193"/>
      <c r="E10" s="194"/>
      <c r="F10" s="195"/>
      <c r="G10" s="196"/>
      <c r="H10" s="194"/>
      <c r="I10" s="197" t="s">
        <v>156</v>
      </c>
      <c r="J10" s="196"/>
      <c r="K10" s="198" t="s">
        <v>75</v>
      </c>
      <c r="L10" s="198"/>
    </row>
    <row r="11" spans="1:12" ht="48" customHeight="1">
      <c r="A11" s="199" t="s">
        <v>157</v>
      </c>
      <c r="B11" s="200" t="s">
        <v>158</v>
      </c>
      <c r="C11" s="201" t="s">
        <v>83</v>
      </c>
      <c r="D11" s="201" t="s">
        <v>78</v>
      </c>
      <c r="E11" s="202" t="s">
        <v>159</v>
      </c>
      <c r="F11" s="203" t="s">
        <v>160</v>
      </c>
      <c r="G11" s="204" t="s">
        <v>161</v>
      </c>
      <c r="H11" s="205" t="s">
        <v>162</v>
      </c>
      <c r="I11" s="206"/>
      <c r="J11" s="207" t="s">
        <v>74</v>
      </c>
      <c r="K11" s="208" t="s">
        <v>163</v>
      </c>
      <c r="L11" s="208" t="s">
        <v>164</v>
      </c>
    </row>
    <row r="12" spans="1:15" ht="36.75" customHeight="1">
      <c r="A12" s="209"/>
      <c r="B12" s="210"/>
      <c r="C12" s="211"/>
      <c r="D12" s="211"/>
      <c r="E12" s="212"/>
      <c r="F12" s="213"/>
      <c r="G12" s="214" t="s">
        <v>165</v>
      </c>
      <c r="H12" s="213"/>
      <c r="I12" s="215" t="s">
        <v>165</v>
      </c>
      <c r="J12" s="216" t="s">
        <v>166</v>
      </c>
      <c r="K12" s="217"/>
      <c r="L12" s="217"/>
      <c r="N12" s="722"/>
      <c r="O12" s="722"/>
    </row>
    <row r="13" spans="1:15" ht="21" customHeight="1">
      <c r="A13" s="218"/>
      <c r="B13" s="219" t="s">
        <v>167</v>
      </c>
      <c r="C13" s="220"/>
      <c r="D13" s="221"/>
      <c r="E13" s="222"/>
      <c r="F13" s="223">
        <f>F14+F41+F50+F58+F65+F68+F97+F102+F116+F138+F141</f>
        <v>47487100.06000001</v>
      </c>
      <c r="G13" s="223">
        <f>G14+G41+G50+G58+G65+G68+G97+G102+G116+G138+G141</f>
        <v>5157369.05</v>
      </c>
      <c r="H13" s="223"/>
      <c r="I13" s="223">
        <f>I14+I41+I50+I58+I65+I68+I97+I102+I116+I138+I141</f>
        <v>30696314.21</v>
      </c>
      <c r="J13" s="223">
        <f>J14+J41+J50+J58+J65+J68+J97+J102+J116+J138+J141</f>
        <v>4349997.48</v>
      </c>
      <c r="K13" s="224"/>
      <c r="L13" s="225"/>
      <c r="N13" s="723"/>
      <c r="O13" s="723"/>
    </row>
    <row r="14" spans="1:15" ht="19.5" customHeight="1">
      <c r="A14" s="191"/>
      <c r="B14" s="227">
        <v>600</v>
      </c>
      <c r="C14" s="228"/>
      <c r="D14" s="229"/>
      <c r="E14" s="230" t="s">
        <v>168</v>
      </c>
      <c r="F14" s="231">
        <f>F15+F17</f>
        <v>19888857.05</v>
      </c>
      <c r="G14" s="231">
        <f>G15+G17</f>
        <v>889042.0800000001</v>
      </c>
      <c r="H14" s="231"/>
      <c r="I14" s="231">
        <f>I15+I17</f>
        <v>12647989.95</v>
      </c>
      <c r="J14" s="231">
        <f>J15+J17</f>
        <v>3396997.48</v>
      </c>
      <c r="K14" s="225"/>
      <c r="L14" s="225"/>
      <c r="N14" s="724"/>
      <c r="O14" s="724"/>
    </row>
    <row r="15" spans="1:15" s="364" customFormat="1" ht="19.5" customHeight="1">
      <c r="A15" s="268"/>
      <c r="B15" s="269"/>
      <c r="C15" s="234">
        <v>60004</v>
      </c>
      <c r="D15" s="235"/>
      <c r="E15" s="797" t="s">
        <v>623</v>
      </c>
      <c r="F15" s="798">
        <f>F16</f>
        <v>20000</v>
      </c>
      <c r="G15" s="798">
        <f>G16</f>
        <v>0</v>
      </c>
      <c r="H15" s="798"/>
      <c r="I15" s="798">
        <f>I16</f>
        <v>20000</v>
      </c>
      <c r="J15" s="798">
        <f>J16</f>
        <v>0</v>
      </c>
      <c r="K15" s="238"/>
      <c r="L15" s="238"/>
      <c r="N15" s="799"/>
      <c r="O15" s="799"/>
    </row>
    <row r="16" spans="1:15" s="712" customFormat="1" ht="29.25" customHeight="1">
      <c r="A16" s="199">
        <v>1</v>
      </c>
      <c r="B16" s="265"/>
      <c r="C16" s="209"/>
      <c r="D16" s="258">
        <v>6050</v>
      </c>
      <c r="E16" s="812" t="s">
        <v>622</v>
      </c>
      <c r="F16" s="250">
        <v>20000</v>
      </c>
      <c r="G16" s="250"/>
      <c r="H16" s="250" t="s">
        <v>624</v>
      </c>
      <c r="I16" s="250">
        <v>20000</v>
      </c>
      <c r="J16" s="250"/>
      <c r="K16" s="225" t="s">
        <v>230</v>
      </c>
      <c r="L16" s="225">
        <v>2013</v>
      </c>
      <c r="N16" s="796"/>
      <c r="O16" s="796"/>
    </row>
    <row r="17" spans="1:12" ht="18" customHeight="1">
      <c r="A17" s="209"/>
      <c r="B17" s="233"/>
      <c r="C17" s="234">
        <v>60016</v>
      </c>
      <c r="D17" s="235"/>
      <c r="E17" s="236" t="s">
        <v>169</v>
      </c>
      <c r="F17" s="237">
        <f>SUM(F18:F40)</f>
        <v>19868857.05</v>
      </c>
      <c r="G17" s="237">
        <f>SUM(G18:G40)</f>
        <v>889042.0800000001</v>
      </c>
      <c r="H17" s="237"/>
      <c r="I17" s="237">
        <f>SUM(I18:I40)</f>
        <v>12627989.95</v>
      </c>
      <c r="J17" s="237">
        <f>SUM(J18:J40)</f>
        <v>3396997.48</v>
      </c>
      <c r="K17" s="238"/>
      <c r="L17" s="238"/>
    </row>
    <row r="18" spans="1:13" s="247" customFormat="1" ht="30" customHeight="1">
      <c r="A18" s="239">
        <v>2</v>
      </c>
      <c r="B18" s="240"/>
      <c r="C18" s="241"/>
      <c r="D18" s="242">
        <v>6050</v>
      </c>
      <c r="E18" s="243" t="s">
        <v>170</v>
      </c>
      <c r="F18" s="244">
        <v>1530000</v>
      </c>
      <c r="G18" s="244">
        <v>220000</v>
      </c>
      <c r="H18" s="245" t="s">
        <v>209</v>
      </c>
      <c r="I18" s="244">
        <v>1310000</v>
      </c>
      <c r="J18" s="244">
        <f>585000-288000-88150</f>
        <v>208850</v>
      </c>
      <c r="K18" s="225" t="s">
        <v>210</v>
      </c>
      <c r="L18" s="225" t="s">
        <v>211</v>
      </c>
      <c r="M18" s="246"/>
    </row>
    <row r="19" spans="1:14" s="247" customFormat="1" ht="27.75" customHeight="1">
      <c r="A19" s="239">
        <v>3</v>
      </c>
      <c r="B19" s="240"/>
      <c r="C19" s="241"/>
      <c r="D19" s="242">
        <v>6050</v>
      </c>
      <c r="E19" s="243" t="s">
        <v>212</v>
      </c>
      <c r="F19" s="244">
        <f>1500000-100000-13000</f>
        <v>1387000</v>
      </c>
      <c r="G19" s="831">
        <f>1000000-13000-359457.92</f>
        <v>627542.0800000001</v>
      </c>
      <c r="H19" s="245" t="s">
        <v>213</v>
      </c>
      <c r="I19" s="831">
        <f>500000-100000+163032.03+359457.92</f>
        <v>922489.95</v>
      </c>
      <c r="J19" s="244">
        <f>480000-100000-314456.05</f>
        <v>65543.95000000001</v>
      </c>
      <c r="K19" s="225" t="s">
        <v>210</v>
      </c>
      <c r="L19" s="225" t="s">
        <v>211</v>
      </c>
      <c r="M19" s="246"/>
      <c r="N19" s="246"/>
    </row>
    <row r="20" spans="1:13" s="247" customFormat="1" ht="24" customHeight="1">
      <c r="A20" s="239">
        <v>4</v>
      </c>
      <c r="B20" s="240"/>
      <c r="C20" s="241"/>
      <c r="D20" s="242">
        <v>6050</v>
      </c>
      <c r="E20" s="243" t="s">
        <v>214</v>
      </c>
      <c r="F20" s="244">
        <f>1500000+601000</f>
        <v>2101000</v>
      </c>
      <c r="G20" s="244">
        <v>0</v>
      </c>
      <c r="H20" s="245" t="s">
        <v>215</v>
      </c>
      <c r="I20" s="244">
        <f>601000+1500000</f>
        <v>2101000</v>
      </c>
      <c r="J20" s="244">
        <f>120000+119110</f>
        <v>239110</v>
      </c>
      <c r="K20" s="225" t="s">
        <v>210</v>
      </c>
      <c r="L20" s="225" t="s">
        <v>211</v>
      </c>
      <c r="M20" s="246"/>
    </row>
    <row r="21" spans="1:14" s="247" customFormat="1" ht="26.25" customHeight="1">
      <c r="A21" s="239">
        <v>5</v>
      </c>
      <c r="B21" s="240"/>
      <c r="C21" s="241"/>
      <c r="D21" s="242">
        <v>6050</v>
      </c>
      <c r="E21" s="243" t="s">
        <v>216</v>
      </c>
      <c r="F21" s="244">
        <v>4500000</v>
      </c>
      <c r="G21" s="244">
        <v>0</v>
      </c>
      <c r="H21" s="245" t="s">
        <v>215</v>
      </c>
      <c r="I21" s="244">
        <f>1500000-1400000-13000+1400000</f>
        <v>1487000</v>
      </c>
      <c r="J21" s="244">
        <f>200000+683800-6500-23500-753800-13000+753800-182000</f>
        <v>658800</v>
      </c>
      <c r="K21" s="225" t="s">
        <v>210</v>
      </c>
      <c r="L21" s="225" t="s">
        <v>217</v>
      </c>
      <c r="M21" s="246"/>
      <c r="N21" s="246"/>
    </row>
    <row r="22" spans="1:13" s="247" customFormat="1" ht="28.5" customHeight="1">
      <c r="A22" s="239">
        <v>6</v>
      </c>
      <c r="B22" s="240"/>
      <c r="C22" s="241"/>
      <c r="D22" s="242">
        <v>6050</v>
      </c>
      <c r="E22" s="243" t="s">
        <v>218</v>
      </c>
      <c r="F22" s="244">
        <v>150000</v>
      </c>
      <c r="G22" s="244">
        <v>26500</v>
      </c>
      <c r="H22" s="245" t="s">
        <v>219</v>
      </c>
      <c r="I22" s="244">
        <v>123500</v>
      </c>
      <c r="J22" s="244">
        <v>23500</v>
      </c>
      <c r="K22" s="225" t="s">
        <v>210</v>
      </c>
      <c r="L22" s="225" t="s">
        <v>211</v>
      </c>
      <c r="M22" s="246"/>
    </row>
    <row r="23" spans="1:13" s="247" customFormat="1" ht="37.5" customHeight="1">
      <c r="A23" s="239">
        <v>7</v>
      </c>
      <c r="B23" s="240"/>
      <c r="C23" s="241"/>
      <c r="D23" s="242">
        <v>6050</v>
      </c>
      <c r="E23" s="243" t="s">
        <v>220</v>
      </c>
      <c r="F23" s="244">
        <f>100000-3000</f>
        <v>97000</v>
      </c>
      <c r="G23" s="244">
        <v>10000</v>
      </c>
      <c r="H23" s="245" t="s">
        <v>221</v>
      </c>
      <c r="I23" s="244">
        <f>90000-3000</f>
        <v>87000</v>
      </c>
      <c r="J23" s="244">
        <v>0</v>
      </c>
      <c r="K23" s="225" t="s">
        <v>210</v>
      </c>
      <c r="L23" s="225" t="s">
        <v>211</v>
      </c>
      <c r="M23" s="246"/>
    </row>
    <row r="24" spans="1:13" s="247" customFormat="1" ht="49.5" customHeight="1">
      <c r="A24" s="239">
        <v>8</v>
      </c>
      <c r="B24" s="240"/>
      <c r="C24" s="241"/>
      <c r="D24" s="242">
        <v>6050</v>
      </c>
      <c r="E24" s="248" t="s">
        <v>222</v>
      </c>
      <c r="F24" s="244">
        <f>30000+3000</f>
        <v>33000</v>
      </c>
      <c r="G24" s="244">
        <v>5000</v>
      </c>
      <c r="H24" s="245" t="s">
        <v>223</v>
      </c>
      <c r="I24" s="244">
        <f>25000+3000</f>
        <v>28000</v>
      </c>
      <c r="J24" s="244">
        <v>0</v>
      </c>
      <c r="K24" s="225" t="s">
        <v>210</v>
      </c>
      <c r="L24" s="225" t="s">
        <v>211</v>
      </c>
      <c r="M24" s="246"/>
    </row>
    <row r="25" spans="1:13" s="247" customFormat="1" ht="31.5" customHeight="1">
      <c r="A25" s="239">
        <v>9</v>
      </c>
      <c r="B25" s="240"/>
      <c r="C25" s="241"/>
      <c r="D25" s="242">
        <v>6050</v>
      </c>
      <c r="E25" s="249" t="s">
        <v>224</v>
      </c>
      <c r="F25" s="250">
        <f>570000-106000-1291</f>
        <v>462709</v>
      </c>
      <c r="G25" s="250">
        <v>0</v>
      </c>
      <c r="H25" s="251" t="s">
        <v>225</v>
      </c>
      <c r="I25" s="250">
        <f>570000-106000-1291</f>
        <v>462709</v>
      </c>
      <c r="J25" s="250">
        <f>100000-30960</f>
        <v>69040</v>
      </c>
      <c r="K25" s="225" t="s">
        <v>210</v>
      </c>
      <c r="L25" s="225">
        <v>2013</v>
      </c>
      <c r="M25" s="246"/>
    </row>
    <row r="26" spans="1:13" s="247" customFormat="1" ht="66" customHeight="1">
      <c r="A26" s="239">
        <v>10</v>
      </c>
      <c r="B26" s="240"/>
      <c r="C26" s="241"/>
      <c r="D26" s="242">
        <v>6050</v>
      </c>
      <c r="E26" s="249" t="s">
        <v>226</v>
      </c>
      <c r="F26" s="250">
        <f>1500000+1857.05</f>
        <v>1501857.05</v>
      </c>
      <c r="G26" s="250">
        <v>0</v>
      </c>
      <c r="H26" s="251" t="s">
        <v>227</v>
      </c>
      <c r="I26" s="250">
        <f>1500000-600000+600000</f>
        <v>1500000</v>
      </c>
      <c r="J26" s="250">
        <v>200000</v>
      </c>
      <c r="K26" s="225" t="s">
        <v>210</v>
      </c>
      <c r="L26" s="225" t="s">
        <v>423</v>
      </c>
      <c r="M26" s="246"/>
    </row>
    <row r="27" spans="1:13" s="247" customFormat="1" ht="39" customHeight="1">
      <c r="A27" s="239">
        <v>11</v>
      </c>
      <c r="B27" s="252"/>
      <c r="C27" s="253"/>
      <c r="D27" s="242">
        <v>6050</v>
      </c>
      <c r="E27" s="254" t="s">
        <v>228</v>
      </c>
      <c r="F27" s="255">
        <v>100000</v>
      </c>
      <c r="G27" s="255">
        <v>0</v>
      </c>
      <c r="H27" s="251" t="s">
        <v>229</v>
      </c>
      <c r="I27" s="250">
        <v>100000</v>
      </c>
      <c r="J27" s="250">
        <v>0</v>
      </c>
      <c r="K27" s="225" t="s">
        <v>230</v>
      </c>
      <c r="L27" s="225">
        <v>2013</v>
      </c>
      <c r="M27" s="246"/>
    </row>
    <row r="28" spans="1:13" s="247" customFormat="1" ht="35.25" customHeight="1">
      <c r="A28" s="239">
        <v>12</v>
      </c>
      <c r="B28" s="252"/>
      <c r="C28" s="253"/>
      <c r="D28" s="242">
        <v>6050</v>
      </c>
      <c r="E28" s="254" t="s">
        <v>231</v>
      </c>
      <c r="F28" s="255">
        <v>800000</v>
      </c>
      <c r="G28" s="255"/>
      <c r="H28" s="251" t="s">
        <v>232</v>
      </c>
      <c r="I28" s="250">
        <v>800000</v>
      </c>
      <c r="J28" s="250">
        <v>500000</v>
      </c>
      <c r="K28" s="225" t="s">
        <v>210</v>
      </c>
      <c r="L28" s="225">
        <v>2013</v>
      </c>
      <c r="M28" s="246"/>
    </row>
    <row r="29" spans="1:12" s="247" customFormat="1" ht="42.75" customHeight="1">
      <c r="A29" s="239">
        <v>13</v>
      </c>
      <c r="B29" s="252"/>
      <c r="C29" s="253"/>
      <c r="D29" s="242">
        <v>6050</v>
      </c>
      <c r="E29" s="254" t="s">
        <v>233</v>
      </c>
      <c r="F29" s="255">
        <f>100000-50000</f>
        <v>50000</v>
      </c>
      <c r="G29" s="255"/>
      <c r="H29" s="251" t="s">
        <v>234</v>
      </c>
      <c r="I29" s="250">
        <f>100000-50000</f>
        <v>50000</v>
      </c>
      <c r="J29" s="250"/>
      <c r="K29" s="225" t="s">
        <v>210</v>
      </c>
      <c r="L29" s="225">
        <v>2013</v>
      </c>
    </row>
    <row r="30" spans="1:12" s="247" customFormat="1" ht="53.25" customHeight="1">
      <c r="A30" s="239">
        <v>14</v>
      </c>
      <c r="B30" s="252"/>
      <c r="C30" s="253"/>
      <c r="D30" s="242">
        <v>6050</v>
      </c>
      <c r="E30" s="254" t="s">
        <v>235</v>
      </c>
      <c r="F30" s="255">
        <f>50000+1291</f>
        <v>51291</v>
      </c>
      <c r="G30" s="255"/>
      <c r="H30" s="251" t="s">
        <v>234</v>
      </c>
      <c r="I30" s="250">
        <f>1291+50000</f>
        <v>51291</v>
      </c>
      <c r="J30" s="250"/>
      <c r="K30" s="225" t="s">
        <v>210</v>
      </c>
      <c r="L30" s="225">
        <v>2013</v>
      </c>
    </row>
    <row r="31" spans="1:12" s="247" customFormat="1" ht="42" customHeight="1">
      <c r="A31" s="239">
        <v>15</v>
      </c>
      <c r="B31" s="252"/>
      <c r="C31" s="253"/>
      <c r="D31" s="242">
        <v>6050</v>
      </c>
      <c r="E31" s="254" t="s">
        <v>642</v>
      </c>
      <c r="F31" s="255">
        <v>2500000</v>
      </c>
      <c r="G31" s="255"/>
      <c r="H31" s="251"/>
      <c r="I31" s="250">
        <v>1000000</v>
      </c>
      <c r="J31" s="250">
        <v>500000</v>
      </c>
      <c r="K31" s="225" t="s">
        <v>210</v>
      </c>
      <c r="L31" s="225" t="s">
        <v>423</v>
      </c>
    </row>
    <row r="32" spans="1:12" s="247" customFormat="1" ht="37.5" customHeight="1">
      <c r="A32" s="239">
        <v>16</v>
      </c>
      <c r="B32" s="252"/>
      <c r="C32" s="253"/>
      <c r="D32" s="242">
        <v>6050</v>
      </c>
      <c r="E32" s="254" t="s">
        <v>644</v>
      </c>
      <c r="F32" s="255">
        <v>100000</v>
      </c>
      <c r="G32" s="255"/>
      <c r="H32" s="251"/>
      <c r="I32" s="250">
        <v>100000</v>
      </c>
      <c r="J32" s="250"/>
      <c r="K32" s="225" t="s">
        <v>210</v>
      </c>
      <c r="L32" s="225">
        <v>2013</v>
      </c>
    </row>
    <row r="33" spans="1:12" s="247" customFormat="1" ht="27.75" customHeight="1">
      <c r="A33" s="239">
        <v>17</v>
      </c>
      <c r="B33" s="252"/>
      <c r="C33" s="253"/>
      <c r="D33" s="242">
        <v>6050</v>
      </c>
      <c r="E33" s="254" t="s">
        <v>645</v>
      </c>
      <c r="F33" s="255">
        <v>50000</v>
      </c>
      <c r="G33" s="255"/>
      <c r="H33" s="251"/>
      <c r="I33" s="250">
        <v>50000</v>
      </c>
      <c r="J33" s="250"/>
      <c r="K33" s="225" t="s">
        <v>210</v>
      </c>
      <c r="L33" s="225">
        <v>2013</v>
      </c>
    </row>
    <row r="34" spans="1:12" s="247" customFormat="1" ht="33" customHeight="1">
      <c r="A34" s="239">
        <v>18</v>
      </c>
      <c r="B34" s="252"/>
      <c r="C34" s="253"/>
      <c r="D34" s="242">
        <v>6050</v>
      </c>
      <c r="E34" s="254" t="s">
        <v>667</v>
      </c>
      <c r="F34" s="255">
        <v>2900000</v>
      </c>
      <c r="G34" s="255"/>
      <c r="H34" s="251"/>
      <c r="I34" s="250">
        <v>900000</v>
      </c>
      <c r="J34" s="250">
        <v>500000</v>
      </c>
      <c r="K34" s="225" t="s">
        <v>210</v>
      </c>
      <c r="L34" s="225" t="s">
        <v>423</v>
      </c>
    </row>
    <row r="35" spans="1:12" s="247" customFormat="1" ht="57.75" customHeight="1">
      <c r="A35" s="239">
        <v>19</v>
      </c>
      <c r="B35" s="252"/>
      <c r="C35" s="253"/>
      <c r="D35" s="242">
        <v>6050</v>
      </c>
      <c r="E35" s="254" t="s">
        <v>569</v>
      </c>
      <c r="F35" s="255">
        <v>20000</v>
      </c>
      <c r="G35" s="255"/>
      <c r="H35" s="251" t="s">
        <v>234</v>
      </c>
      <c r="I35" s="250">
        <v>20000</v>
      </c>
      <c r="J35" s="250"/>
      <c r="K35" s="225" t="s">
        <v>210</v>
      </c>
      <c r="L35" s="225">
        <v>2013</v>
      </c>
    </row>
    <row r="36" spans="1:12" s="247" customFormat="1" ht="61.5" customHeight="1">
      <c r="A36" s="239">
        <v>20</v>
      </c>
      <c r="B36" s="252"/>
      <c r="C36" s="253"/>
      <c r="D36" s="242">
        <v>6050</v>
      </c>
      <c r="E36" s="254" t="s">
        <v>570</v>
      </c>
      <c r="F36" s="255">
        <v>85000</v>
      </c>
      <c r="G36" s="255"/>
      <c r="H36" s="251" t="s">
        <v>234</v>
      </c>
      <c r="I36" s="250">
        <v>85000</v>
      </c>
      <c r="J36" s="250"/>
      <c r="K36" s="225" t="s">
        <v>230</v>
      </c>
      <c r="L36" s="225">
        <v>2013</v>
      </c>
    </row>
    <row r="37" spans="1:12" s="247" customFormat="1" ht="33.75" customHeight="1">
      <c r="A37" s="239">
        <v>21</v>
      </c>
      <c r="B37" s="252"/>
      <c r="C37" s="253"/>
      <c r="D37" s="242">
        <v>6050</v>
      </c>
      <c r="E37" s="254" t="s">
        <v>568</v>
      </c>
      <c r="F37" s="255">
        <v>900000</v>
      </c>
      <c r="G37" s="255"/>
      <c r="H37" s="251"/>
      <c r="I37" s="250">
        <v>900000</v>
      </c>
      <c r="J37" s="250">
        <f>432154.48-0.95</f>
        <v>432153.52999999997</v>
      </c>
      <c r="K37" s="225" t="s">
        <v>230</v>
      </c>
      <c r="L37" s="225">
        <v>2013</v>
      </c>
    </row>
    <row r="38" spans="1:12" s="247" customFormat="1" ht="41.25" customHeight="1">
      <c r="A38" s="239">
        <v>22</v>
      </c>
      <c r="B38" s="252"/>
      <c r="C38" s="253"/>
      <c r="D38" s="242">
        <v>6050</v>
      </c>
      <c r="E38" s="254" t="s">
        <v>348</v>
      </c>
      <c r="F38" s="255">
        <v>50000</v>
      </c>
      <c r="G38" s="255"/>
      <c r="H38" s="251" t="s">
        <v>234</v>
      </c>
      <c r="I38" s="250">
        <v>50000</v>
      </c>
      <c r="J38" s="250"/>
      <c r="K38" s="225" t="s">
        <v>210</v>
      </c>
      <c r="L38" s="225">
        <v>2013</v>
      </c>
    </row>
    <row r="39" spans="1:12" s="247" customFormat="1" ht="58.5" customHeight="1">
      <c r="A39" s="239">
        <v>23</v>
      </c>
      <c r="B39" s="252"/>
      <c r="C39" s="253"/>
      <c r="D39" s="242">
        <v>6050</v>
      </c>
      <c r="E39" s="254" t="s">
        <v>637</v>
      </c>
      <c r="F39" s="255">
        <v>350000</v>
      </c>
      <c r="G39" s="255"/>
      <c r="H39" s="251" t="s">
        <v>234</v>
      </c>
      <c r="I39" s="250">
        <v>350000</v>
      </c>
      <c r="J39" s="250"/>
      <c r="K39" s="225" t="s">
        <v>627</v>
      </c>
      <c r="L39" s="225">
        <v>2013</v>
      </c>
    </row>
    <row r="40" spans="1:12" ht="38.25" customHeight="1">
      <c r="A40" s="256">
        <v>24</v>
      </c>
      <c r="B40" s="257"/>
      <c r="C40" s="199"/>
      <c r="D40" s="258">
        <v>6050</v>
      </c>
      <c r="E40" s="254" t="s">
        <v>236</v>
      </c>
      <c r="F40" s="255">
        <f>85000+65000</f>
        <v>150000</v>
      </c>
      <c r="G40" s="255">
        <v>0</v>
      </c>
      <c r="H40" s="251" t="s">
        <v>237</v>
      </c>
      <c r="I40" s="259">
        <f>65000+85000</f>
        <v>150000</v>
      </c>
      <c r="J40" s="259">
        <v>0</v>
      </c>
      <c r="K40" s="225" t="s">
        <v>230</v>
      </c>
      <c r="L40" s="225">
        <v>2013</v>
      </c>
    </row>
    <row r="41" spans="1:12" ht="21.75" customHeight="1">
      <c r="A41" s="260"/>
      <c r="B41" s="228">
        <v>700</v>
      </c>
      <c r="C41" s="228"/>
      <c r="D41" s="229"/>
      <c r="E41" s="261" t="s">
        <v>238</v>
      </c>
      <c r="F41" s="262">
        <f>F42+F45</f>
        <v>2593682.1</v>
      </c>
      <c r="G41" s="262">
        <f>G42+G45</f>
        <v>190433.05</v>
      </c>
      <c r="H41" s="262"/>
      <c r="I41" s="262">
        <f>I42+I45</f>
        <v>2073249.05</v>
      </c>
      <c r="J41" s="262">
        <f>J42+J45</f>
        <v>155000</v>
      </c>
      <c r="K41" s="225"/>
      <c r="L41" s="225"/>
    </row>
    <row r="42" spans="1:12" ht="27" customHeight="1">
      <c r="A42" s="256"/>
      <c r="B42" s="263"/>
      <c r="C42" s="264">
        <v>70005</v>
      </c>
      <c r="D42" s="235"/>
      <c r="E42" s="236" t="s">
        <v>239</v>
      </c>
      <c r="F42" s="237">
        <f>SUM(F43:F44)</f>
        <v>1680982.1</v>
      </c>
      <c r="G42" s="237">
        <f>SUM(G43:G44)</f>
        <v>190433.05</v>
      </c>
      <c r="H42" s="237"/>
      <c r="I42" s="237">
        <f>SUM(I43:I44)</f>
        <v>1160549.05</v>
      </c>
      <c r="J42" s="237">
        <f>SUM(J43:J44)</f>
        <v>0</v>
      </c>
      <c r="K42" s="238"/>
      <c r="L42" s="238"/>
    </row>
    <row r="43" spans="1:12" s="712" customFormat="1" ht="32.25" customHeight="1">
      <c r="A43" s="256">
        <v>25</v>
      </c>
      <c r="B43" s="199"/>
      <c r="C43" s="265"/>
      <c r="D43" s="258">
        <v>6050</v>
      </c>
      <c r="E43" s="254" t="s">
        <v>620</v>
      </c>
      <c r="F43" s="255">
        <v>15000</v>
      </c>
      <c r="G43" s="255"/>
      <c r="H43" s="255" t="s">
        <v>626</v>
      </c>
      <c r="I43" s="255">
        <v>15000</v>
      </c>
      <c r="J43" s="255"/>
      <c r="K43" s="225" t="s">
        <v>625</v>
      </c>
      <c r="L43" s="225">
        <v>2013</v>
      </c>
    </row>
    <row r="44" spans="1:12" ht="109.5" customHeight="1">
      <c r="A44" s="256">
        <v>26</v>
      </c>
      <c r="B44" s="199"/>
      <c r="C44" s="265"/>
      <c r="D44" s="258">
        <v>6060</v>
      </c>
      <c r="E44" s="254" t="s">
        <v>240</v>
      </c>
      <c r="F44" s="255">
        <f>1611982.1+550000+4000-500000</f>
        <v>1665982.1</v>
      </c>
      <c r="G44" s="255">
        <v>190433.05</v>
      </c>
      <c r="H44" s="245" t="s">
        <v>350</v>
      </c>
      <c r="I44" s="266">
        <f>1091549.05+550000+4000-500000</f>
        <v>1145549.05</v>
      </c>
      <c r="J44" s="266">
        <v>0</v>
      </c>
      <c r="K44" s="267" t="s">
        <v>241</v>
      </c>
      <c r="L44" s="267" t="s">
        <v>242</v>
      </c>
    </row>
    <row r="45" spans="1:12" ht="24.75" customHeight="1">
      <c r="A45" s="256"/>
      <c r="B45" s="268"/>
      <c r="C45" s="269">
        <v>70095</v>
      </c>
      <c r="D45" s="270"/>
      <c r="E45" s="236" t="s">
        <v>243</v>
      </c>
      <c r="F45" s="237">
        <f>SUM(F46:F49)</f>
        <v>912700</v>
      </c>
      <c r="G45" s="237">
        <f>SUM(G46:G49)</f>
        <v>0</v>
      </c>
      <c r="H45" s="237"/>
      <c r="I45" s="237">
        <f>SUM(I46:I49)</f>
        <v>912700</v>
      </c>
      <c r="J45" s="237">
        <f>SUM(J46:J49)</f>
        <v>155000</v>
      </c>
      <c r="K45" s="238"/>
      <c r="L45" s="238"/>
    </row>
    <row r="46" spans="1:12" s="343" customFormat="1" ht="42.75" customHeight="1">
      <c r="A46" s="256">
        <v>27</v>
      </c>
      <c r="B46" s="199"/>
      <c r="C46" s="265"/>
      <c r="D46" s="256">
        <v>6050</v>
      </c>
      <c r="E46" s="243" t="s">
        <v>244</v>
      </c>
      <c r="F46" s="255">
        <v>65000</v>
      </c>
      <c r="G46" s="255">
        <v>0</v>
      </c>
      <c r="H46" s="245" t="s">
        <v>245</v>
      </c>
      <c r="I46" s="266">
        <v>65000</v>
      </c>
      <c r="J46" s="266">
        <v>0</v>
      </c>
      <c r="K46" s="267" t="s">
        <v>152</v>
      </c>
      <c r="L46" s="267">
        <v>2013</v>
      </c>
    </row>
    <row r="47" spans="1:12" s="343" customFormat="1" ht="64.5" customHeight="1">
      <c r="A47" s="209">
        <v>28</v>
      </c>
      <c r="B47" s="199"/>
      <c r="C47" s="265"/>
      <c r="D47" s="256">
        <v>6050</v>
      </c>
      <c r="E47" s="296" t="s">
        <v>424</v>
      </c>
      <c r="F47" s="297">
        <v>155000</v>
      </c>
      <c r="G47" s="297"/>
      <c r="H47" s="296" t="s">
        <v>426</v>
      </c>
      <c r="I47" s="354">
        <v>155000</v>
      </c>
      <c r="J47" s="354">
        <v>155000</v>
      </c>
      <c r="K47" s="267" t="s">
        <v>152</v>
      </c>
      <c r="L47" s="267">
        <v>2013</v>
      </c>
    </row>
    <row r="48" spans="1:12" s="343" customFormat="1" ht="45" customHeight="1">
      <c r="A48" s="209">
        <v>29</v>
      </c>
      <c r="B48" s="199"/>
      <c r="C48" s="265"/>
      <c r="D48" s="256">
        <v>6050</v>
      </c>
      <c r="E48" s="296" t="s">
        <v>437</v>
      </c>
      <c r="F48" s="297">
        <v>550000</v>
      </c>
      <c r="G48" s="297"/>
      <c r="H48" s="353"/>
      <c r="I48" s="354">
        <v>550000</v>
      </c>
      <c r="J48" s="354"/>
      <c r="K48" s="267" t="s">
        <v>210</v>
      </c>
      <c r="L48" s="267">
        <v>2013</v>
      </c>
    </row>
    <row r="49" spans="1:12" s="343" customFormat="1" ht="57" customHeight="1">
      <c r="A49" s="199">
        <v>30</v>
      </c>
      <c r="B49" s="199"/>
      <c r="C49" s="265"/>
      <c r="D49" s="191">
        <v>6050</v>
      </c>
      <c r="E49" s="381" t="s">
        <v>425</v>
      </c>
      <c r="F49" s="297">
        <v>142700</v>
      </c>
      <c r="G49" s="297"/>
      <c r="H49" s="251" t="s">
        <v>234</v>
      </c>
      <c r="I49" s="354">
        <v>142700</v>
      </c>
      <c r="J49" s="354"/>
      <c r="K49" s="267" t="s">
        <v>210</v>
      </c>
      <c r="L49" s="267">
        <v>2013</v>
      </c>
    </row>
    <row r="50" spans="1:12" ht="23.25" customHeight="1">
      <c r="A50" s="286"/>
      <c r="B50" s="228">
        <v>750</v>
      </c>
      <c r="C50" s="228"/>
      <c r="D50" s="229"/>
      <c r="E50" s="307" t="s">
        <v>246</v>
      </c>
      <c r="F50" s="273">
        <f>F51+F55</f>
        <v>4390600</v>
      </c>
      <c r="G50" s="273">
        <f>G51+G55</f>
        <v>540000</v>
      </c>
      <c r="H50" s="273"/>
      <c r="I50" s="273">
        <f>I51+I55</f>
        <v>2900600</v>
      </c>
      <c r="J50" s="273">
        <f>J51+J55</f>
        <v>0</v>
      </c>
      <c r="K50" s="225"/>
      <c r="L50" s="225"/>
    </row>
    <row r="51" spans="1:12" ht="30.75" customHeight="1">
      <c r="A51" s="274"/>
      <c r="B51" s="263"/>
      <c r="C51" s="275">
        <v>75023</v>
      </c>
      <c r="D51" s="270"/>
      <c r="E51" s="276" t="s">
        <v>247</v>
      </c>
      <c r="F51" s="277">
        <f>SUM(F52:F54)</f>
        <v>280600</v>
      </c>
      <c r="G51" s="277">
        <f>SUM(G52:G54)</f>
        <v>0</v>
      </c>
      <c r="H51" s="277"/>
      <c r="I51" s="277">
        <f>SUM(I52:I54)</f>
        <v>280600</v>
      </c>
      <c r="J51" s="277">
        <f>SUM(J52:J54)</f>
        <v>0</v>
      </c>
      <c r="K51" s="238"/>
      <c r="L51" s="238"/>
    </row>
    <row r="52" spans="1:14" s="712" customFormat="1" ht="120.75" customHeight="1">
      <c r="A52" s="199">
        <v>31</v>
      </c>
      <c r="C52" s="256"/>
      <c r="D52" s="256">
        <v>6050</v>
      </c>
      <c r="E52" s="243" t="s">
        <v>669</v>
      </c>
      <c r="F52" s="361">
        <f>165000-20000</f>
        <v>145000</v>
      </c>
      <c r="G52" s="361"/>
      <c r="H52" s="361" t="s">
        <v>664</v>
      </c>
      <c r="I52" s="361">
        <f>165000-20000</f>
        <v>145000</v>
      </c>
      <c r="J52" s="361"/>
      <c r="K52" s="225" t="s">
        <v>250</v>
      </c>
      <c r="L52" s="225">
        <v>2013</v>
      </c>
      <c r="N52" s="813"/>
    </row>
    <row r="53" spans="1:12" s="712" customFormat="1" ht="50.25" customHeight="1">
      <c r="A53" s="199">
        <v>32</v>
      </c>
      <c r="C53" s="256"/>
      <c r="D53" s="256">
        <v>6050</v>
      </c>
      <c r="E53" s="718" t="s">
        <v>98</v>
      </c>
      <c r="F53" s="281">
        <v>20000</v>
      </c>
      <c r="G53" s="281"/>
      <c r="H53" s="281" t="s">
        <v>665</v>
      </c>
      <c r="I53" s="281">
        <v>20000</v>
      </c>
      <c r="J53" s="281"/>
      <c r="K53" s="225" t="s">
        <v>250</v>
      </c>
      <c r="L53" s="225">
        <v>2013</v>
      </c>
    </row>
    <row r="54" spans="1:12" ht="38.25" customHeight="1">
      <c r="A54" s="274">
        <v>33</v>
      </c>
      <c r="B54" s="689"/>
      <c r="C54" s="478"/>
      <c r="D54" s="256">
        <v>6060</v>
      </c>
      <c r="E54" s="280" t="s">
        <v>248</v>
      </c>
      <c r="F54" s="627">
        <f>175000+3800+4800-80000+12000</f>
        <v>115600</v>
      </c>
      <c r="G54" s="281">
        <v>0</v>
      </c>
      <c r="H54" s="282" t="s">
        <v>249</v>
      </c>
      <c r="I54" s="627">
        <f>175000+3800+4800-80000+12000</f>
        <v>115600</v>
      </c>
      <c r="J54" s="283">
        <v>0</v>
      </c>
      <c r="K54" s="225" t="s">
        <v>250</v>
      </c>
      <c r="L54" s="284">
        <v>2013</v>
      </c>
    </row>
    <row r="55" spans="1:12" ht="26.25" customHeight="1">
      <c r="A55" s="274"/>
      <c r="B55" s="278"/>
      <c r="C55" s="269">
        <v>75095</v>
      </c>
      <c r="D55" s="270"/>
      <c r="E55" s="276" t="s">
        <v>243</v>
      </c>
      <c r="F55" s="277">
        <f>SUM(F56:F57)</f>
        <v>4110000</v>
      </c>
      <c r="G55" s="277">
        <f>SUM(G56:G57)</f>
        <v>540000</v>
      </c>
      <c r="H55" s="277"/>
      <c r="I55" s="277">
        <f>SUM(I56:I57)</f>
        <v>2620000</v>
      </c>
      <c r="J55" s="277">
        <f>SUM(J56:J57)</f>
        <v>0</v>
      </c>
      <c r="K55" s="238"/>
      <c r="L55" s="238"/>
    </row>
    <row r="56" spans="1:12" ht="38.25" customHeight="1">
      <c r="A56" s="274">
        <v>34</v>
      </c>
      <c r="B56" s="278"/>
      <c r="C56" s="233"/>
      <c r="D56" s="285">
        <v>6050</v>
      </c>
      <c r="E56" s="271" t="s">
        <v>251</v>
      </c>
      <c r="F56" s="255">
        <v>2440000</v>
      </c>
      <c r="G56" s="255">
        <v>540000</v>
      </c>
      <c r="H56" s="245" t="s">
        <v>252</v>
      </c>
      <c r="I56" s="266">
        <v>950000</v>
      </c>
      <c r="J56" s="266">
        <v>0</v>
      </c>
      <c r="K56" s="267" t="s">
        <v>210</v>
      </c>
      <c r="L56" s="267" t="s">
        <v>253</v>
      </c>
    </row>
    <row r="57" spans="1:12" ht="41.25" customHeight="1">
      <c r="A57" s="274">
        <v>35</v>
      </c>
      <c r="B57" s="278"/>
      <c r="C57" s="233"/>
      <c r="D57" s="285">
        <v>6050</v>
      </c>
      <c r="E57" s="271" t="s">
        <v>254</v>
      </c>
      <c r="F57" s="255">
        <f>1500000+170000</f>
        <v>1670000</v>
      </c>
      <c r="G57" s="255">
        <v>0</v>
      </c>
      <c r="H57" s="245" t="s">
        <v>255</v>
      </c>
      <c r="I57" s="266">
        <f>500000+1000000+170000</f>
        <v>1670000</v>
      </c>
      <c r="J57" s="266">
        <v>0</v>
      </c>
      <c r="K57" s="267" t="s">
        <v>210</v>
      </c>
      <c r="L57" s="267">
        <v>2013</v>
      </c>
    </row>
    <row r="58" spans="1:12" ht="33.75" customHeight="1">
      <c r="A58" s="286"/>
      <c r="B58" s="228">
        <v>754</v>
      </c>
      <c r="C58" s="228"/>
      <c r="D58" s="228"/>
      <c r="E58" s="287" t="s">
        <v>256</v>
      </c>
      <c r="F58" s="288">
        <f>F59+F61+F63</f>
        <v>71000</v>
      </c>
      <c r="G58" s="288">
        <f>G59+G61+G63</f>
        <v>0</v>
      </c>
      <c r="H58" s="288"/>
      <c r="I58" s="288">
        <f>I59+I61+I63</f>
        <v>71000</v>
      </c>
      <c r="J58" s="288">
        <f>J59+J61+J63</f>
        <v>0</v>
      </c>
      <c r="K58" s="225"/>
      <c r="L58" s="225"/>
    </row>
    <row r="59" spans="1:12" ht="21.75" customHeight="1">
      <c r="A59" s="274"/>
      <c r="B59" s="289"/>
      <c r="C59" s="269">
        <v>75412</v>
      </c>
      <c r="D59" s="269"/>
      <c r="E59" s="290" t="s">
        <v>257</v>
      </c>
      <c r="F59" s="291">
        <f>SUM(F60)</f>
        <v>5000</v>
      </c>
      <c r="G59" s="291">
        <f>SUM(G60)</f>
        <v>0</v>
      </c>
      <c r="H59" s="291"/>
      <c r="I59" s="291">
        <f>SUM(I60)</f>
        <v>5000</v>
      </c>
      <c r="J59" s="291">
        <f>SUM(J60)</f>
        <v>0</v>
      </c>
      <c r="K59" s="238"/>
      <c r="L59" s="238"/>
    </row>
    <row r="60" spans="1:12" ht="31.5" customHeight="1">
      <c r="A60" s="274">
        <v>36</v>
      </c>
      <c r="B60" s="292"/>
      <c r="C60" s="293"/>
      <c r="D60" s="285">
        <v>6060</v>
      </c>
      <c r="E60" s="254" t="s">
        <v>258</v>
      </c>
      <c r="F60" s="255">
        <v>5000</v>
      </c>
      <c r="G60" s="255"/>
      <c r="H60" s="251" t="s">
        <v>259</v>
      </c>
      <c r="I60" s="266">
        <v>5000</v>
      </c>
      <c r="J60" s="266"/>
      <c r="K60" s="225" t="s">
        <v>260</v>
      </c>
      <c r="L60" s="225">
        <v>2013</v>
      </c>
    </row>
    <row r="61" spans="1:12" ht="22.5" customHeight="1">
      <c r="A61" s="274"/>
      <c r="B61" s="289"/>
      <c r="C61" s="269">
        <v>75414</v>
      </c>
      <c r="D61" s="269"/>
      <c r="E61" s="290" t="s">
        <v>261</v>
      </c>
      <c r="F61" s="277">
        <f>SUM(F62)</f>
        <v>16000</v>
      </c>
      <c r="G61" s="277">
        <f>SUM(G62)</f>
        <v>0</v>
      </c>
      <c r="H61" s="277"/>
      <c r="I61" s="277">
        <f>SUM(I62)</f>
        <v>16000</v>
      </c>
      <c r="J61" s="277">
        <f>SUM(J62)</f>
        <v>0</v>
      </c>
      <c r="K61" s="238"/>
      <c r="L61" s="238"/>
    </row>
    <row r="62" spans="1:12" ht="48.75" customHeight="1">
      <c r="A62" s="274">
        <v>37</v>
      </c>
      <c r="B62" s="199"/>
      <c r="C62" s="293"/>
      <c r="D62" s="285">
        <v>6060</v>
      </c>
      <c r="E62" s="254" t="s">
        <v>258</v>
      </c>
      <c r="F62" s="255">
        <v>16000</v>
      </c>
      <c r="G62" s="255">
        <v>0</v>
      </c>
      <c r="H62" s="245" t="s">
        <v>262</v>
      </c>
      <c r="I62" s="294">
        <v>16000</v>
      </c>
      <c r="J62" s="294">
        <v>0</v>
      </c>
      <c r="K62" s="225" t="s">
        <v>260</v>
      </c>
      <c r="L62" s="225">
        <v>2013</v>
      </c>
    </row>
    <row r="63" spans="1:12" s="364" customFormat="1" ht="33" customHeight="1">
      <c r="A63" s="804"/>
      <c r="B63" s="268"/>
      <c r="C63" s="275">
        <v>75495</v>
      </c>
      <c r="D63" s="270"/>
      <c r="E63" s="276" t="s">
        <v>243</v>
      </c>
      <c r="F63" s="237">
        <f>F64</f>
        <v>50000</v>
      </c>
      <c r="G63" s="237">
        <f>G64</f>
        <v>0</v>
      </c>
      <c r="H63" s="237"/>
      <c r="I63" s="237">
        <f>I64</f>
        <v>50000</v>
      </c>
      <c r="J63" s="237">
        <f>J64</f>
        <v>0</v>
      </c>
      <c r="K63" s="238"/>
      <c r="L63" s="238"/>
    </row>
    <row r="64" spans="1:12" ht="48.75" customHeight="1">
      <c r="A64" s="218">
        <v>38</v>
      </c>
      <c r="B64" s="199"/>
      <c r="C64" s="293"/>
      <c r="D64" s="285">
        <v>6050</v>
      </c>
      <c r="E64" s="243" t="s">
        <v>668</v>
      </c>
      <c r="F64" s="361">
        <v>50000</v>
      </c>
      <c r="G64" s="361"/>
      <c r="H64" s="361" t="s">
        <v>571</v>
      </c>
      <c r="I64" s="361">
        <v>50000</v>
      </c>
      <c r="J64" s="361"/>
      <c r="K64" s="225" t="s">
        <v>572</v>
      </c>
      <c r="L64" s="225">
        <v>2013</v>
      </c>
    </row>
    <row r="65" spans="1:12" ht="21.75" customHeight="1">
      <c r="A65" s="690"/>
      <c r="B65" s="228">
        <v>758</v>
      </c>
      <c r="C65" s="228"/>
      <c r="D65" s="229"/>
      <c r="E65" s="261" t="s">
        <v>573</v>
      </c>
      <c r="F65" s="262">
        <f>F66</f>
        <v>115000</v>
      </c>
      <c r="G65" s="262">
        <f aca="true" t="shared" si="0" ref="G65:J66">G66</f>
        <v>0</v>
      </c>
      <c r="H65" s="262"/>
      <c r="I65" s="262">
        <f t="shared" si="0"/>
        <v>115000</v>
      </c>
      <c r="J65" s="262">
        <f t="shared" si="0"/>
        <v>0</v>
      </c>
      <c r="K65" s="225"/>
      <c r="L65" s="225"/>
    </row>
    <row r="66" spans="1:12" ht="22.5" customHeight="1">
      <c r="A66" s="691"/>
      <c r="B66" s="295"/>
      <c r="C66" s="275">
        <v>75818</v>
      </c>
      <c r="D66" s="270"/>
      <c r="E66" s="276" t="s">
        <v>574</v>
      </c>
      <c r="F66" s="277">
        <f>F67</f>
        <v>115000</v>
      </c>
      <c r="G66" s="277">
        <f t="shared" si="0"/>
        <v>0</v>
      </c>
      <c r="H66" s="277"/>
      <c r="I66" s="277">
        <f t="shared" si="0"/>
        <v>115000</v>
      </c>
      <c r="J66" s="277">
        <f t="shared" si="0"/>
        <v>0</v>
      </c>
      <c r="K66" s="238"/>
      <c r="L66" s="238"/>
    </row>
    <row r="67" spans="1:12" ht="32.25" customHeight="1">
      <c r="A67" s="691"/>
      <c r="B67" s="292"/>
      <c r="C67" s="293"/>
      <c r="D67" s="285">
        <v>6800</v>
      </c>
      <c r="E67" s="296" t="s">
        <v>263</v>
      </c>
      <c r="F67" s="297">
        <f>200000-85000</f>
        <v>115000</v>
      </c>
      <c r="G67" s="297"/>
      <c r="H67" s="245"/>
      <c r="I67" s="357">
        <f>200000-85000</f>
        <v>115000</v>
      </c>
      <c r="J67" s="294">
        <f>500000-500000</f>
        <v>0</v>
      </c>
      <c r="K67" s="225"/>
      <c r="L67" s="225"/>
    </row>
    <row r="68" spans="1:12" ht="24.75" customHeight="1">
      <c r="A68" s="298"/>
      <c r="B68" s="228">
        <v>801</v>
      </c>
      <c r="C68" s="293"/>
      <c r="D68" s="285"/>
      <c r="E68" s="272" t="s">
        <v>264</v>
      </c>
      <c r="F68" s="273">
        <f>F69+F79+F90+F93+F95</f>
        <v>8080341</v>
      </c>
      <c r="G68" s="273">
        <f>G69+G79+G90+G93+G95</f>
        <v>143284</v>
      </c>
      <c r="H68" s="273"/>
      <c r="I68" s="273">
        <f>I69+I79+I90+I93+I95</f>
        <v>7937057</v>
      </c>
      <c r="J68" s="273">
        <f>J69+J79+J90+J93+J95</f>
        <v>193000</v>
      </c>
      <c r="K68" s="225"/>
      <c r="L68" s="225"/>
    </row>
    <row r="69" spans="1:12" ht="28.5" customHeight="1">
      <c r="A69" s="274"/>
      <c r="B69" s="289"/>
      <c r="C69" s="233">
        <v>80101</v>
      </c>
      <c r="D69" s="270"/>
      <c r="E69" s="276" t="s">
        <v>265</v>
      </c>
      <c r="F69" s="277">
        <f>SUM(F70:F78)</f>
        <v>1108600</v>
      </c>
      <c r="G69" s="277">
        <f>SUM(G70:G78)</f>
        <v>0</v>
      </c>
      <c r="H69" s="277"/>
      <c r="I69" s="277">
        <f>SUM(I70:I78)</f>
        <v>1108600</v>
      </c>
      <c r="J69" s="277">
        <f>SUM(J70:J78)</f>
        <v>0</v>
      </c>
      <c r="K69" s="238"/>
      <c r="L69" s="238"/>
    </row>
    <row r="70" spans="1:12" ht="55.5" customHeight="1">
      <c r="A70" s="274">
        <v>39</v>
      </c>
      <c r="B70" s="299"/>
      <c r="C70" s="191"/>
      <c r="D70" s="258">
        <v>6050</v>
      </c>
      <c r="E70" s="254" t="s">
        <v>266</v>
      </c>
      <c r="F70" s="255">
        <f>114000+1450+115450</f>
        <v>230900</v>
      </c>
      <c r="G70" s="255"/>
      <c r="H70" s="245" t="s">
        <v>267</v>
      </c>
      <c r="I70" s="255">
        <f>114000+1450+115450</f>
        <v>230900</v>
      </c>
      <c r="J70" s="294"/>
      <c r="K70" s="300" t="s">
        <v>557</v>
      </c>
      <c r="L70" s="267">
        <v>2013</v>
      </c>
    </row>
    <row r="71" spans="1:12" ht="57" customHeight="1">
      <c r="A71" s="274">
        <v>40</v>
      </c>
      <c r="B71" s="299"/>
      <c r="C71" s="199"/>
      <c r="D71" s="258">
        <v>6050</v>
      </c>
      <c r="E71" s="254" t="s">
        <v>41</v>
      </c>
      <c r="F71" s="255">
        <f>114000+1450+115450</f>
        <v>230900</v>
      </c>
      <c r="G71" s="255"/>
      <c r="H71" s="245" t="s">
        <v>267</v>
      </c>
      <c r="I71" s="255">
        <f>114000+1450+115450</f>
        <v>230900</v>
      </c>
      <c r="J71" s="259"/>
      <c r="K71" s="300" t="s">
        <v>558</v>
      </c>
      <c r="L71" s="267">
        <v>2013</v>
      </c>
    </row>
    <row r="72" spans="1:12" ht="54" customHeight="1">
      <c r="A72" s="274">
        <v>41</v>
      </c>
      <c r="B72" s="299"/>
      <c r="C72" s="199"/>
      <c r="D72" s="258">
        <v>6050</v>
      </c>
      <c r="E72" s="254" t="s">
        <v>42</v>
      </c>
      <c r="F72" s="255">
        <f>114000+1450+115450</f>
        <v>230900</v>
      </c>
      <c r="G72" s="255"/>
      <c r="H72" s="245" t="s">
        <v>267</v>
      </c>
      <c r="I72" s="255">
        <f>114000+1450+115450</f>
        <v>230900</v>
      </c>
      <c r="J72" s="259"/>
      <c r="K72" s="300" t="s">
        <v>558</v>
      </c>
      <c r="L72" s="267">
        <v>2013</v>
      </c>
    </row>
    <row r="73" spans="1:12" ht="57" customHeight="1">
      <c r="A73" s="274">
        <v>42</v>
      </c>
      <c r="B73" s="299"/>
      <c r="C73" s="199"/>
      <c r="D73" s="258">
        <v>6050</v>
      </c>
      <c r="E73" s="254" t="s">
        <v>43</v>
      </c>
      <c r="F73" s="255">
        <f>114000+1450+115450</f>
        <v>230900</v>
      </c>
      <c r="G73" s="255"/>
      <c r="H73" s="245" t="s">
        <v>267</v>
      </c>
      <c r="I73" s="255">
        <f>114000+1450+115450</f>
        <v>230900</v>
      </c>
      <c r="J73" s="259"/>
      <c r="K73" s="300" t="s">
        <v>559</v>
      </c>
      <c r="L73" s="267">
        <v>2013</v>
      </c>
    </row>
    <row r="74" spans="1:12" ht="44.25" customHeight="1">
      <c r="A74" s="274">
        <v>43</v>
      </c>
      <c r="B74" s="299"/>
      <c r="C74" s="199"/>
      <c r="D74" s="258">
        <v>6050</v>
      </c>
      <c r="E74" s="254" t="s">
        <v>268</v>
      </c>
      <c r="F74" s="255">
        <v>60000</v>
      </c>
      <c r="G74" s="255"/>
      <c r="H74" s="251" t="s">
        <v>269</v>
      </c>
      <c r="I74" s="255">
        <v>60000</v>
      </c>
      <c r="J74" s="259"/>
      <c r="K74" s="300" t="s">
        <v>210</v>
      </c>
      <c r="L74" s="267">
        <v>2013</v>
      </c>
    </row>
    <row r="75" spans="1:12" ht="44.25" customHeight="1">
      <c r="A75" s="274">
        <v>44</v>
      </c>
      <c r="B75" s="299"/>
      <c r="C75" s="199"/>
      <c r="D75" s="258">
        <v>6050</v>
      </c>
      <c r="E75" s="254" t="s">
        <v>351</v>
      </c>
      <c r="F75" s="255">
        <v>60000</v>
      </c>
      <c r="G75" s="255"/>
      <c r="H75" s="251" t="s">
        <v>352</v>
      </c>
      <c r="I75" s="255">
        <v>60000</v>
      </c>
      <c r="J75" s="259"/>
      <c r="K75" s="300" t="s">
        <v>296</v>
      </c>
      <c r="L75" s="267">
        <v>2013</v>
      </c>
    </row>
    <row r="76" spans="1:12" ht="52.5" customHeight="1">
      <c r="A76" s="274">
        <v>45</v>
      </c>
      <c r="B76" s="299"/>
      <c r="C76" s="199"/>
      <c r="D76" s="258">
        <v>6060</v>
      </c>
      <c r="E76" s="254" t="s">
        <v>575</v>
      </c>
      <c r="F76" s="255">
        <v>51000</v>
      </c>
      <c r="G76" s="255"/>
      <c r="H76" s="251" t="s">
        <v>171</v>
      </c>
      <c r="I76" s="255">
        <v>51000</v>
      </c>
      <c r="J76" s="259"/>
      <c r="K76" s="300" t="s">
        <v>576</v>
      </c>
      <c r="L76" s="267">
        <v>2013</v>
      </c>
    </row>
    <row r="77" spans="1:12" ht="39.75" customHeight="1">
      <c r="A77" s="274">
        <v>46</v>
      </c>
      <c r="B77" s="299"/>
      <c r="C77" s="199"/>
      <c r="D77" s="258">
        <v>6060</v>
      </c>
      <c r="E77" s="254" t="s">
        <v>96</v>
      </c>
      <c r="F77" s="255">
        <v>4000</v>
      </c>
      <c r="G77" s="255"/>
      <c r="H77" s="251" t="s">
        <v>666</v>
      </c>
      <c r="I77" s="255">
        <v>4000</v>
      </c>
      <c r="J77" s="259"/>
      <c r="K77" s="300" t="s">
        <v>97</v>
      </c>
      <c r="L77" s="267">
        <v>2013</v>
      </c>
    </row>
    <row r="78" spans="1:12" ht="30.75" customHeight="1">
      <c r="A78" s="274">
        <v>47</v>
      </c>
      <c r="B78" s="299"/>
      <c r="C78" s="209"/>
      <c r="D78" s="258">
        <v>6060</v>
      </c>
      <c r="E78" s="254" t="s">
        <v>270</v>
      </c>
      <c r="F78" s="255">
        <v>10000</v>
      </c>
      <c r="G78" s="255">
        <v>0</v>
      </c>
      <c r="H78" s="251" t="s">
        <v>271</v>
      </c>
      <c r="I78" s="255">
        <v>10000</v>
      </c>
      <c r="J78" s="259">
        <v>0</v>
      </c>
      <c r="K78" s="300" t="s">
        <v>272</v>
      </c>
      <c r="L78" s="267">
        <v>2013</v>
      </c>
    </row>
    <row r="79" spans="1:12" ht="25.5" customHeight="1">
      <c r="A79" s="274"/>
      <c r="B79" s="301"/>
      <c r="C79" s="234">
        <v>80104</v>
      </c>
      <c r="D79" s="235"/>
      <c r="E79" s="236" t="s">
        <v>273</v>
      </c>
      <c r="F79" s="237">
        <f>SUM(F80:F89)</f>
        <v>1215041</v>
      </c>
      <c r="G79" s="237">
        <f>SUM(G80:G89)</f>
        <v>130000</v>
      </c>
      <c r="H79" s="237"/>
      <c r="I79" s="237">
        <f>SUM(I80:I89)</f>
        <v>1085041</v>
      </c>
      <c r="J79" s="237">
        <f>SUM(J80:J89)</f>
        <v>180000</v>
      </c>
      <c r="K79" s="238"/>
      <c r="L79" s="238"/>
    </row>
    <row r="80" spans="1:12" ht="35.25" customHeight="1">
      <c r="A80" s="274">
        <v>48</v>
      </c>
      <c r="B80" s="301"/>
      <c r="C80" s="268"/>
      <c r="D80" s="258">
        <v>6050</v>
      </c>
      <c r="E80" s="254" t="s">
        <v>274</v>
      </c>
      <c r="F80" s="255">
        <f>660000+9041+9000+20000+40400</f>
        <v>738441</v>
      </c>
      <c r="G80" s="255">
        <v>130000</v>
      </c>
      <c r="H80" s="302" t="s">
        <v>275</v>
      </c>
      <c r="I80" s="255">
        <f>530000+9041+9000+20000+40400</f>
        <v>608441</v>
      </c>
      <c r="J80" s="255">
        <v>0</v>
      </c>
      <c r="K80" s="225" t="s">
        <v>210</v>
      </c>
      <c r="L80" s="225" t="s">
        <v>211</v>
      </c>
    </row>
    <row r="81" spans="1:12" ht="32.25" customHeight="1">
      <c r="A81" s="274">
        <v>49</v>
      </c>
      <c r="B81" s="299"/>
      <c r="C81" s="199"/>
      <c r="D81" s="258">
        <v>6050</v>
      </c>
      <c r="E81" s="254" t="s">
        <v>276</v>
      </c>
      <c r="F81" s="255">
        <v>50000</v>
      </c>
      <c r="G81" s="255">
        <v>0</v>
      </c>
      <c r="H81" s="251" t="s">
        <v>277</v>
      </c>
      <c r="I81" s="250">
        <v>50000</v>
      </c>
      <c r="J81" s="259">
        <v>0</v>
      </c>
      <c r="K81" s="225" t="s">
        <v>278</v>
      </c>
      <c r="L81" s="225">
        <v>2013</v>
      </c>
    </row>
    <row r="82" spans="1:12" ht="40.5" customHeight="1">
      <c r="A82" s="274">
        <v>50</v>
      </c>
      <c r="B82" s="299"/>
      <c r="C82" s="199"/>
      <c r="D82" s="258">
        <v>6050</v>
      </c>
      <c r="E82" s="254" t="s">
        <v>207</v>
      </c>
      <c r="F82" s="255">
        <v>11500</v>
      </c>
      <c r="G82" s="255">
        <v>0</v>
      </c>
      <c r="H82" s="251" t="s">
        <v>208</v>
      </c>
      <c r="I82" s="250">
        <v>11500</v>
      </c>
      <c r="J82" s="259">
        <v>0</v>
      </c>
      <c r="K82" s="225" t="s">
        <v>280</v>
      </c>
      <c r="L82" s="225">
        <v>2013</v>
      </c>
    </row>
    <row r="83" spans="1:12" ht="34.5" customHeight="1">
      <c r="A83" s="274">
        <v>51</v>
      </c>
      <c r="B83" s="299"/>
      <c r="C83" s="199"/>
      <c r="D83" s="258">
        <v>6050</v>
      </c>
      <c r="E83" s="254" t="s">
        <v>281</v>
      </c>
      <c r="F83" s="255">
        <v>11500</v>
      </c>
      <c r="G83" s="255">
        <v>0</v>
      </c>
      <c r="H83" s="251" t="s">
        <v>279</v>
      </c>
      <c r="I83" s="250">
        <v>11500</v>
      </c>
      <c r="J83" s="259">
        <v>0</v>
      </c>
      <c r="K83" s="225" t="s">
        <v>278</v>
      </c>
      <c r="L83" s="225">
        <v>2013</v>
      </c>
    </row>
    <row r="84" spans="1:12" ht="34.5" customHeight="1">
      <c r="A84" s="274">
        <v>52</v>
      </c>
      <c r="B84" s="299"/>
      <c r="C84" s="199"/>
      <c r="D84" s="258">
        <v>6050</v>
      </c>
      <c r="E84" s="243" t="s">
        <v>282</v>
      </c>
      <c r="F84" s="255">
        <v>180000</v>
      </c>
      <c r="G84" s="255"/>
      <c r="H84" s="251" t="s">
        <v>283</v>
      </c>
      <c r="I84" s="250">
        <v>180000</v>
      </c>
      <c r="J84" s="259">
        <v>180000</v>
      </c>
      <c r="K84" s="225" t="s">
        <v>284</v>
      </c>
      <c r="L84" s="225">
        <v>2013</v>
      </c>
    </row>
    <row r="85" spans="1:12" ht="34.5" customHeight="1">
      <c r="A85" s="274">
        <v>53</v>
      </c>
      <c r="B85" s="299"/>
      <c r="C85" s="199"/>
      <c r="D85" s="258">
        <v>6050</v>
      </c>
      <c r="E85" s="254" t="s">
        <v>285</v>
      </c>
      <c r="F85" s="255">
        <f>4674+185326-40400</f>
        <v>149600</v>
      </c>
      <c r="G85" s="255"/>
      <c r="H85" s="251" t="s">
        <v>286</v>
      </c>
      <c r="I85" s="255">
        <f>185326+4674-40400</f>
        <v>149600</v>
      </c>
      <c r="J85" s="259"/>
      <c r="K85" s="225" t="s">
        <v>210</v>
      </c>
      <c r="L85" s="225">
        <v>2013</v>
      </c>
    </row>
    <row r="86" spans="1:12" ht="44.25" customHeight="1">
      <c r="A86" s="274">
        <v>54</v>
      </c>
      <c r="B86" s="299"/>
      <c r="C86" s="199"/>
      <c r="D86" s="258">
        <v>6050</v>
      </c>
      <c r="E86" s="254" t="s">
        <v>670</v>
      </c>
      <c r="F86" s="255">
        <v>42000</v>
      </c>
      <c r="G86" s="255"/>
      <c r="H86" s="251" t="s">
        <v>172</v>
      </c>
      <c r="I86" s="255">
        <v>42000</v>
      </c>
      <c r="J86" s="259"/>
      <c r="K86" s="225" t="s">
        <v>308</v>
      </c>
      <c r="L86" s="225">
        <v>2013</v>
      </c>
    </row>
    <row r="87" spans="1:12" ht="41.25" customHeight="1">
      <c r="A87" s="274">
        <v>55</v>
      </c>
      <c r="B87" s="299"/>
      <c r="C87" s="199"/>
      <c r="D87" s="258">
        <v>6050</v>
      </c>
      <c r="E87" s="254" t="s">
        <v>671</v>
      </c>
      <c r="F87" s="255">
        <f>12000+4500</f>
        <v>16500</v>
      </c>
      <c r="G87" s="255"/>
      <c r="H87" s="251" t="s">
        <v>173</v>
      </c>
      <c r="I87" s="255">
        <f>12000+4500</f>
        <v>16500</v>
      </c>
      <c r="J87" s="259"/>
      <c r="K87" s="225" t="s">
        <v>308</v>
      </c>
      <c r="L87" s="225">
        <v>2013</v>
      </c>
    </row>
    <row r="88" spans="1:12" ht="41.25" customHeight="1">
      <c r="A88" s="274">
        <v>56</v>
      </c>
      <c r="B88" s="299"/>
      <c r="C88" s="199"/>
      <c r="D88" s="800">
        <v>6050</v>
      </c>
      <c r="E88" s="792" t="s">
        <v>446</v>
      </c>
      <c r="F88" s="688">
        <v>10000</v>
      </c>
      <c r="G88" s="688"/>
      <c r="H88" s="801" t="s">
        <v>655</v>
      </c>
      <c r="I88" s="688">
        <v>10000</v>
      </c>
      <c r="J88" s="814"/>
      <c r="K88" s="721" t="s">
        <v>289</v>
      </c>
      <c r="L88" s="721">
        <v>2013</v>
      </c>
    </row>
    <row r="89" spans="1:12" ht="34.5" customHeight="1">
      <c r="A89" s="274">
        <v>57</v>
      </c>
      <c r="B89" s="299"/>
      <c r="C89" s="199"/>
      <c r="D89" s="258">
        <v>6060</v>
      </c>
      <c r="E89" s="254" t="s">
        <v>287</v>
      </c>
      <c r="F89" s="255">
        <v>5500</v>
      </c>
      <c r="G89" s="255">
        <v>0</v>
      </c>
      <c r="H89" s="251" t="s">
        <v>288</v>
      </c>
      <c r="I89" s="250">
        <v>5500</v>
      </c>
      <c r="J89" s="259">
        <v>0</v>
      </c>
      <c r="K89" s="225" t="s">
        <v>289</v>
      </c>
      <c r="L89" s="225">
        <v>2013</v>
      </c>
    </row>
    <row r="90" spans="1:12" ht="27" customHeight="1">
      <c r="A90" s="274"/>
      <c r="B90" s="299"/>
      <c r="C90" s="269">
        <v>80110</v>
      </c>
      <c r="D90" s="235"/>
      <c r="E90" s="236" t="s">
        <v>290</v>
      </c>
      <c r="F90" s="237">
        <f>SUM(F91+F92)</f>
        <v>61000</v>
      </c>
      <c r="G90" s="237">
        <f>SUM(G91+G92)</f>
        <v>0</v>
      </c>
      <c r="H90" s="237"/>
      <c r="I90" s="237">
        <f>SUM(I91+I92)</f>
        <v>61000</v>
      </c>
      <c r="J90" s="237">
        <f>SUM(J91+J92)</f>
        <v>0</v>
      </c>
      <c r="K90" s="238"/>
      <c r="L90" s="238"/>
    </row>
    <row r="91" spans="1:12" s="712" customFormat="1" ht="34.5" customHeight="1">
      <c r="A91" s="274">
        <v>58</v>
      </c>
      <c r="B91" s="299"/>
      <c r="C91" s="199"/>
      <c r="D91" s="303">
        <v>6050</v>
      </c>
      <c r="E91" s="254" t="s">
        <v>577</v>
      </c>
      <c r="F91" s="255">
        <f>70000-15000</f>
        <v>55000</v>
      </c>
      <c r="G91" s="255"/>
      <c r="H91" s="255" t="s">
        <v>174</v>
      </c>
      <c r="I91" s="255">
        <f>70000-15000</f>
        <v>55000</v>
      </c>
      <c r="J91" s="255"/>
      <c r="K91" s="225" t="s">
        <v>210</v>
      </c>
      <c r="L91" s="225">
        <v>2013</v>
      </c>
    </row>
    <row r="92" spans="1:12" ht="34.5" customHeight="1">
      <c r="A92" s="274">
        <v>59</v>
      </c>
      <c r="B92" s="299"/>
      <c r="C92" s="199"/>
      <c r="D92" s="303">
        <v>6060</v>
      </c>
      <c r="E92" s="254" t="s">
        <v>291</v>
      </c>
      <c r="F92" s="255">
        <v>6000</v>
      </c>
      <c r="G92" s="255">
        <v>0</v>
      </c>
      <c r="H92" s="251" t="s">
        <v>271</v>
      </c>
      <c r="I92" s="250">
        <v>6000</v>
      </c>
      <c r="J92" s="259">
        <v>0</v>
      </c>
      <c r="K92" s="225" t="s">
        <v>292</v>
      </c>
      <c r="L92" s="225">
        <v>2013</v>
      </c>
    </row>
    <row r="93" spans="1:12" ht="27" customHeight="1">
      <c r="A93" s="274"/>
      <c r="B93" s="229"/>
      <c r="C93" s="269">
        <v>80148</v>
      </c>
      <c r="D93" s="235"/>
      <c r="E93" s="236" t="s">
        <v>293</v>
      </c>
      <c r="F93" s="255">
        <f>F94</f>
        <v>6500</v>
      </c>
      <c r="G93" s="255">
        <f>G94</f>
        <v>0</v>
      </c>
      <c r="H93" s="255"/>
      <c r="I93" s="255">
        <f>I94</f>
        <v>6500</v>
      </c>
      <c r="J93" s="255">
        <f>J94</f>
        <v>0</v>
      </c>
      <c r="K93" s="225"/>
      <c r="L93" s="225"/>
    </row>
    <row r="94" spans="1:12" ht="27.75" customHeight="1">
      <c r="A94" s="274">
        <v>60</v>
      </c>
      <c r="B94" s="299"/>
      <c r="C94" s="199"/>
      <c r="D94" s="258">
        <v>6060</v>
      </c>
      <c r="E94" s="254" t="s">
        <v>294</v>
      </c>
      <c r="F94" s="255">
        <v>6500</v>
      </c>
      <c r="G94" s="255"/>
      <c r="H94" s="254" t="s">
        <v>295</v>
      </c>
      <c r="I94" s="255">
        <v>6500</v>
      </c>
      <c r="J94" s="259"/>
      <c r="K94" s="300" t="s">
        <v>296</v>
      </c>
      <c r="L94" s="267">
        <v>2013</v>
      </c>
    </row>
    <row r="95" spans="1:12" ht="23.25" customHeight="1">
      <c r="A95" s="274"/>
      <c r="B95" s="299"/>
      <c r="C95" s="269">
        <v>80195</v>
      </c>
      <c r="D95" s="235"/>
      <c r="E95" s="236" t="s">
        <v>243</v>
      </c>
      <c r="F95" s="237">
        <f>SUM(F96)</f>
        <v>5689200</v>
      </c>
      <c r="G95" s="237">
        <f>SUM(G96:G96)</f>
        <v>13284</v>
      </c>
      <c r="H95" s="304"/>
      <c r="I95" s="237">
        <f>SUM(I96)</f>
        <v>5675916</v>
      </c>
      <c r="J95" s="237">
        <f>SUM(J96:J96)</f>
        <v>13000</v>
      </c>
      <c r="K95" s="225"/>
      <c r="L95" s="225"/>
    </row>
    <row r="96" spans="1:12" ht="33.75" customHeight="1">
      <c r="A96" s="274">
        <v>61</v>
      </c>
      <c r="B96" s="299"/>
      <c r="C96" s="199"/>
      <c r="D96" s="303">
        <v>6050</v>
      </c>
      <c r="E96" s="243" t="s">
        <v>297</v>
      </c>
      <c r="F96" s="255">
        <f>5676200+13000</f>
        <v>5689200</v>
      </c>
      <c r="G96" s="255">
        <f>5034600-5021316</f>
        <v>13284</v>
      </c>
      <c r="H96" s="245" t="s">
        <v>298</v>
      </c>
      <c r="I96" s="259">
        <f>641600+5021316+13000</f>
        <v>5675916</v>
      </c>
      <c r="J96" s="259">
        <v>13000</v>
      </c>
      <c r="K96" s="225" t="s">
        <v>210</v>
      </c>
      <c r="L96" s="225" t="s">
        <v>211</v>
      </c>
    </row>
    <row r="97" spans="1:12" s="310" customFormat="1" ht="24.75" customHeight="1">
      <c r="A97" s="305"/>
      <c r="B97" s="229">
        <v>851</v>
      </c>
      <c r="C97" s="228"/>
      <c r="D97" s="306"/>
      <c r="E97" s="307" t="s">
        <v>299</v>
      </c>
      <c r="F97" s="262">
        <f>F98+F100</f>
        <v>106099</v>
      </c>
      <c r="G97" s="262">
        <f>G98+G100</f>
        <v>0</v>
      </c>
      <c r="H97" s="262"/>
      <c r="I97" s="262">
        <f>I98+I100</f>
        <v>106099</v>
      </c>
      <c r="J97" s="262">
        <f>J98+J100</f>
        <v>0</v>
      </c>
      <c r="K97" s="309"/>
      <c r="L97" s="309"/>
    </row>
    <row r="98" spans="1:12" s="712" customFormat="1" ht="24.75" customHeight="1">
      <c r="A98" s="311"/>
      <c r="B98" s="326"/>
      <c r="C98" s="256">
        <v>85111</v>
      </c>
      <c r="D98" s="257"/>
      <c r="E98" s="243" t="s">
        <v>578</v>
      </c>
      <c r="F98" s="255">
        <f>F99</f>
        <v>100000</v>
      </c>
      <c r="G98" s="255">
        <f>G99</f>
        <v>0</v>
      </c>
      <c r="H98" s="255"/>
      <c r="I98" s="255">
        <f>I99</f>
        <v>100000</v>
      </c>
      <c r="J98" s="255">
        <f>J99</f>
        <v>0</v>
      </c>
      <c r="K98" s="225"/>
      <c r="L98" s="225"/>
    </row>
    <row r="99" spans="1:12" s="712" customFormat="1" ht="68.25" customHeight="1">
      <c r="A99" s="311">
        <v>62</v>
      </c>
      <c r="B99" s="326"/>
      <c r="C99" s="256"/>
      <c r="D99" s="257">
        <v>6220</v>
      </c>
      <c r="E99" s="243" t="s">
        <v>641</v>
      </c>
      <c r="F99" s="255">
        <v>100000</v>
      </c>
      <c r="G99" s="255"/>
      <c r="H99" s="251" t="s">
        <v>175</v>
      </c>
      <c r="I99" s="255">
        <v>100000</v>
      </c>
      <c r="J99" s="259"/>
      <c r="K99" s="225" t="s">
        <v>579</v>
      </c>
      <c r="L99" s="225">
        <v>2013</v>
      </c>
    </row>
    <row r="100" spans="1:12" ht="29.25" customHeight="1">
      <c r="A100" s="311"/>
      <c r="B100" s="299"/>
      <c r="C100" s="256">
        <v>85158</v>
      </c>
      <c r="D100" s="256"/>
      <c r="E100" s="312" t="s">
        <v>300</v>
      </c>
      <c r="F100" s="255">
        <f>F101</f>
        <v>6099</v>
      </c>
      <c r="G100" s="255"/>
      <c r="H100" s="251"/>
      <c r="I100" s="255">
        <f>I101</f>
        <v>6099</v>
      </c>
      <c r="J100" s="259"/>
      <c r="K100" s="225"/>
      <c r="L100" s="225"/>
    </row>
    <row r="101" spans="1:12" ht="29.25" customHeight="1">
      <c r="A101" s="311">
        <v>63</v>
      </c>
      <c r="B101" s="299"/>
      <c r="C101" s="199"/>
      <c r="D101" s="258">
        <v>6060</v>
      </c>
      <c r="E101" s="254" t="s">
        <v>301</v>
      </c>
      <c r="F101" s="255">
        <f>20000-13901</f>
        <v>6099</v>
      </c>
      <c r="G101" s="255"/>
      <c r="H101" s="251" t="s">
        <v>302</v>
      </c>
      <c r="I101" s="259">
        <f>20000-13901</f>
        <v>6099</v>
      </c>
      <c r="J101" s="259"/>
      <c r="K101" s="225" t="s">
        <v>303</v>
      </c>
      <c r="L101" s="225">
        <v>2013</v>
      </c>
    </row>
    <row r="102" spans="1:12" ht="31.5" customHeight="1">
      <c r="A102" s="274"/>
      <c r="B102" s="228">
        <v>853</v>
      </c>
      <c r="C102" s="256"/>
      <c r="D102" s="303"/>
      <c r="E102" s="308" t="s">
        <v>304</v>
      </c>
      <c r="F102" s="262">
        <f>F103</f>
        <v>3472669.92</v>
      </c>
      <c r="G102" s="262">
        <f>G103</f>
        <v>3163369.92</v>
      </c>
      <c r="H102" s="262"/>
      <c r="I102" s="262">
        <f>I103</f>
        <v>1909300</v>
      </c>
      <c r="J102" s="262">
        <f>J103</f>
        <v>0</v>
      </c>
      <c r="K102" s="309"/>
      <c r="L102" s="309"/>
    </row>
    <row r="103" spans="1:12" ht="27" customHeight="1">
      <c r="A103" s="274"/>
      <c r="B103" s="228"/>
      <c r="C103" s="269">
        <v>85395</v>
      </c>
      <c r="D103" s="313"/>
      <c r="E103" s="236" t="s">
        <v>305</v>
      </c>
      <c r="F103" s="237">
        <f>SUM(F104:F115)</f>
        <v>3472669.92</v>
      </c>
      <c r="G103" s="237">
        <f>SUM(G104:G115)</f>
        <v>3163369.92</v>
      </c>
      <c r="H103" s="237"/>
      <c r="I103" s="237">
        <f>SUM(I104:I115)</f>
        <v>1909300</v>
      </c>
      <c r="J103" s="237">
        <f>SUM(J104:J115)</f>
        <v>0</v>
      </c>
      <c r="K103" s="238"/>
      <c r="L103" s="238"/>
    </row>
    <row r="104" spans="1:14" s="712" customFormat="1" ht="40.5" customHeight="1">
      <c r="A104" s="274">
        <v>64</v>
      </c>
      <c r="B104" s="228"/>
      <c r="C104" s="265"/>
      <c r="D104" s="815">
        <v>6057</v>
      </c>
      <c r="E104" s="792" t="s">
        <v>671</v>
      </c>
      <c r="F104" s="688">
        <v>13000</v>
      </c>
      <c r="G104" s="688"/>
      <c r="H104" s="801" t="s">
        <v>173</v>
      </c>
      <c r="I104" s="688">
        <v>13000</v>
      </c>
      <c r="J104" s="688"/>
      <c r="K104" s="720" t="s">
        <v>308</v>
      </c>
      <c r="L104" s="721">
        <v>2013</v>
      </c>
      <c r="N104" s="816"/>
    </row>
    <row r="105" spans="1:12" ht="38.25" customHeight="1">
      <c r="A105" s="274">
        <v>65</v>
      </c>
      <c r="B105" s="228"/>
      <c r="C105" s="233"/>
      <c r="D105" s="314">
        <v>6067</v>
      </c>
      <c r="E105" s="315" t="s">
        <v>306</v>
      </c>
      <c r="F105" s="719">
        <f>18000-1000</f>
        <v>17000</v>
      </c>
      <c r="G105" s="237"/>
      <c r="H105" s="316" t="s">
        <v>307</v>
      </c>
      <c r="I105" s="719">
        <f>18000-1000</f>
        <v>17000</v>
      </c>
      <c r="J105" s="237"/>
      <c r="K105" s="284" t="s">
        <v>308</v>
      </c>
      <c r="L105" s="225">
        <v>2013</v>
      </c>
    </row>
    <row r="106" spans="1:12" ht="40.5" customHeight="1">
      <c r="A106" s="274">
        <v>66</v>
      </c>
      <c r="B106" s="228"/>
      <c r="C106" s="233"/>
      <c r="D106" s="314">
        <v>6067</v>
      </c>
      <c r="E106" s="315" t="s">
        <v>309</v>
      </c>
      <c r="F106" s="719">
        <f>16000-6000</f>
        <v>10000</v>
      </c>
      <c r="G106" s="237"/>
      <c r="H106" s="316" t="s">
        <v>310</v>
      </c>
      <c r="I106" s="719">
        <f>16000-6000</f>
        <v>10000</v>
      </c>
      <c r="J106" s="237"/>
      <c r="K106" s="284" t="s">
        <v>308</v>
      </c>
      <c r="L106" s="225">
        <v>2013</v>
      </c>
    </row>
    <row r="107" spans="1:12" ht="29.25" customHeight="1">
      <c r="A107" s="274">
        <v>67</v>
      </c>
      <c r="B107" s="228"/>
      <c r="C107" s="233"/>
      <c r="D107" s="314">
        <v>6067</v>
      </c>
      <c r="E107" s="315" t="s">
        <v>311</v>
      </c>
      <c r="F107" s="317">
        <v>4000</v>
      </c>
      <c r="G107" s="237"/>
      <c r="H107" s="316" t="s">
        <v>312</v>
      </c>
      <c r="I107" s="317">
        <v>4000</v>
      </c>
      <c r="J107" s="237"/>
      <c r="K107" s="284" t="s">
        <v>308</v>
      </c>
      <c r="L107" s="225">
        <v>2013</v>
      </c>
    </row>
    <row r="108" spans="1:12" ht="30.75" customHeight="1">
      <c r="A108" s="218">
        <v>68</v>
      </c>
      <c r="B108" s="318"/>
      <c r="C108" s="233"/>
      <c r="D108" s="314">
        <v>6067</v>
      </c>
      <c r="E108" s="315" t="s">
        <v>44</v>
      </c>
      <c r="F108" s="317">
        <v>6300</v>
      </c>
      <c r="G108" s="237"/>
      <c r="H108" s="316" t="s">
        <v>12</v>
      </c>
      <c r="I108" s="317">
        <v>6300</v>
      </c>
      <c r="J108" s="237"/>
      <c r="K108" s="284" t="s">
        <v>47</v>
      </c>
      <c r="L108" s="225">
        <v>2013</v>
      </c>
    </row>
    <row r="109" spans="1:12" ht="31.5" customHeight="1">
      <c r="A109" s="218">
        <v>69</v>
      </c>
      <c r="B109" s="318"/>
      <c r="C109" s="233"/>
      <c r="D109" s="314">
        <v>6067</v>
      </c>
      <c r="E109" s="315" t="s">
        <v>45</v>
      </c>
      <c r="F109" s="317">
        <v>3500</v>
      </c>
      <c r="G109" s="237"/>
      <c r="H109" s="316" t="s">
        <v>46</v>
      </c>
      <c r="I109" s="317">
        <v>3500</v>
      </c>
      <c r="J109" s="237"/>
      <c r="K109" s="284" t="s">
        <v>47</v>
      </c>
      <c r="L109" s="225">
        <v>2013</v>
      </c>
    </row>
    <row r="110" spans="1:12" ht="31.5" customHeight="1">
      <c r="A110" s="218">
        <v>70</v>
      </c>
      <c r="B110" s="318"/>
      <c r="C110" s="233"/>
      <c r="D110" s="314">
        <v>6067</v>
      </c>
      <c r="E110" s="315" t="s">
        <v>185</v>
      </c>
      <c r="F110" s="317">
        <v>3500</v>
      </c>
      <c r="G110" s="237"/>
      <c r="H110" s="316" t="s">
        <v>205</v>
      </c>
      <c r="I110" s="317">
        <v>3500</v>
      </c>
      <c r="J110" s="237"/>
      <c r="K110" s="284" t="s">
        <v>284</v>
      </c>
      <c r="L110" s="225">
        <v>2013</v>
      </c>
    </row>
    <row r="111" spans="1:12" ht="31.5" customHeight="1">
      <c r="A111" s="218">
        <v>71</v>
      </c>
      <c r="B111" s="318"/>
      <c r="C111" s="233"/>
      <c r="D111" s="314">
        <v>6067</v>
      </c>
      <c r="E111" s="315" t="s">
        <v>186</v>
      </c>
      <c r="F111" s="317">
        <v>31000</v>
      </c>
      <c r="G111" s="237"/>
      <c r="H111" s="316" t="s">
        <v>206</v>
      </c>
      <c r="I111" s="317">
        <v>31000</v>
      </c>
      <c r="J111" s="237"/>
      <c r="K111" s="284" t="s">
        <v>284</v>
      </c>
      <c r="L111" s="225">
        <v>2013</v>
      </c>
    </row>
    <row r="112" spans="1:12" ht="66.75" customHeight="1">
      <c r="A112" s="852">
        <v>72</v>
      </c>
      <c r="B112" s="318"/>
      <c r="C112" s="233"/>
      <c r="D112" s="303">
        <v>6237</v>
      </c>
      <c r="E112" s="254" t="s">
        <v>313</v>
      </c>
      <c r="F112" s="255">
        <v>1360000</v>
      </c>
      <c r="G112" s="255">
        <v>1360000</v>
      </c>
      <c r="H112" s="319" t="s">
        <v>314</v>
      </c>
      <c r="I112" s="259">
        <v>1360000</v>
      </c>
      <c r="J112" s="259">
        <v>0</v>
      </c>
      <c r="K112" s="225" t="s">
        <v>315</v>
      </c>
      <c r="L112" s="225" t="s">
        <v>217</v>
      </c>
    </row>
    <row r="113" spans="1:12" ht="75" customHeight="1">
      <c r="A113" s="853"/>
      <c r="B113" s="318"/>
      <c r="C113" s="265"/>
      <c r="D113" s="303">
        <v>6239</v>
      </c>
      <c r="E113" s="254" t="s">
        <v>316</v>
      </c>
      <c r="F113" s="255">
        <v>240000</v>
      </c>
      <c r="G113" s="255">
        <v>240000</v>
      </c>
      <c r="H113" s="319" t="s">
        <v>314</v>
      </c>
      <c r="I113" s="259">
        <v>240000</v>
      </c>
      <c r="J113" s="259">
        <v>0</v>
      </c>
      <c r="K113" s="225" t="s">
        <v>315</v>
      </c>
      <c r="L113" s="225" t="s">
        <v>217</v>
      </c>
    </row>
    <row r="114" spans="1:14" ht="62.25" customHeight="1">
      <c r="A114" s="854">
        <v>73</v>
      </c>
      <c r="B114" s="318"/>
      <c r="C114" s="265"/>
      <c r="D114" s="303">
        <v>6237</v>
      </c>
      <c r="E114" s="254" t="s">
        <v>317</v>
      </c>
      <c r="F114" s="259">
        <f>G114+I114</f>
        <v>1516714.43</v>
      </c>
      <c r="G114" s="255">
        <v>1328864.43</v>
      </c>
      <c r="H114" s="251" t="s">
        <v>318</v>
      </c>
      <c r="I114" s="259">
        <v>187850</v>
      </c>
      <c r="J114" s="259"/>
      <c r="K114" s="225" t="s">
        <v>315</v>
      </c>
      <c r="L114" s="225" t="s">
        <v>211</v>
      </c>
      <c r="N114" s="226"/>
    </row>
    <row r="115" spans="1:12" ht="65.25" customHeight="1">
      <c r="A115" s="855"/>
      <c r="B115" s="318"/>
      <c r="C115" s="265"/>
      <c r="D115" s="303">
        <v>6239</v>
      </c>
      <c r="E115" s="254" t="s">
        <v>317</v>
      </c>
      <c r="F115" s="259">
        <f>G115+I115</f>
        <v>267655.49</v>
      </c>
      <c r="G115" s="255">
        <v>234505.49</v>
      </c>
      <c r="H115" s="251" t="s">
        <v>318</v>
      </c>
      <c r="I115" s="259">
        <v>33150</v>
      </c>
      <c r="J115" s="259"/>
      <c r="K115" s="225" t="s">
        <v>315</v>
      </c>
      <c r="L115" s="225" t="s">
        <v>211</v>
      </c>
    </row>
    <row r="116" spans="1:12" ht="30" customHeight="1">
      <c r="A116" s="292"/>
      <c r="B116" s="228">
        <v>900</v>
      </c>
      <c r="C116" s="228"/>
      <c r="D116" s="229"/>
      <c r="E116" s="261" t="s">
        <v>319</v>
      </c>
      <c r="F116" s="262">
        <f>F117+F120+F130</f>
        <v>7194550.99</v>
      </c>
      <c r="G116" s="262">
        <f>G117+G120+G130</f>
        <v>231240</v>
      </c>
      <c r="H116" s="262"/>
      <c r="I116" s="262">
        <f>I117+I120+I130</f>
        <v>2461719.21</v>
      </c>
      <c r="J116" s="262">
        <f>J117+J120+J130</f>
        <v>605000</v>
      </c>
      <c r="K116" s="262"/>
      <c r="L116" s="225"/>
    </row>
    <row r="117" spans="1:12" ht="30" customHeight="1">
      <c r="A117" s="292"/>
      <c r="B117" s="292"/>
      <c r="C117" s="268">
        <v>90002</v>
      </c>
      <c r="D117" s="270"/>
      <c r="E117" s="236" t="s">
        <v>320</v>
      </c>
      <c r="F117" s="237">
        <f>SUM(F118:F119)</f>
        <v>42000</v>
      </c>
      <c r="G117" s="237">
        <f>SUM(G118:G119)</f>
        <v>0</v>
      </c>
      <c r="H117" s="237"/>
      <c r="I117" s="237">
        <f>SUM(I118:I119)</f>
        <v>42000</v>
      </c>
      <c r="J117" s="237">
        <f>SUM(J118:J119)</f>
        <v>42000</v>
      </c>
      <c r="K117" s="225"/>
      <c r="L117" s="225"/>
    </row>
    <row r="118" spans="1:12" ht="42" customHeight="1">
      <c r="A118" s="199">
        <v>74</v>
      </c>
      <c r="B118" s="299"/>
      <c r="C118" s="320"/>
      <c r="D118" s="258">
        <v>6220</v>
      </c>
      <c r="E118" s="321" t="s">
        <v>321</v>
      </c>
      <c r="F118" s="322">
        <v>12000</v>
      </c>
      <c r="G118" s="323">
        <v>0</v>
      </c>
      <c r="H118" s="324" t="s">
        <v>322</v>
      </c>
      <c r="I118" s="322">
        <v>12000</v>
      </c>
      <c r="J118" s="322">
        <v>12000</v>
      </c>
      <c r="K118" s="225" t="s">
        <v>323</v>
      </c>
      <c r="L118" s="225">
        <v>2013</v>
      </c>
    </row>
    <row r="119" spans="1:12" ht="51.75" customHeight="1">
      <c r="A119" s="199">
        <v>75</v>
      </c>
      <c r="B119" s="299"/>
      <c r="C119" s="260"/>
      <c r="D119" s="258">
        <v>6230</v>
      </c>
      <c r="E119" s="325" t="s">
        <v>321</v>
      </c>
      <c r="F119" s="322">
        <v>30000</v>
      </c>
      <c r="G119" s="323">
        <v>0</v>
      </c>
      <c r="H119" s="324" t="s">
        <v>322</v>
      </c>
      <c r="I119" s="322">
        <v>30000</v>
      </c>
      <c r="J119" s="322">
        <v>30000</v>
      </c>
      <c r="K119" s="225" t="s">
        <v>323</v>
      </c>
      <c r="L119" s="225">
        <v>2013</v>
      </c>
    </row>
    <row r="120" spans="1:12" ht="27.75" customHeight="1">
      <c r="A120" s="209"/>
      <c r="B120" s="268"/>
      <c r="C120" s="269">
        <v>90015</v>
      </c>
      <c r="D120" s="270"/>
      <c r="E120" s="236" t="s">
        <v>324</v>
      </c>
      <c r="F120" s="237">
        <f>SUM(F121:F129)</f>
        <v>5109650.99</v>
      </c>
      <c r="G120" s="237">
        <f>SUM(G121:G129)</f>
        <v>0</v>
      </c>
      <c r="H120" s="237"/>
      <c r="I120" s="237">
        <f>SUM(I121:I129)</f>
        <v>1108059.21</v>
      </c>
      <c r="J120" s="237">
        <f>SUM(J121:J129)</f>
        <v>338000</v>
      </c>
      <c r="K120" s="238"/>
      <c r="L120" s="238"/>
    </row>
    <row r="121" spans="1:12" ht="34.5" customHeight="1">
      <c r="A121" s="256">
        <v>76</v>
      </c>
      <c r="B121" s="326"/>
      <c r="C121" s="191"/>
      <c r="D121" s="327">
        <v>6050</v>
      </c>
      <c r="E121" s="321" t="s">
        <v>325</v>
      </c>
      <c r="F121" s="328">
        <f>100000+160000</f>
        <v>260000</v>
      </c>
      <c r="G121" s="329">
        <v>0</v>
      </c>
      <c r="H121" s="330" t="s">
        <v>438</v>
      </c>
      <c r="I121" s="331">
        <f>100000+160000-240000+240000</f>
        <v>260000</v>
      </c>
      <c r="J121" s="331">
        <f>100000+160000-240000+240000</f>
        <v>260000</v>
      </c>
      <c r="K121" s="267" t="s">
        <v>230</v>
      </c>
      <c r="L121" s="267">
        <v>2013</v>
      </c>
    </row>
    <row r="122" spans="1:12" ht="50.25" customHeight="1">
      <c r="A122" s="256">
        <v>77</v>
      </c>
      <c r="B122" s="326"/>
      <c r="C122" s="199"/>
      <c r="D122" s="327">
        <v>6050</v>
      </c>
      <c r="E122" s="713" t="s">
        <v>326</v>
      </c>
      <c r="F122" s="322">
        <f>200000-95000+1149.61</f>
        <v>106149.61</v>
      </c>
      <c r="G122" s="332"/>
      <c r="H122" s="714" t="s">
        <v>327</v>
      </c>
      <c r="I122" s="322">
        <f>200000-95000</f>
        <v>105000</v>
      </c>
      <c r="J122" s="322"/>
      <c r="K122" s="267" t="s">
        <v>210</v>
      </c>
      <c r="L122" s="267" t="s">
        <v>423</v>
      </c>
    </row>
    <row r="123" spans="1:12" ht="39" customHeight="1">
      <c r="A123" s="256">
        <v>78</v>
      </c>
      <c r="B123" s="326"/>
      <c r="C123" s="199"/>
      <c r="D123" s="327">
        <v>6050</v>
      </c>
      <c r="E123" s="713" t="s">
        <v>328</v>
      </c>
      <c r="F123" s="322">
        <v>175000</v>
      </c>
      <c r="G123" s="332"/>
      <c r="H123" s="333" t="s">
        <v>329</v>
      </c>
      <c r="I123" s="322">
        <f>175000-150000+150000</f>
        <v>175000</v>
      </c>
      <c r="J123" s="322"/>
      <c r="K123" s="267" t="s">
        <v>230</v>
      </c>
      <c r="L123" s="267">
        <v>2013</v>
      </c>
    </row>
    <row r="124" spans="1:12" ht="72.75" customHeight="1">
      <c r="A124" s="256">
        <v>79</v>
      </c>
      <c r="B124" s="326"/>
      <c r="C124" s="199"/>
      <c r="D124" s="327">
        <v>6050</v>
      </c>
      <c r="E124" s="325" t="s">
        <v>330</v>
      </c>
      <c r="F124" s="322">
        <f>270000-120000+442.17</f>
        <v>150442.17</v>
      </c>
      <c r="G124" s="332"/>
      <c r="H124" s="715" t="s">
        <v>365</v>
      </c>
      <c r="I124" s="322">
        <f>270000-120000</f>
        <v>150000</v>
      </c>
      <c r="J124" s="322"/>
      <c r="K124" s="267" t="s">
        <v>210</v>
      </c>
      <c r="L124" s="267" t="s">
        <v>423</v>
      </c>
    </row>
    <row r="125" spans="1:12" ht="42" customHeight="1">
      <c r="A125" s="256">
        <v>80</v>
      </c>
      <c r="B125" s="326"/>
      <c r="C125" s="199"/>
      <c r="D125" s="327">
        <v>6050</v>
      </c>
      <c r="E125" s="325" t="s">
        <v>431</v>
      </c>
      <c r="F125" s="322">
        <v>25000</v>
      </c>
      <c r="G125" s="332"/>
      <c r="H125" s="333" t="s">
        <v>367</v>
      </c>
      <c r="I125" s="322">
        <v>25000</v>
      </c>
      <c r="J125" s="322"/>
      <c r="K125" s="267" t="s">
        <v>230</v>
      </c>
      <c r="L125" s="267">
        <v>2013</v>
      </c>
    </row>
    <row r="126" spans="1:12" ht="39.75" customHeight="1">
      <c r="A126" s="256">
        <v>81</v>
      </c>
      <c r="B126" s="326"/>
      <c r="C126" s="199"/>
      <c r="D126" s="327">
        <v>6050</v>
      </c>
      <c r="E126" s="325" t="s">
        <v>353</v>
      </c>
      <c r="F126" s="819">
        <f>4078000+48909.6</f>
        <v>4126909.6</v>
      </c>
      <c r="G126" s="332"/>
      <c r="H126" s="333" t="s">
        <v>435</v>
      </c>
      <c r="I126" s="819">
        <f>78000+48909.6</f>
        <v>126909.6</v>
      </c>
      <c r="J126" s="322">
        <v>78000</v>
      </c>
      <c r="K126" s="267" t="s">
        <v>230</v>
      </c>
      <c r="L126" s="267" t="s">
        <v>354</v>
      </c>
    </row>
    <row r="127" spans="1:12" ht="39.75" customHeight="1">
      <c r="A127" s="256">
        <v>82</v>
      </c>
      <c r="B127" s="326"/>
      <c r="C127" s="199"/>
      <c r="D127" s="327">
        <v>6050</v>
      </c>
      <c r="E127" s="325" t="s">
        <v>63</v>
      </c>
      <c r="F127" s="819">
        <f>50000+25000</f>
        <v>75000</v>
      </c>
      <c r="G127" s="332"/>
      <c r="H127" s="333" t="s">
        <v>13</v>
      </c>
      <c r="I127" s="819">
        <f>50000+25000</f>
        <v>75000</v>
      </c>
      <c r="J127" s="322"/>
      <c r="K127" s="267" t="s">
        <v>230</v>
      </c>
      <c r="L127" s="267">
        <v>2013</v>
      </c>
    </row>
    <row r="128" spans="1:12" ht="39.75" customHeight="1">
      <c r="A128" s="256">
        <v>83</v>
      </c>
      <c r="B128" s="326"/>
      <c r="C128" s="199"/>
      <c r="D128" s="817">
        <v>6050</v>
      </c>
      <c r="E128" s="818" t="s">
        <v>441</v>
      </c>
      <c r="F128" s="819">
        <v>1149.61</v>
      </c>
      <c r="G128" s="820"/>
      <c r="H128" s="821"/>
      <c r="I128" s="819">
        <v>1149.61</v>
      </c>
      <c r="J128" s="819"/>
      <c r="K128" s="822" t="s">
        <v>230</v>
      </c>
      <c r="L128" s="267">
        <v>2013</v>
      </c>
    </row>
    <row r="129" spans="1:12" ht="52.5" customHeight="1">
      <c r="A129" s="256">
        <v>84</v>
      </c>
      <c r="B129" s="326"/>
      <c r="C129" s="199"/>
      <c r="D129" s="327">
        <v>6050</v>
      </c>
      <c r="E129" s="334" t="s">
        <v>366</v>
      </c>
      <c r="F129" s="331">
        <f>300000-110000</f>
        <v>190000</v>
      </c>
      <c r="G129" s="328"/>
      <c r="H129" s="330" t="s">
        <v>367</v>
      </c>
      <c r="I129" s="322">
        <f>300000-110000</f>
        <v>190000</v>
      </c>
      <c r="J129" s="322"/>
      <c r="K129" s="267" t="s">
        <v>210</v>
      </c>
      <c r="L129" s="267">
        <v>2013</v>
      </c>
    </row>
    <row r="130" spans="1:12" ht="25.5" customHeight="1">
      <c r="A130" s="256"/>
      <c r="B130" s="268"/>
      <c r="C130" s="269">
        <v>90095</v>
      </c>
      <c r="D130" s="270"/>
      <c r="E130" s="236" t="s">
        <v>243</v>
      </c>
      <c r="F130" s="237">
        <f>SUM(F131:F137)</f>
        <v>2042900</v>
      </c>
      <c r="G130" s="237">
        <f>SUM(G131:G137)</f>
        <v>231240</v>
      </c>
      <c r="H130" s="237"/>
      <c r="I130" s="237">
        <f>SUM(I131:I137)</f>
        <v>1311660</v>
      </c>
      <c r="J130" s="237">
        <f>SUM(J131:J137)</f>
        <v>225000</v>
      </c>
      <c r="K130" s="238"/>
      <c r="L130" s="238"/>
    </row>
    <row r="131" spans="1:12" ht="25.5" customHeight="1">
      <c r="A131" s="191">
        <v>85</v>
      </c>
      <c r="B131" s="335"/>
      <c r="C131" s="268"/>
      <c r="D131" s="258">
        <v>6050</v>
      </c>
      <c r="E131" s="243" t="s">
        <v>368</v>
      </c>
      <c r="F131" s="255">
        <f>1375000-1300000+500000</f>
        <v>575000</v>
      </c>
      <c r="G131" s="255">
        <v>0</v>
      </c>
      <c r="H131" s="336" t="s">
        <v>369</v>
      </c>
      <c r="I131" s="255">
        <f>1375000-1300000</f>
        <v>75000</v>
      </c>
      <c r="J131" s="255">
        <f>1375000-1300000</f>
        <v>75000</v>
      </c>
      <c r="K131" s="337" t="s">
        <v>210</v>
      </c>
      <c r="L131" s="337" t="s">
        <v>423</v>
      </c>
    </row>
    <row r="132" spans="1:12" ht="49.5" customHeight="1">
      <c r="A132" s="191">
        <v>86</v>
      </c>
      <c r="B132" s="335"/>
      <c r="C132" s="268"/>
      <c r="D132" s="258">
        <v>6050</v>
      </c>
      <c r="E132" s="254" t="s">
        <v>580</v>
      </c>
      <c r="F132" s="255">
        <v>50000</v>
      </c>
      <c r="G132" s="255"/>
      <c r="H132" s="255" t="s">
        <v>176</v>
      </c>
      <c r="I132" s="255">
        <v>50000</v>
      </c>
      <c r="J132" s="255"/>
      <c r="K132" s="225" t="s">
        <v>375</v>
      </c>
      <c r="L132" s="225">
        <v>2013</v>
      </c>
    </row>
    <row r="133" spans="1:12" ht="25.5" customHeight="1">
      <c r="A133" s="191">
        <v>87</v>
      </c>
      <c r="B133" s="335"/>
      <c r="C133" s="268"/>
      <c r="D133" s="258">
        <v>6050</v>
      </c>
      <c r="E133" s="254" t="s">
        <v>672</v>
      </c>
      <c r="F133" s="255">
        <v>100000</v>
      </c>
      <c r="G133" s="255"/>
      <c r="H133" s="336" t="s">
        <v>177</v>
      </c>
      <c r="I133" s="255">
        <v>100000</v>
      </c>
      <c r="J133" s="255"/>
      <c r="K133" s="267" t="s">
        <v>375</v>
      </c>
      <c r="L133" s="267">
        <v>2013</v>
      </c>
    </row>
    <row r="134" spans="1:12" ht="72" customHeight="1">
      <c r="A134" s="191">
        <v>88</v>
      </c>
      <c r="B134" s="335"/>
      <c r="C134" s="268"/>
      <c r="D134" s="256">
        <v>6010</v>
      </c>
      <c r="E134" s="823" t="s">
        <v>363</v>
      </c>
      <c r="F134" s="255">
        <v>24000</v>
      </c>
      <c r="G134" s="255"/>
      <c r="H134" s="245" t="s">
        <v>381</v>
      </c>
      <c r="I134" s="255">
        <v>24000</v>
      </c>
      <c r="J134" s="255"/>
      <c r="K134" s="824" t="s">
        <v>210</v>
      </c>
      <c r="L134" s="824">
        <v>2013</v>
      </c>
    </row>
    <row r="135" spans="1:14" ht="39" customHeight="1">
      <c r="A135" s="850">
        <v>89</v>
      </c>
      <c r="B135" s="335"/>
      <c r="C135" s="268"/>
      <c r="D135" s="258">
        <v>6057</v>
      </c>
      <c r="E135" s="325" t="s">
        <v>370</v>
      </c>
      <c r="F135" s="322">
        <v>972315</v>
      </c>
      <c r="G135" s="255">
        <v>196554</v>
      </c>
      <c r="H135" s="338" t="s">
        <v>371</v>
      </c>
      <c r="I135" s="255">
        <v>775761</v>
      </c>
      <c r="J135" s="237">
        <v>0</v>
      </c>
      <c r="K135" s="337" t="s">
        <v>210</v>
      </c>
      <c r="L135" s="337" t="s">
        <v>372</v>
      </c>
      <c r="N135" s="226"/>
    </row>
    <row r="136" spans="1:12" ht="40.5" customHeight="1">
      <c r="A136" s="853"/>
      <c r="B136" s="339"/>
      <c r="C136" s="279"/>
      <c r="D136" s="258">
        <v>6059</v>
      </c>
      <c r="E136" s="325" t="s">
        <v>370</v>
      </c>
      <c r="F136" s="322">
        <v>171585</v>
      </c>
      <c r="G136" s="323">
        <v>34686</v>
      </c>
      <c r="H136" s="338" t="s">
        <v>371</v>
      </c>
      <c r="I136" s="322">
        <v>136899</v>
      </c>
      <c r="J136" s="322">
        <v>0</v>
      </c>
      <c r="K136" s="337" t="s">
        <v>210</v>
      </c>
      <c r="L136" s="337" t="s">
        <v>372</v>
      </c>
    </row>
    <row r="137" spans="1:12" ht="41.25" customHeight="1">
      <c r="A137" s="340">
        <v>90</v>
      </c>
      <c r="B137" s="339"/>
      <c r="C137" s="279"/>
      <c r="D137" s="341">
        <v>6230</v>
      </c>
      <c r="E137" s="325" t="s">
        <v>373</v>
      </c>
      <c r="F137" s="323">
        <f>50000+100000</f>
        <v>150000</v>
      </c>
      <c r="G137" s="332">
        <v>0</v>
      </c>
      <c r="H137" s="333" t="s">
        <v>374</v>
      </c>
      <c r="I137" s="322">
        <f>50000+100000</f>
        <v>150000</v>
      </c>
      <c r="J137" s="322">
        <f>50000+100000</f>
        <v>150000</v>
      </c>
      <c r="K137" s="267" t="s">
        <v>375</v>
      </c>
      <c r="L137" s="267">
        <v>2013</v>
      </c>
    </row>
    <row r="138" spans="1:12" s="310" customFormat="1" ht="41.25" customHeight="1">
      <c r="A138" s="692"/>
      <c r="B138" s="693">
        <v>921</v>
      </c>
      <c r="C138" s="693"/>
      <c r="D138" s="228"/>
      <c r="E138" s="694" t="s">
        <v>508</v>
      </c>
      <c r="F138" s="700">
        <f>F139</f>
        <v>1440000</v>
      </c>
      <c r="G138" s="700">
        <f aca="true" t="shared" si="1" ref="G138:J139">G139</f>
        <v>0</v>
      </c>
      <c r="H138" s="700">
        <f t="shared" si="1"/>
        <v>0</v>
      </c>
      <c r="I138" s="700">
        <f t="shared" si="1"/>
        <v>340000</v>
      </c>
      <c r="J138" s="700">
        <f t="shared" si="1"/>
        <v>0</v>
      </c>
      <c r="K138" s="695"/>
      <c r="L138" s="695"/>
    </row>
    <row r="139" spans="1:12" s="364" customFormat="1" ht="32.25" customHeight="1">
      <c r="A139" s="696"/>
      <c r="B139" s="697"/>
      <c r="C139" s="699">
        <v>92109</v>
      </c>
      <c r="D139" s="356"/>
      <c r="E139" s="698" t="s">
        <v>581</v>
      </c>
      <c r="F139" s="701">
        <f>F140</f>
        <v>1440000</v>
      </c>
      <c r="G139" s="701">
        <f t="shared" si="1"/>
        <v>0</v>
      </c>
      <c r="H139" s="701"/>
      <c r="I139" s="701">
        <f t="shared" si="1"/>
        <v>340000</v>
      </c>
      <c r="J139" s="701">
        <f t="shared" si="1"/>
        <v>0</v>
      </c>
      <c r="K139" s="352"/>
      <c r="L139" s="352"/>
    </row>
    <row r="140" spans="1:12" ht="57" customHeight="1">
      <c r="A140" s="340">
        <v>91</v>
      </c>
      <c r="B140" s="339"/>
      <c r="C140" s="279"/>
      <c r="D140" s="285">
        <v>6050</v>
      </c>
      <c r="E140" s="325" t="s">
        <v>355</v>
      </c>
      <c r="F140" s="323">
        <f>1100000+340000</f>
        <v>1440000</v>
      </c>
      <c r="G140" s="332"/>
      <c r="H140" s="333" t="s">
        <v>356</v>
      </c>
      <c r="I140" s="322">
        <v>340000</v>
      </c>
      <c r="J140" s="322"/>
      <c r="K140" s="267" t="s">
        <v>210</v>
      </c>
      <c r="L140" s="267" t="s">
        <v>423</v>
      </c>
    </row>
    <row r="141" spans="1:12" ht="27.75" customHeight="1">
      <c r="A141" s="199"/>
      <c r="B141" s="227">
        <v>926</v>
      </c>
      <c r="C141" s="228"/>
      <c r="D141" s="229"/>
      <c r="E141" s="261" t="s">
        <v>376</v>
      </c>
      <c r="F141" s="262">
        <f>F142+F145</f>
        <v>134300</v>
      </c>
      <c r="G141" s="262">
        <f>G142+G145</f>
        <v>0</v>
      </c>
      <c r="H141" s="262"/>
      <c r="I141" s="262">
        <f>I142+I145</f>
        <v>134300</v>
      </c>
      <c r="J141" s="262">
        <f>J142+J145</f>
        <v>0</v>
      </c>
      <c r="K141" s="225"/>
      <c r="L141" s="225"/>
    </row>
    <row r="142" spans="1:12" ht="24" customHeight="1">
      <c r="A142" s="228"/>
      <c r="B142" s="295"/>
      <c r="C142" s="275">
        <v>92601</v>
      </c>
      <c r="D142" s="270"/>
      <c r="E142" s="236" t="s">
        <v>377</v>
      </c>
      <c r="F142" s="237">
        <f>SUM(F143:F144)</f>
        <v>84300</v>
      </c>
      <c r="G142" s="237">
        <f>SUM(G143:G144)</f>
        <v>0</v>
      </c>
      <c r="H142" s="237"/>
      <c r="I142" s="237">
        <f>SUM(I143:I144)</f>
        <v>84300</v>
      </c>
      <c r="J142" s="237">
        <f>SUM(J143:J144)</f>
        <v>0</v>
      </c>
      <c r="K142" s="238"/>
      <c r="L142" s="238"/>
    </row>
    <row r="143" spans="1:12" ht="41.25" customHeight="1">
      <c r="A143" s="256">
        <v>92</v>
      </c>
      <c r="B143" s="289"/>
      <c r="C143" s="233"/>
      <c r="D143" s="341">
        <v>6050</v>
      </c>
      <c r="E143" s="249" t="s">
        <v>378</v>
      </c>
      <c r="F143" s="255">
        <f>18300+16000</f>
        <v>34300</v>
      </c>
      <c r="G143" s="255">
        <v>0</v>
      </c>
      <c r="H143" s="302" t="s">
        <v>379</v>
      </c>
      <c r="I143" s="255">
        <f>18300+16000</f>
        <v>34300</v>
      </c>
      <c r="J143" s="255">
        <v>0</v>
      </c>
      <c r="K143" s="225" t="s">
        <v>210</v>
      </c>
      <c r="L143" s="267">
        <v>2013</v>
      </c>
    </row>
    <row r="144" spans="1:12" s="343" customFormat="1" ht="44.25" customHeight="1">
      <c r="A144" s="256">
        <v>93</v>
      </c>
      <c r="B144" s="289"/>
      <c r="C144" s="233"/>
      <c r="D144" s="342">
        <v>6050</v>
      </c>
      <c r="E144" s="248" t="s">
        <v>380</v>
      </c>
      <c r="F144" s="255">
        <v>50000</v>
      </c>
      <c r="G144" s="255">
        <v>0</v>
      </c>
      <c r="H144" s="245" t="s">
        <v>381</v>
      </c>
      <c r="I144" s="255">
        <v>50000</v>
      </c>
      <c r="J144" s="255">
        <v>0</v>
      </c>
      <c r="K144" s="225" t="s">
        <v>210</v>
      </c>
      <c r="L144" s="225">
        <v>2013</v>
      </c>
    </row>
    <row r="145" spans="1:12" s="343" customFormat="1" ht="25.5" customHeight="1">
      <c r="A145" s="256"/>
      <c r="B145" s="289"/>
      <c r="C145" s="269">
        <v>92604</v>
      </c>
      <c r="D145" s="344"/>
      <c r="E145" s="345" t="s">
        <v>382</v>
      </c>
      <c r="F145" s="255">
        <f>F146</f>
        <v>50000</v>
      </c>
      <c r="G145" s="255">
        <f>G146</f>
        <v>0</v>
      </c>
      <c r="H145" s="255"/>
      <c r="I145" s="255">
        <f>I146</f>
        <v>50000</v>
      </c>
      <c r="J145" s="255">
        <f>J146</f>
        <v>0</v>
      </c>
      <c r="K145" s="225"/>
      <c r="L145" s="225"/>
    </row>
    <row r="146" spans="1:12" s="343" customFormat="1" ht="27.75" customHeight="1">
      <c r="A146" s="256">
        <v>94</v>
      </c>
      <c r="B146" s="289"/>
      <c r="C146" s="265"/>
      <c r="D146" s="239">
        <v>6050</v>
      </c>
      <c r="E146" s="243" t="s">
        <v>383</v>
      </c>
      <c r="F146" s="255">
        <v>50000</v>
      </c>
      <c r="G146" s="255"/>
      <c r="H146" s="245" t="s">
        <v>384</v>
      </c>
      <c r="I146" s="255">
        <v>50000</v>
      </c>
      <c r="J146" s="255"/>
      <c r="K146" s="225" t="s">
        <v>385</v>
      </c>
      <c r="L146" s="225">
        <v>2013</v>
      </c>
    </row>
    <row r="147" spans="1:15" ht="24.75" customHeight="1">
      <c r="A147" s="256"/>
      <c r="B147" s="346" t="s">
        <v>386</v>
      </c>
      <c r="C147" s="347"/>
      <c r="D147" s="285"/>
      <c r="E147" s="307"/>
      <c r="F147" s="348">
        <f>F148+F158+F164+F170+F173+F180+F183</f>
        <v>37587352</v>
      </c>
      <c r="G147" s="348">
        <f>G148+G158+G164+G170+G173+G180+G183</f>
        <v>18810224.86</v>
      </c>
      <c r="H147" s="348"/>
      <c r="I147" s="348">
        <f>I148+I158+I164+I170+I173+I180+I183</f>
        <v>14945127.139999999</v>
      </c>
      <c r="J147" s="348">
        <f>J148+J158+J164+J170+J173+J180+J183</f>
        <v>1284882.52</v>
      </c>
      <c r="K147" s="225"/>
      <c r="L147" s="225"/>
      <c r="N147" s="723"/>
      <c r="O147" s="722"/>
    </row>
    <row r="148" spans="1:15" ht="20.25" customHeight="1">
      <c r="A148" s="228"/>
      <c r="B148" s="320">
        <v>600</v>
      </c>
      <c r="C148" s="228"/>
      <c r="D148" s="229"/>
      <c r="E148" s="261" t="s">
        <v>168</v>
      </c>
      <c r="F148" s="262">
        <f>F149</f>
        <v>35181852</v>
      </c>
      <c r="G148" s="262">
        <f>G149</f>
        <v>18810224.86</v>
      </c>
      <c r="H148" s="349"/>
      <c r="I148" s="262">
        <f>I149</f>
        <v>13539627.139999999</v>
      </c>
      <c r="J148" s="262">
        <f>J149</f>
        <v>968382.52</v>
      </c>
      <c r="K148" s="225"/>
      <c r="L148" s="225"/>
      <c r="N148" s="724"/>
      <c r="O148" s="724"/>
    </row>
    <row r="149" spans="1:12" ht="27" customHeight="1">
      <c r="A149" s="256"/>
      <c r="B149" s="263"/>
      <c r="C149" s="269">
        <v>60015</v>
      </c>
      <c r="D149" s="235"/>
      <c r="E149" s="236" t="s">
        <v>387</v>
      </c>
      <c r="F149" s="237">
        <f>SUM(F150:F157)</f>
        <v>35181852</v>
      </c>
      <c r="G149" s="237">
        <f>SUM(G150:G157)</f>
        <v>18810224.86</v>
      </c>
      <c r="H149" s="304"/>
      <c r="I149" s="237">
        <f>SUM(I150:I157)</f>
        <v>13539627.139999999</v>
      </c>
      <c r="J149" s="237">
        <f>SUM(J150:J157)</f>
        <v>968382.52</v>
      </c>
      <c r="K149" s="238"/>
      <c r="L149" s="238"/>
    </row>
    <row r="150" spans="1:14" ht="43.5" customHeight="1">
      <c r="A150" s="256">
        <v>95</v>
      </c>
      <c r="B150" s="326"/>
      <c r="C150" s="199"/>
      <c r="D150" s="258">
        <v>6050</v>
      </c>
      <c r="E150" s="321" t="s">
        <v>388</v>
      </c>
      <c r="F150" s="328">
        <f>27061100+125000+122352</f>
        <v>27308452</v>
      </c>
      <c r="G150" s="329">
        <f>23211100-3406101.69-1044773.45</f>
        <v>18760224.86</v>
      </c>
      <c r="H150" s="330" t="s">
        <v>389</v>
      </c>
      <c r="I150" s="331">
        <f>3850000+125000+122352+3406101.69+1044773.45</f>
        <v>8548227.139999999</v>
      </c>
      <c r="J150" s="331">
        <f>2141080-167000-1921497.48</f>
        <v>52582.52000000002</v>
      </c>
      <c r="K150" s="267" t="s">
        <v>390</v>
      </c>
      <c r="L150" s="267" t="s">
        <v>211</v>
      </c>
      <c r="N150" s="226"/>
    </row>
    <row r="151" spans="1:15" s="343" customFormat="1" ht="35.25" customHeight="1">
      <c r="A151" s="256">
        <v>96</v>
      </c>
      <c r="B151" s="326"/>
      <c r="C151" s="199"/>
      <c r="D151" s="258">
        <v>6050</v>
      </c>
      <c r="E151" s="321" t="s">
        <v>391</v>
      </c>
      <c r="F151" s="328">
        <v>1100000</v>
      </c>
      <c r="G151" s="329"/>
      <c r="H151" s="321" t="s">
        <v>392</v>
      </c>
      <c r="I151" s="331">
        <v>1100000</v>
      </c>
      <c r="J151" s="331">
        <v>0</v>
      </c>
      <c r="K151" s="267" t="s">
        <v>230</v>
      </c>
      <c r="L151" s="267">
        <v>2013</v>
      </c>
      <c r="N151" s="376"/>
      <c r="O151" s="376"/>
    </row>
    <row r="152" spans="1:16" s="343" customFormat="1" ht="58.5" customHeight="1">
      <c r="A152" s="256">
        <v>97</v>
      </c>
      <c r="B152" s="326"/>
      <c r="C152" s="199"/>
      <c r="D152" s="258">
        <v>6050</v>
      </c>
      <c r="E152" s="321" t="s">
        <v>393</v>
      </c>
      <c r="F152" s="328">
        <v>260000</v>
      </c>
      <c r="G152" s="329"/>
      <c r="H152" s="245" t="s">
        <v>381</v>
      </c>
      <c r="I152" s="331">
        <v>260000</v>
      </c>
      <c r="J152" s="331"/>
      <c r="K152" s="267" t="s">
        <v>210</v>
      </c>
      <c r="L152" s="267">
        <v>2013</v>
      </c>
      <c r="N152" s="376"/>
      <c r="O152" s="376"/>
      <c r="P152" s="376"/>
    </row>
    <row r="153" spans="1:15" s="343" customFormat="1" ht="57.75" customHeight="1">
      <c r="A153" s="256">
        <v>98</v>
      </c>
      <c r="B153" s="326"/>
      <c r="C153" s="199"/>
      <c r="D153" s="258">
        <v>6050</v>
      </c>
      <c r="E153" s="321" t="s">
        <v>394</v>
      </c>
      <c r="F153" s="328">
        <v>30000</v>
      </c>
      <c r="G153" s="329"/>
      <c r="H153" s="245" t="s">
        <v>381</v>
      </c>
      <c r="I153" s="331">
        <v>30000</v>
      </c>
      <c r="J153" s="331"/>
      <c r="K153" s="267" t="s">
        <v>230</v>
      </c>
      <c r="L153" s="267">
        <v>2013</v>
      </c>
      <c r="N153" s="376"/>
      <c r="O153" s="376"/>
    </row>
    <row r="154" spans="1:12" s="343" customFormat="1" ht="35.25" customHeight="1">
      <c r="A154" s="256">
        <v>99</v>
      </c>
      <c r="B154" s="326"/>
      <c r="C154" s="199"/>
      <c r="D154" s="258">
        <v>6050</v>
      </c>
      <c r="E154" s="321" t="s">
        <v>432</v>
      </c>
      <c r="F154" s="328">
        <f>2832000+2832000</f>
        <v>5664000</v>
      </c>
      <c r="G154" s="329"/>
      <c r="H154" s="245" t="s">
        <v>434</v>
      </c>
      <c r="I154" s="331">
        <v>2832000</v>
      </c>
      <c r="J154" s="331">
        <f>240000+753800-78000</f>
        <v>915800</v>
      </c>
      <c r="K154" s="267" t="s">
        <v>210</v>
      </c>
      <c r="L154" s="267">
        <v>2013</v>
      </c>
    </row>
    <row r="155" spans="1:12" s="343" customFormat="1" ht="35.25" customHeight="1">
      <c r="A155" s="256">
        <v>10</v>
      </c>
      <c r="B155" s="326"/>
      <c r="C155" s="199"/>
      <c r="D155" s="258">
        <v>6050</v>
      </c>
      <c r="E155" s="321" t="s">
        <v>674</v>
      </c>
      <c r="F155" s="328">
        <v>500000</v>
      </c>
      <c r="G155" s="329"/>
      <c r="H155" s="245" t="s">
        <v>357</v>
      </c>
      <c r="I155" s="331">
        <v>500000</v>
      </c>
      <c r="J155" s="331"/>
      <c r="K155" s="267" t="s">
        <v>230</v>
      </c>
      <c r="L155" s="267">
        <v>2013</v>
      </c>
    </row>
    <row r="156" spans="1:12" s="343" customFormat="1" ht="78" customHeight="1">
      <c r="A156" s="256">
        <v>101</v>
      </c>
      <c r="B156" s="326"/>
      <c r="C156" s="199"/>
      <c r="D156" s="800">
        <v>6050</v>
      </c>
      <c r="E156" s="838" t="s">
        <v>130</v>
      </c>
      <c r="F156" s="839">
        <v>119400</v>
      </c>
      <c r="G156" s="840"/>
      <c r="H156" s="841" t="s">
        <v>131</v>
      </c>
      <c r="I156" s="842">
        <v>119400</v>
      </c>
      <c r="J156" s="842"/>
      <c r="K156" s="822" t="s">
        <v>230</v>
      </c>
      <c r="L156" s="822">
        <v>2013</v>
      </c>
    </row>
    <row r="157" spans="1:14" s="343" customFormat="1" ht="39.75" customHeight="1">
      <c r="A157" s="256">
        <v>102</v>
      </c>
      <c r="B157" s="326"/>
      <c r="C157" s="199"/>
      <c r="D157" s="258">
        <v>6050</v>
      </c>
      <c r="E157" s="321" t="s">
        <v>395</v>
      </c>
      <c r="F157" s="328">
        <f>550000-350000</f>
        <v>200000</v>
      </c>
      <c r="G157" s="329">
        <v>50000</v>
      </c>
      <c r="H157" s="350" t="s">
        <v>396</v>
      </c>
      <c r="I157" s="331">
        <f>500000-350000</f>
        <v>150000</v>
      </c>
      <c r="J157" s="331">
        <v>0</v>
      </c>
      <c r="K157" s="267" t="s">
        <v>210</v>
      </c>
      <c r="L157" s="267" t="s">
        <v>211</v>
      </c>
      <c r="N157" s="376"/>
    </row>
    <row r="158" spans="1:17" s="35" customFormat="1" ht="27" customHeight="1">
      <c r="A158" s="199"/>
      <c r="B158" s="228">
        <v>710</v>
      </c>
      <c r="C158" s="228"/>
      <c r="D158" s="228"/>
      <c r="E158" s="307" t="s">
        <v>397</v>
      </c>
      <c r="F158" s="288">
        <f>F159+F161</f>
        <v>55000</v>
      </c>
      <c r="G158" s="288">
        <f>G159+G161</f>
        <v>0</v>
      </c>
      <c r="H158" s="288"/>
      <c r="I158" s="288">
        <f>I159+I161</f>
        <v>55000</v>
      </c>
      <c r="J158" s="288">
        <f>J159+J161</f>
        <v>0</v>
      </c>
      <c r="K158" s="224"/>
      <c r="L158" s="224"/>
      <c r="N158" s="351"/>
      <c r="O158" s="351"/>
      <c r="P158" s="351"/>
      <c r="Q158" s="3"/>
    </row>
    <row r="159" spans="1:17" s="35" customFormat="1" ht="27" customHeight="1">
      <c r="A159" s="199"/>
      <c r="B159" s="292"/>
      <c r="C159" s="269">
        <v>71012</v>
      </c>
      <c r="D159" s="270"/>
      <c r="E159" s="276" t="s">
        <v>398</v>
      </c>
      <c r="F159" s="277">
        <f>F160</f>
        <v>45000</v>
      </c>
      <c r="G159" s="277">
        <f>G160</f>
        <v>0</v>
      </c>
      <c r="H159" s="277"/>
      <c r="I159" s="277">
        <f>I160</f>
        <v>45000</v>
      </c>
      <c r="J159" s="277">
        <f>J160</f>
        <v>0</v>
      </c>
      <c r="K159" s="352"/>
      <c r="L159" s="352"/>
      <c r="N159" s="351"/>
      <c r="O159" s="351"/>
      <c r="P159" s="351"/>
      <c r="Q159" s="3"/>
    </row>
    <row r="160" spans="1:17" s="35" customFormat="1" ht="54.75" customHeight="1">
      <c r="A160" s="199">
        <v>103</v>
      </c>
      <c r="B160" s="292"/>
      <c r="C160" s="228"/>
      <c r="D160" s="285">
        <v>6060</v>
      </c>
      <c r="E160" s="296" t="s">
        <v>399</v>
      </c>
      <c r="F160" s="297">
        <f>25000+20000</f>
        <v>45000</v>
      </c>
      <c r="G160" s="297">
        <v>0</v>
      </c>
      <c r="H160" s="353" t="s">
        <v>400</v>
      </c>
      <c r="I160" s="297">
        <f>25000+20000</f>
        <v>45000</v>
      </c>
      <c r="J160" s="297">
        <v>0</v>
      </c>
      <c r="K160" s="224" t="s">
        <v>401</v>
      </c>
      <c r="L160" s="224">
        <v>2013</v>
      </c>
      <c r="N160" s="351"/>
      <c r="O160" s="351"/>
      <c r="P160" s="351"/>
      <c r="Q160" s="3"/>
    </row>
    <row r="161" spans="1:17" s="35" customFormat="1" ht="21.75" customHeight="1">
      <c r="A161" s="209"/>
      <c r="B161" s="268"/>
      <c r="C161" s="269">
        <v>71015</v>
      </c>
      <c r="D161" s="270"/>
      <c r="E161" s="276" t="s">
        <v>402</v>
      </c>
      <c r="F161" s="277">
        <f>F162+F163</f>
        <v>10000</v>
      </c>
      <c r="G161" s="277">
        <f>G163</f>
        <v>0</v>
      </c>
      <c r="H161" s="277"/>
      <c r="I161" s="277">
        <f>I162+I163</f>
        <v>10000</v>
      </c>
      <c r="J161" s="277">
        <f>J163</f>
        <v>0</v>
      </c>
      <c r="K161" s="352"/>
      <c r="L161" s="352"/>
      <c r="N161" s="351"/>
      <c r="O161" s="351"/>
      <c r="P161" s="351"/>
      <c r="Q161" s="3"/>
    </row>
    <row r="162" spans="1:17" s="35" customFormat="1" ht="40.5" customHeight="1">
      <c r="A162" s="209">
        <v>104</v>
      </c>
      <c r="B162" s="268"/>
      <c r="C162" s="233"/>
      <c r="D162" s="285">
        <v>6060</v>
      </c>
      <c r="E162" s="296" t="s">
        <v>403</v>
      </c>
      <c r="F162" s="297">
        <v>5000</v>
      </c>
      <c r="G162" s="297">
        <v>0</v>
      </c>
      <c r="H162" s="353" t="s">
        <v>404</v>
      </c>
      <c r="I162" s="354">
        <v>5000</v>
      </c>
      <c r="J162" s="354">
        <v>0</v>
      </c>
      <c r="K162" s="267" t="s">
        <v>405</v>
      </c>
      <c r="L162" s="267">
        <v>2013</v>
      </c>
      <c r="N162" s="351"/>
      <c r="O162" s="351"/>
      <c r="P162" s="351"/>
      <c r="Q162" s="3"/>
    </row>
    <row r="163" spans="1:17" s="35" customFormat="1" ht="41.25" customHeight="1">
      <c r="A163" s="256">
        <v>105</v>
      </c>
      <c r="B163" s="199"/>
      <c r="C163" s="265"/>
      <c r="D163" s="285">
        <v>6060</v>
      </c>
      <c r="E163" s="296" t="s">
        <v>406</v>
      </c>
      <c r="F163" s="297">
        <v>5000</v>
      </c>
      <c r="G163" s="297">
        <v>0</v>
      </c>
      <c r="H163" s="353" t="s">
        <v>407</v>
      </c>
      <c r="I163" s="354">
        <v>5000</v>
      </c>
      <c r="J163" s="354">
        <v>0</v>
      </c>
      <c r="K163" s="267" t="s">
        <v>405</v>
      </c>
      <c r="L163" s="267">
        <v>2013</v>
      </c>
      <c r="N163" s="351"/>
      <c r="O163" s="351"/>
      <c r="P163" s="351"/>
      <c r="Q163" s="3"/>
    </row>
    <row r="164" spans="1:17" s="35" customFormat="1" ht="35.25" customHeight="1">
      <c r="A164" s="228"/>
      <c r="B164" s="228">
        <v>754</v>
      </c>
      <c r="C164" s="228"/>
      <c r="D164" s="228"/>
      <c r="E164" s="272" t="s">
        <v>256</v>
      </c>
      <c r="F164" s="355">
        <f>F165+F167</f>
        <v>350000</v>
      </c>
      <c r="G164" s="355">
        <f>G165+G167</f>
        <v>0</v>
      </c>
      <c r="H164" s="355"/>
      <c r="I164" s="355">
        <f>I165+I167</f>
        <v>350000</v>
      </c>
      <c r="J164" s="355">
        <f>J165+J167</f>
        <v>100000</v>
      </c>
      <c r="K164" s="267"/>
      <c r="L164" s="267"/>
      <c r="N164" s="351"/>
      <c r="O164" s="351"/>
      <c r="P164" s="351"/>
      <c r="Q164" s="3"/>
    </row>
    <row r="165" spans="1:17" s="35" customFormat="1" ht="35.25" customHeight="1">
      <c r="A165" s="256"/>
      <c r="B165" s="199"/>
      <c r="C165" s="256">
        <v>75405</v>
      </c>
      <c r="D165" s="436"/>
      <c r="E165" s="296" t="s">
        <v>656</v>
      </c>
      <c r="F165" s="266">
        <f>F166</f>
        <v>150000</v>
      </c>
      <c r="G165" s="266">
        <f>G166</f>
        <v>0</v>
      </c>
      <c r="H165" s="266"/>
      <c r="I165" s="266">
        <f>I166</f>
        <v>150000</v>
      </c>
      <c r="J165" s="266">
        <f>J166</f>
        <v>0</v>
      </c>
      <c r="K165" s="267"/>
      <c r="L165" s="267"/>
      <c r="N165" s="351"/>
      <c r="O165" s="351"/>
      <c r="P165" s="351"/>
      <c r="Q165" s="3"/>
    </row>
    <row r="166" spans="1:17" s="35" customFormat="1" ht="35.25" customHeight="1">
      <c r="A166" s="256">
        <v>106</v>
      </c>
      <c r="B166" s="199"/>
      <c r="C166" s="256"/>
      <c r="D166" s="825">
        <v>6170</v>
      </c>
      <c r="E166" s="826" t="s">
        <v>448</v>
      </c>
      <c r="F166" s="827">
        <v>150000</v>
      </c>
      <c r="G166" s="827"/>
      <c r="H166" s="827"/>
      <c r="I166" s="827">
        <v>150000</v>
      </c>
      <c r="J166" s="827"/>
      <c r="K166" s="822" t="s">
        <v>260</v>
      </c>
      <c r="L166" s="822">
        <v>2013</v>
      </c>
      <c r="N166" s="351"/>
      <c r="O166" s="351"/>
      <c r="P166" s="351"/>
      <c r="Q166" s="3"/>
    </row>
    <row r="167" spans="1:17" s="35" customFormat="1" ht="33" customHeight="1">
      <c r="A167" s="256"/>
      <c r="B167" s="268"/>
      <c r="C167" s="269">
        <v>75411</v>
      </c>
      <c r="D167" s="356"/>
      <c r="E167" s="276" t="s">
        <v>408</v>
      </c>
      <c r="F167" s="266">
        <f>F168+F169</f>
        <v>200000</v>
      </c>
      <c r="G167" s="266">
        <f>G168+G169</f>
        <v>0</v>
      </c>
      <c r="H167" s="266"/>
      <c r="I167" s="266">
        <f>I168+I169</f>
        <v>200000</v>
      </c>
      <c r="J167" s="266">
        <f>J168+J169</f>
        <v>100000</v>
      </c>
      <c r="K167" s="267"/>
      <c r="L167" s="267"/>
      <c r="N167" s="351"/>
      <c r="O167" s="351"/>
      <c r="P167" s="351"/>
      <c r="Q167" s="3"/>
    </row>
    <row r="168" spans="1:17" s="35" customFormat="1" ht="100.5" customHeight="1">
      <c r="A168" s="850">
        <v>107</v>
      </c>
      <c r="B168" s="199"/>
      <c r="C168" s="265"/>
      <c r="D168" s="341">
        <v>6050</v>
      </c>
      <c r="E168" s="254" t="s">
        <v>409</v>
      </c>
      <c r="F168" s="297">
        <f>100000</f>
        <v>100000</v>
      </c>
      <c r="G168" s="297">
        <v>0</v>
      </c>
      <c r="H168" s="353" t="s">
        <v>410</v>
      </c>
      <c r="I168" s="266">
        <f>100000</f>
        <v>100000</v>
      </c>
      <c r="J168" s="266"/>
      <c r="K168" s="267" t="s">
        <v>411</v>
      </c>
      <c r="L168" s="267">
        <v>2013</v>
      </c>
      <c r="N168" s="351"/>
      <c r="O168" s="351"/>
      <c r="P168" s="351"/>
      <c r="Q168" s="3"/>
    </row>
    <row r="169" spans="1:17" s="35" customFormat="1" ht="111.75" customHeight="1">
      <c r="A169" s="851"/>
      <c r="B169" s="199"/>
      <c r="C169" s="265"/>
      <c r="D169" s="341">
        <v>6170</v>
      </c>
      <c r="E169" s="254" t="s">
        <v>409</v>
      </c>
      <c r="F169" s="297">
        <v>100000</v>
      </c>
      <c r="G169" s="297"/>
      <c r="H169" s="353" t="s">
        <v>410</v>
      </c>
      <c r="I169" s="266">
        <v>100000</v>
      </c>
      <c r="J169" s="266">
        <v>100000</v>
      </c>
      <c r="K169" s="267" t="s">
        <v>260</v>
      </c>
      <c r="L169" s="267">
        <v>2013</v>
      </c>
      <c r="N169" s="351"/>
      <c r="O169" s="351"/>
      <c r="P169" s="351"/>
      <c r="Q169" s="3"/>
    </row>
    <row r="170" spans="1:12" ht="21.75" customHeight="1">
      <c r="A170" s="690"/>
      <c r="B170" s="228">
        <v>758</v>
      </c>
      <c r="C170" s="228"/>
      <c r="D170" s="229"/>
      <c r="E170" s="261" t="s">
        <v>573</v>
      </c>
      <c r="F170" s="262">
        <f>F171</f>
        <v>100000</v>
      </c>
      <c r="G170" s="262">
        <f aca="true" t="shared" si="2" ref="G170:J171">G171</f>
        <v>0</v>
      </c>
      <c r="H170" s="262"/>
      <c r="I170" s="262">
        <f t="shared" si="2"/>
        <v>100000</v>
      </c>
      <c r="J170" s="262">
        <f t="shared" si="2"/>
        <v>0</v>
      </c>
      <c r="K170" s="225"/>
      <c r="L170" s="225"/>
    </row>
    <row r="171" spans="1:12" ht="22.5" customHeight="1">
      <c r="A171" s="691"/>
      <c r="B171" s="295"/>
      <c r="C171" s="275">
        <v>75818</v>
      </c>
      <c r="D171" s="270"/>
      <c r="E171" s="276" t="s">
        <v>574</v>
      </c>
      <c r="F171" s="277">
        <f>F172</f>
        <v>100000</v>
      </c>
      <c r="G171" s="277">
        <f t="shared" si="2"/>
        <v>0</v>
      </c>
      <c r="H171" s="277"/>
      <c r="I171" s="277">
        <f t="shared" si="2"/>
        <v>100000</v>
      </c>
      <c r="J171" s="277">
        <f t="shared" si="2"/>
        <v>0</v>
      </c>
      <c r="K171" s="238"/>
      <c r="L171" s="238"/>
    </row>
    <row r="172" spans="1:12" ht="32.25" customHeight="1">
      <c r="A172" s="691"/>
      <c r="B172" s="292"/>
      <c r="C172" s="265"/>
      <c r="D172" s="285">
        <v>6800</v>
      </c>
      <c r="E172" s="296" t="s">
        <v>263</v>
      </c>
      <c r="F172" s="297">
        <f>185000-85000</f>
        <v>100000</v>
      </c>
      <c r="G172" s="297"/>
      <c r="H172" s="245"/>
      <c r="I172" s="357">
        <f>185000-85000</f>
        <v>100000</v>
      </c>
      <c r="J172" s="294">
        <f>500000-500000</f>
        <v>0</v>
      </c>
      <c r="K172" s="225"/>
      <c r="L172" s="225"/>
    </row>
    <row r="173" spans="1:12" ht="26.25" customHeight="1">
      <c r="A173" s="191"/>
      <c r="B173" s="228">
        <v>801</v>
      </c>
      <c r="C173" s="228"/>
      <c r="D173" s="228"/>
      <c r="E173" s="287" t="s">
        <v>264</v>
      </c>
      <c r="F173" s="262">
        <f>F174+F176+F178</f>
        <v>316500</v>
      </c>
      <c r="G173" s="262">
        <f>G174+G176+G178</f>
        <v>0</v>
      </c>
      <c r="H173" s="262"/>
      <c r="I173" s="262">
        <f>I174+I176+I178</f>
        <v>316500</v>
      </c>
      <c r="J173" s="262">
        <f>J174+J176+J178</f>
        <v>116500</v>
      </c>
      <c r="K173" s="309"/>
      <c r="L173" s="309"/>
    </row>
    <row r="174" spans="1:12" s="364" customFormat="1" ht="26.25" customHeight="1">
      <c r="A174" s="268"/>
      <c r="B174" s="703"/>
      <c r="C174" s="269">
        <v>80120</v>
      </c>
      <c r="D174" s="269"/>
      <c r="E174" s="290" t="s">
        <v>587</v>
      </c>
      <c r="F174" s="237">
        <f>F175</f>
        <v>110000</v>
      </c>
      <c r="G174" s="237">
        <f>G175</f>
        <v>0</v>
      </c>
      <c r="H174" s="237"/>
      <c r="I174" s="237">
        <f>I175</f>
        <v>110000</v>
      </c>
      <c r="J174" s="237">
        <f>J175</f>
        <v>110000</v>
      </c>
      <c r="K174" s="238"/>
      <c r="L174" s="238"/>
    </row>
    <row r="175" spans="1:12" s="712" customFormat="1" ht="35.25" customHeight="1">
      <c r="A175" s="199">
        <v>108</v>
      </c>
      <c r="B175" s="326"/>
      <c r="C175" s="256"/>
      <c r="D175" s="256">
        <v>6050</v>
      </c>
      <c r="E175" s="702" t="s">
        <v>675</v>
      </c>
      <c r="F175" s="255">
        <v>110000</v>
      </c>
      <c r="G175" s="255"/>
      <c r="H175" s="255" t="s">
        <v>14</v>
      </c>
      <c r="I175" s="255">
        <v>110000</v>
      </c>
      <c r="J175" s="255">
        <v>110000</v>
      </c>
      <c r="K175" s="225" t="s">
        <v>586</v>
      </c>
      <c r="L175" s="225">
        <v>2013</v>
      </c>
    </row>
    <row r="176" spans="1:12" s="712" customFormat="1" ht="45" customHeight="1">
      <c r="A176" s="199"/>
      <c r="B176" s="326"/>
      <c r="C176" s="256">
        <v>80140</v>
      </c>
      <c r="D176" s="256"/>
      <c r="E176" s="702" t="s">
        <v>15</v>
      </c>
      <c r="F176" s="255">
        <f>F177</f>
        <v>200000</v>
      </c>
      <c r="G176" s="255">
        <f>G177</f>
        <v>0</v>
      </c>
      <c r="H176" s="255"/>
      <c r="I176" s="255">
        <f>I177</f>
        <v>200000</v>
      </c>
      <c r="J176" s="255">
        <f>J177</f>
        <v>0</v>
      </c>
      <c r="K176" s="225"/>
      <c r="L176" s="225"/>
    </row>
    <row r="177" spans="1:12" s="712" customFormat="1" ht="41.25" customHeight="1">
      <c r="A177" s="199">
        <v>109</v>
      </c>
      <c r="B177" s="326"/>
      <c r="C177" s="256"/>
      <c r="D177" s="256">
        <v>6050</v>
      </c>
      <c r="E177" s="702" t="s">
        <v>676</v>
      </c>
      <c r="F177" s="255">
        <v>200000</v>
      </c>
      <c r="G177" s="255"/>
      <c r="H177" s="255" t="s">
        <v>178</v>
      </c>
      <c r="I177" s="255">
        <v>200000</v>
      </c>
      <c r="J177" s="255"/>
      <c r="K177" s="225" t="s">
        <v>582</v>
      </c>
      <c r="L177" s="225">
        <v>2013</v>
      </c>
    </row>
    <row r="178" spans="1:12" ht="32.25" customHeight="1">
      <c r="A178" s="199"/>
      <c r="B178" s="191"/>
      <c r="C178" s="264">
        <v>80146</v>
      </c>
      <c r="D178" s="269"/>
      <c r="E178" s="358" t="s">
        <v>412</v>
      </c>
      <c r="F178" s="237">
        <f>F179</f>
        <v>6500</v>
      </c>
      <c r="G178" s="237">
        <f>G179</f>
        <v>0</v>
      </c>
      <c r="H178" s="237"/>
      <c r="I178" s="237">
        <f>I179</f>
        <v>6500</v>
      </c>
      <c r="J178" s="237">
        <f>J179</f>
        <v>6500</v>
      </c>
      <c r="K178" s="238"/>
      <c r="L178" s="238"/>
    </row>
    <row r="179" spans="1:12" ht="53.25" customHeight="1">
      <c r="A179" s="209">
        <v>110</v>
      </c>
      <c r="B179" s="199"/>
      <c r="C179" s="303"/>
      <c r="D179" s="191">
        <v>6050</v>
      </c>
      <c r="E179" s="359" t="s">
        <v>413</v>
      </c>
      <c r="F179" s="360">
        <v>6500</v>
      </c>
      <c r="G179" s="361">
        <v>0</v>
      </c>
      <c r="H179" s="362" t="s">
        <v>414</v>
      </c>
      <c r="I179" s="357">
        <v>6500</v>
      </c>
      <c r="J179" s="294">
        <v>6500</v>
      </c>
      <c r="K179" s="225" t="s">
        <v>415</v>
      </c>
      <c r="L179" s="225">
        <v>2013</v>
      </c>
    </row>
    <row r="180" spans="1:12" s="310" customFormat="1" ht="28.5" customHeight="1">
      <c r="A180" s="228"/>
      <c r="B180" s="228">
        <v>852</v>
      </c>
      <c r="C180" s="228"/>
      <c r="D180" s="228"/>
      <c r="E180" s="307" t="s">
        <v>416</v>
      </c>
      <c r="F180" s="288">
        <f>F181</f>
        <v>84000</v>
      </c>
      <c r="G180" s="288">
        <f aca="true" t="shared" si="3" ref="G180:J181">G181</f>
        <v>0</v>
      </c>
      <c r="H180" s="288"/>
      <c r="I180" s="288">
        <f t="shared" si="3"/>
        <v>84000</v>
      </c>
      <c r="J180" s="288">
        <f t="shared" si="3"/>
        <v>0</v>
      </c>
      <c r="K180" s="309"/>
      <c r="L180" s="309"/>
    </row>
    <row r="181" spans="1:12" s="364" customFormat="1" ht="24" customHeight="1">
      <c r="A181" s="263"/>
      <c r="B181" s="263"/>
      <c r="C181" s="363">
        <v>85202</v>
      </c>
      <c r="D181" s="269"/>
      <c r="E181" s="312" t="s">
        <v>417</v>
      </c>
      <c r="F181" s="291">
        <f>F182</f>
        <v>84000</v>
      </c>
      <c r="G181" s="291">
        <f t="shared" si="3"/>
        <v>0</v>
      </c>
      <c r="H181" s="291"/>
      <c r="I181" s="291">
        <f t="shared" si="3"/>
        <v>84000</v>
      </c>
      <c r="J181" s="291">
        <f t="shared" si="3"/>
        <v>0</v>
      </c>
      <c r="K181" s="238"/>
      <c r="L181" s="238"/>
    </row>
    <row r="182" spans="1:12" ht="42" customHeight="1">
      <c r="A182" s="209">
        <v>111</v>
      </c>
      <c r="B182" s="209"/>
      <c r="C182" s="258"/>
      <c r="D182" s="256">
        <v>6060</v>
      </c>
      <c r="E182" s="243" t="s">
        <v>418</v>
      </c>
      <c r="F182" s="361">
        <v>84000</v>
      </c>
      <c r="G182" s="361"/>
      <c r="H182" s="245" t="s">
        <v>419</v>
      </c>
      <c r="I182" s="357">
        <v>84000</v>
      </c>
      <c r="J182" s="259"/>
      <c r="K182" s="225" t="s">
        <v>420</v>
      </c>
      <c r="L182" s="225">
        <v>2013</v>
      </c>
    </row>
    <row r="183" spans="1:12" ht="24" customHeight="1">
      <c r="A183" s="228"/>
      <c r="B183" s="227">
        <v>926</v>
      </c>
      <c r="C183" s="228"/>
      <c r="D183" s="229"/>
      <c r="E183" s="261" t="s">
        <v>376</v>
      </c>
      <c r="F183" s="262">
        <f>F184</f>
        <v>1500000</v>
      </c>
      <c r="G183" s="262">
        <f>G184</f>
        <v>0</v>
      </c>
      <c r="H183" s="262"/>
      <c r="I183" s="262">
        <f>I184</f>
        <v>500000</v>
      </c>
      <c r="J183" s="262">
        <f>J184</f>
        <v>100000</v>
      </c>
      <c r="K183" s="225"/>
      <c r="L183" s="225"/>
    </row>
    <row r="184" spans="1:12" ht="24" customHeight="1">
      <c r="A184" s="299"/>
      <c r="B184" s="295"/>
      <c r="C184" s="275">
        <v>92601</v>
      </c>
      <c r="D184" s="270"/>
      <c r="E184" s="236" t="s">
        <v>377</v>
      </c>
      <c r="F184" s="237">
        <f>SUM(F185:F185)</f>
        <v>1500000</v>
      </c>
      <c r="G184" s="237">
        <f>SUM(G185:G185)</f>
        <v>0</v>
      </c>
      <c r="H184" s="237"/>
      <c r="I184" s="237">
        <f>SUM(I185:I185)</f>
        <v>500000</v>
      </c>
      <c r="J184" s="237">
        <f>SUM(J185:J185)</f>
        <v>100000</v>
      </c>
      <c r="K184" s="238"/>
      <c r="L184" s="238"/>
    </row>
    <row r="185" spans="1:12" ht="38.25" customHeight="1">
      <c r="A185" s="326">
        <v>112</v>
      </c>
      <c r="B185" s="289"/>
      <c r="C185" s="233"/>
      <c r="D185" s="341">
        <v>6050</v>
      </c>
      <c r="E185" s="249" t="s">
        <v>421</v>
      </c>
      <c r="F185" s="255">
        <f>50000+450000+1000000</f>
        <v>1500000</v>
      </c>
      <c r="G185" s="255">
        <v>0</v>
      </c>
      <c r="H185" s="245" t="s">
        <v>422</v>
      </c>
      <c r="I185" s="255">
        <f>450000+50000</f>
        <v>500000</v>
      </c>
      <c r="J185" s="255">
        <v>100000</v>
      </c>
      <c r="K185" s="225" t="s">
        <v>210</v>
      </c>
      <c r="L185" s="267" t="s">
        <v>423</v>
      </c>
    </row>
    <row r="186" spans="1:15" ht="28.5" customHeight="1">
      <c r="A186" s="228"/>
      <c r="B186" s="365" t="s">
        <v>84</v>
      </c>
      <c r="C186" s="366"/>
      <c r="D186" s="367"/>
      <c r="E186" s="368"/>
      <c r="F186" s="348">
        <f>F13+F147</f>
        <v>85074452.06</v>
      </c>
      <c r="G186" s="348">
        <f>G13+G147</f>
        <v>23967593.91</v>
      </c>
      <c r="H186" s="348"/>
      <c r="I186" s="348">
        <f>I13+I147</f>
        <v>45641441.35</v>
      </c>
      <c r="J186" s="348">
        <f>J13+J147</f>
        <v>5634880</v>
      </c>
      <c r="K186" s="369"/>
      <c r="L186" s="369"/>
      <c r="N186" s="723"/>
      <c r="O186" s="723"/>
    </row>
    <row r="187" spans="1:15" ht="21.75" customHeight="1">
      <c r="A187" s="168"/>
      <c r="B187" s="176"/>
      <c r="C187" s="176"/>
      <c r="D187" s="168"/>
      <c r="E187" s="170"/>
      <c r="F187" s="370"/>
      <c r="G187" s="370"/>
      <c r="H187" s="176"/>
      <c r="I187" s="3"/>
      <c r="J187" s="3"/>
      <c r="K187" s="172"/>
      <c r="L187" s="172"/>
      <c r="N187" s="724"/>
      <c r="O187" s="724"/>
    </row>
    <row r="188" spans="1:15" ht="22.5" customHeight="1">
      <c r="A188" s="168"/>
      <c r="B188" s="169"/>
      <c r="C188" s="169"/>
      <c r="D188" s="168"/>
      <c r="G188" s="170"/>
      <c r="H188" s="170"/>
      <c r="I188" s="370"/>
      <c r="J188" s="4"/>
      <c r="K188" s="183"/>
      <c r="L188" s="172"/>
      <c r="N188" s="226"/>
      <c r="O188" s="232"/>
    </row>
    <row r="189" spans="1:15" ht="12.75">
      <c r="A189" s="168"/>
      <c r="B189" s="169"/>
      <c r="C189" s="169"/>
      <c r="D189" s="168"/>
      <c r="G189" s="170"/>
      <c r="H189" s="170"/>
      <c r="I189" s="4"/>
      <c r="J189" s="4"/>
      <c r="K189" s="183"/>
      <c r="L189" s="172"/>
      <c r="N189" s="226"/>
      <c r="O189" s="226"/>
    </row>
    <row r="190" spans="8:15" ht="12.75">
      <c r="H190" s="371"/>
      <c r="I190" s="246"/>
      <c r="J190" s="226"/>
      <c r="K190" s="226"/>
      <c r="N190" s="226"/>
      <c r="O190" s="226"/>
    </row>
    <row r="191" spans="8:15" ht="12.75">
      <c r="H191" s="246"/>
      <c r="I191" s="372"/>
      <c r="J191" s="226"/>
      <c r="K191" s="226"/>
      <c r="N191" s="226"/>
      <c r="O191" s="226"/>
    </row>
    <row r="192" spans="8:15" ht="12.75">
      <c r="H192" s="226"/>
      <c r="I192" s="226"/>
      <c r="J192" s="226"/>
      <c r="K192" s="226"/>
      <c r="N192" s="226"/>
      <c r="O192" s="226"/>
    </row>
    <row r="193" spans="8:15" ht="12.75">
      <c r="H193" s="226"/>
      <c r="I193" s="226"/>
      <c r="J193" s="226"/>
      <c r="K193" s="226"/>
      <c r="N193" s="226"/>
      <c r="O193" s="226"/>
    </row>
    <row r="194" spans="8:11" ht="12.75">
      <c r="H194" s="226"/>
      <c r="I194" s="226"/>
      <c r="J194" s="226"/>
      <c r="K194" s="226"/>
    </row>
    <row r="195" spans="8:11" ht="12.75">
      <c r="H195" s="226"/>
      <c r="I195" s="226"/>
      <c r="J195" s="226"/>
      <c r="K195" s="226"/>
    </row>
    <row r="196" spans="8:11" ht="12.75">
      <c r="H196" s="226"/>
      <c r="I196" s="226"/>
      <c r="J196" s="226"/>
      <c r="K196" s="226"/>
    </row>
    <row r="197" spans="8:11" ht="12.75">
      <c r="H197" s="226"/>
      <c r="I197" s="226"/>
      <c r="J197" s="226"/>
      <c r="K197" s="226"/>
    </row>
    <row r="198" spans="8:11" ht="12.75">
      <c r="H198" s="226"/>
      <c r="I198" s="226"/>
      <c r="J198" s="226"/>
      <c r="K198" s="226"/>
    </row>
    <row r="199" spans="8:11" ht="12.75">
      <c r="H199" s="226"/>
      <c r="I199" s="226"/>
      <c r="J199" s="226"/>
      <c r="K199" s="226"/>
    </row>
    <row r="200" spans="8:11" ht="12.75">
      <c r="H200" s="226"/>
      <c r="I200" s="226"/>
      <c r="J200" s="226"/>
      <c r="K200" s="226"/>
    </row>
    <row r="201" spans="8:11" ht="12.75">
      <c r="H201" s="226"/>
      <c r="I201" s="226"/>
      <c r="J201" s="226"/>
      <c r="K201" s="226"/>
    </row>
  </sheetData>
  <mergeCells count="4">
    <mergeCell ref="A168:A169"/>
    <mergeCell ref="A112:A113"/>
    <mergeCell ref="A114:A115"/>
    <mergeCell ref="A135:A13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H26" sqref="H26"/>
    </sheetView>
  </sheetViews>
  <sheetFormatPr defaultColWidth="9.140625" defaultRowHeight="12.75"/>
  <cols>
    <col min="1" max="1" width="5.7109375" style="45" customWidth="1"/>
    <col min="2" max="2" width="31.7109375" style="45" customWidth="1"/>
    <col min="3" max="3" width="15.00390625" style="45" customWidth="1"/>
    <col min="4" max="4" width="8.57421875" style="45" customWidth="1"/>
    <col min="5" max="5" width="17.140625" style="45" customWidth="1"/>
    <col min="6" max="6" width="18.28125" style="45" customWidth="1"/>
    <col min="7" max="7" width="13.140625" style="45" customWidth="1"/>
    <col min="8" max="8" width="22.28125" style="45" customWidth="1"/>
    <col min="9" max="9" width="29.00390625" style="726" customWidth="1"/>
    <col min="10" max="10" width="18.140625" style="45" customWidth="1"/>
    <col min="11" max="11" width="9.140625" style="45" customWidth="1"/>
    <col min="12" max="12" width="10.140625" style="45" bestFit="1" customWidth="1"/>
    <col min="13" max="16384" width="9.140625" style="45" customWidth="1"/>
  </cols>
  <sheetData>
    <row r="1" spans="4:5" ht="20.25">
      <c r="D1" s="725"/>
      <c r="E1" s="725" t="s">
        <v>187</v>
      </c>
    </row>
    <row r="2" spans="4:5" ht="18.75">
      <c r="D2" s="71"/>
      <c r="E2" s="71" t="s">
        <v>657</v>
      </c>
    </row>
    <row r="3" spans="4:5" ht="18.75">
      <c r="D3" s="71"/>
      <c r="E3" s="71" t="s">
        <v>145</v>
      </c>
    </row>
    <row r="4" spans="4:5" ht="18.75">
      <c r="D4" s="71"/>
      <c r="E4" s="71" t="s">
        <v>658</v>
      </c>
    </row>
    <row r="5" spans="4:5" ht="18.75">
      <c r="D5" s="71"/>
      <c r="E5" s="71"/>
    </row>
    <row r="6" spans="1:12" ht="18">
      <c r="A6" s="727"/>
      <c r="B6" s="728"/>
      <c r="C6" s="728"/>
      <c r="D6" s="729"/>
      <c r="E6" s="730"/>
      <c r="F6" s="730"/>
      <c r="G6" s="730"/>
      <c r="H6" s="730"/>
      <c r="I6" s="731"/>
      <c r="J6" s="730"/>
      <c r="K6" s="732"/>
      <c r="L6" s="732"/>
    </row>
    <row r="7" spans="1:12" ht="20.25">
      <c r="A7" s="727"/>
      <c r="B7" s="733" t="s">
        <v>188</v>
      </c>
      <c r="C7" s="16"/>
      <c r="D7" s="734"/>
      <c r="E7" s="730"/>
      <c r="F7" s="730"/>
      <c r="G7" s="730"/>
      <c r="H7" s="730"/>
      <c r="I7" s="731"/>
      <c r="J7" s="730"/>
      <c r="K7" s="732"/>
      <c r="L7" s="732"/>
    </row>
    <row r="8" spans="1:12" ht="20.25">
      <c r="A8" s="727"/>
      <c r="B8" s="733" t="s">
        <v>189</v>
      </c>
      <c r="C8" s="16"/>
      <c r="D8" s="734"/>
      <c r="E8" s="730"/>
      <c r="F8" s="730"/>
      <c r="G8" s="730"/>
      <c r="H8" s="730"/>
      <c r="I8" s="731"/>
      <c r="J8" s="730"/>
      <c r="K8" s="732"/>
      <c r="L8" s="732"/>
    </row>
    <row r="9" spans="1:12" ht="20.25">
      <c r="A9" s="727"/>
      <c r="B9" s="733" t="s">
        <v>190</v>
      </c>
      <c r="C9" s="16"/>
      <c r="D9" s="734"/>
      <c r="E9" s="730"/>
      <c r="F9" s="730"/>
      <c r="G9" s="730"/>
      <c r="H9" s="730"/>
      <c r="I9" s="731"/>
      <c r="J9" s="730"/>
      <c r="K9" s="732"/>
      <c r="L9" s="732"/>
    </row>
    <row r="10" spans="1:12" ht="20.25">
      <c r="A10" s="727"/>
      <c r="B10" s="735"/>
      <c r="C10" s="16"/>
      <c r="D10" s="734"/>
      <c r="E10" s="730"/>
      <c r="F10" s="730"/>
      <c r="G10" s="730"/>
      <c r="H10" s="730"/>
      <c r="I10" s="731"/>
      <c r="J10" s="730"/>
      <c r="K10" s="732"/>
      <c r="L10" s="732"/>
    </row>
    <row r="11" spans="1:12" ht="12.75">
      <c r="A11" s="727"/>
      <c r="B11" s="730"/>
      <c r="C11" s="730"/>
      <c r="D11" s="736"/>
      <c r="E11" s="730"/>
      <c r="F11" s="737" t="s">
        <v>155</v>
      </c>
      <c r="G11" s="730"/>
      <c r="H11" s="730"/>
      <c r="I11" s="731"/>
      <c r="J11" s="730"/>
      <c r="K11" s="732"/>
      <c r="L11" s="732"/>
    </row>
    <row r="12" spans="1:12" ht="29.25" customHeight="1">
      <c r="A12" s="738"/>
      <c r="B12" s="739"/>
      <c r="C12" s="739"/>
      <c r="D12" s="740"/>
      <c r="E12" s="741" t="s">
        <v>191</v>
      </c>
      <c r="F12" s="742"/>
      <c r="G12" s="743"/>
      <c r="H12" s="730"/>
      <c r="I12" s="731"/>
      <c r="J12" s="161"/>
      <c r="K12" s="161"/>
      <c r="L12" s="732"/>
    </row>
    <row r="13" spans="1:12" s="753" customFormat="1" ht="44.25" customHeight="1">
      <c r="A13" s="744" t="s">
        <v>547</v>
      </c>
      <c r="B13" s="745" t="s">
        <v>548</v>
      </c>
      <c r="C13" s="746" t="s">
        <v>549</v>
      </c>
      <c r="D13" s="746" t="s">
        <v>550</v>
      </c>
      <c r="E13" s="747" t="s">
        <v>551</v>
      </c>
      <c r="F13" s="748" t="s">
        <v>192</v>
      </c>
      <c r="G13" s="749"/>
      <c r="H13" s="750"/>
      <c r="I13" s="751"/>
      <c r="J13" s="161"/>
      <c r="K13" s="161"/>
      <c r="L13" s="752"/>
    </row>
    <row r="14" spans="1:13" s="343" customFormat="1" ht="32.25" customHeight="1">
      <c r="A14" s="617" t="s">
        <v>553</v>
      </c>
      <c r="B14" s="618"/>
      <c r="C14" s="754"/>
      <c r="D14" s="754"/>
      <c r="E14" s="755">
        <f>E17+E20+E23+E26+E29+E32</f>
        <v>410049</v>
      </c>
      <c r="F14" s="755">
        <f>F17+F20+F23+F26+F29+F32</f>
        <v>2411911</v>
      </c>
      <c r="G14" s="756"/>
      <c r="H14" s="790"/>
      <c r="I14" s="758"/>
      <c r="J14" s="643"/>
      <c r="K14" s="643"/>
      <c r="L14" s="643"/>
      <c r="M14" s="759"/>
    </row>
    <row r="15" spans="1:12" s="343" customFormat="1" ht="51.75" customHeight="1">
      <c r="A15" s="527">
        <v>1</v>
      </c>
      <c r="B15" s="760" t="s">
        <v>193</v>
      </c>
      <c r="C15" s="761" t="s">
        <v>194</v>
      </c>
      <c r="D15" s="515"/>
      <c r="E15" s="762"/>
      <c r="F15" s="763"/>
      <c r="G15" s="764"/>
      <c r="H15" s="757"/>
      <c r="I15" s="765"/>
      <c r="J15" s="766"/>
      <c r="K15" s="767"/>
      <c r="L15" s="767"/>
    </row>
    <row r="16" spans="1:12" s="343" customFormat="1" ht="36.75" customHeight="1">
      <c r="A16" s="768"/>
      <c r="B16" s="619" t="s">
        <v>195</v>
      </c>
      <c r="C16" s="532"/>
      <c r="D16" s="522"/>
      <c r="E16" s="769"/>
      <c r="F16" s="769"/>
      <c r="G16" s="764"/>
      <c r="H16" s="757"/>
      <c r="I16" s="758"/>
      <c r="J16" s="766"/>
      <c r="K16" s="767"/>
      <c r="L16" s="767"/>
    </row>
    <row r="17" spans="1:12" s="343" customFormat="1" ht="84.75" customHeight="1">
      <c r="A17" s="533"/>
      <c r="B17" s="619" t="s">
        <v>196</v>
      </c>
      <c r="C17" s="535"/>
      <c r="D17" s="522" t="s">
        <v>197</v>
      </c>
      <c r="E17" s="781">
        <v>136899</v>
      </c>
      <c r="F17" s="783">
        <v>775761</v>
      </c>
      <c r="G17" s="764"/>
      <c r="H17" s="757"/>
      <c r="I17" s="758"/>
      <c r="J17" s="766"/>
      <c r="K17" s="767"/>
      <c r="L17" s="767"/>
    </row>
    <row r="18" spans="1:8" ht="44.25" customHeight="1">
      <c r="A18" s="527">
        <v>2</v>
      </c>
      <c r="B18" s="513" t="s">
        <v>554</v>
      </c>
      <c r="C18" s="555" t="s">
        <v>567</v>
      </c>
      <c r="D18" s="515"/>
      <c r="E18" s="785"/>
      <c r="F18" s="540"/>
      <c r="H18" s="757"/>
    </row>
    <row r="19" spans="1:8" ht="84.75" customHeight="1">
      <c r="A19" s="519"/>
      <c r="B19" s="552" t="s">
        <v>601</v>
      </c>
      <c r="C19" s="521"/>
      <c r="D19" s="522"/>
      <c r="E19" s="542"/>
      <c r="F19" s="546"/>
      <c r="H19" s="757"/>
    </row>
    <row r="20" spans="1:8" ht="45" customHeight="1">
      <c r="A20" s="519"/>
      <c r="B20" s="567" t="s">
        <v>602</v>
      </c>
      <c r="C20" s="784"/>
      <c r="D20" s="526" t="s">
        <v>253</v>
      </c>
      <c r="E20" s="786">
        <v>240000</v>
      </c>
      <c r="F20" s="548">
        <v>1360000</v>
      </c>
      <c r="H20" s="757"/>
    </row>
    <row r="21" spans="1:9" ht="44.25" customHeight="1">
      <c r="A21" s="771">
        <v>3</v>
      </c>
      <c r="B21" s="513" t="s">
        <v>554</v>
      </c>
      <c r="C21" s="550" t="s">
        <v>567</v>
      </c>
      <c r="D21" s="526"/>
      <c r="E21" s="782"/>
      <c r="F21" s="782"/>
      <c r="H21" s="757"/>
      <c r="I21" s="772"/>
    </row>
    <row r="22" spans="1:9" ht="96.75" customHeight="1">
      <c r="A22" s="519"/>
      <c r="B22" s="773" t="s">
        <v>588</v>
      </c>
      <c r="C22" s="774"/>
      <c r="D22" s="522"/>
      <c r="E22" s="769"/>
      <c r="F22" s="769"/>
      <c r="H22" s="757"/>
      <c r="I22" s="775"/>
    </row>
    <row r="23" spans="1:8" ht="45.75" customHeight="1">
      <c r="A23" s="533"/>
      <c r="B23" s="776" t="s">
        <v>198</v>
      </c>
      <c r="C23" s="535"/>
      <c r="D23" s="526" t="s">
        <v>566</v>
      </c>
      <c r="E23" s="770">
        <v>33150</v>
      </c>
      <c r="F23" s="770">
        <v>187850</v>
      </c>
      <c r="H23" s="757"/>
    </row>
    <row r="24" spans="1:8" ht="44.25" customHeight="1">
      <c r="A24" s="527">
        <v>4</v>
      </c>
      <c r="B24" s="513" t="s">
        <v>554</v>
      </c>
      <c r="C24" s="573" t="s">
        <v>595</v>
      </c>
      <c r="D24" s="558"/>
      <c r="E24" s="540"/>
      <c r="F24" s="540"/>
      <c r="H24" s="757"/>
    </row>
    <row r="25" spans="1:9" ht="89.25">
      <c r="A25" s="519"/>
      <c r="B25" s="534" t="s">
        <v>4</v>
      </c>
      <c r="C25" s="532"/>
      <c r="D25" s="559"/>
      <c r="E25" s="546"/>
      <c r="F25" s="546"/>
      <c r="H25" s="757"/>
      <c r="I25" s="777"/>
    </row>
    <row r="26" spans="1:9" ht="33" customHeight="1">
      <c r="A26" s="533"/>
      <c r="B26" s="534" t="s">
        <v>5</v>
      </c>
      <c r="C26" s="535"/>
      <c r="D26" s="536" t="s">
        <v>253</v>
      </c>
      <c r="E26" s="548"/>
      <c r="F26" s="779">
        <f>38000-7000+13000</f>
        <v>44000</v>
      </c>
      <c r="H26" s="757"/>
      <c r="I26" s="777"/>
    </row>
    <row r="27" spans="1:8" ht="34.5" customHeight="1">
      <c r="A27" s="527">
        <v>5</v>
      </c>
      <c r="B27" s="513" t="s">
        <v>554</v>
      </c>
      <c r="C27" s="573" t="s">
        <v>35</v>
      </c>
      <c r="D27" s="539"/>
      <c r="E27" s="551"/>
      <c r="F27" s="540"/>
      <c r="H27" s="757"/>
    </row>
    <row r="28" spans="1:6" ht="114.75">
      <c r="A28" s="519"/>
      <c r="B28" s="534" t="s">
        <v>16</v>
      </c>
      <c r="C28" s="521"/>
      <c r="D28" s="529"/>
      <c r="E28" s="553"/>
      <c r="F28" s="546"/>
    </row>
    <row r="29" spans="1:6" ht="38.25" customHeight="1">
      <c r="A29" s="533"/>
      <c r="B29" s="534" t="s">
        <v>36</v>
      </c>
      <c r="C29" s="554"/>
      <c r="D29" s="536" t="s">
        <v>354</v>
      </c>
      <c r="E29" s="548"/>
      <c r="F29" s="635">
        <v>9800</v>
      </c>
    </row>
    <row r="30" spans="1:6" ht="71.25" customHeight="1">
      <c r="A30" s="527">
        <v>6</v>
      </c>
      <c r="B30" s="513" t="s">
        <v>554</v>
      </c>
      <c r="C30" s="573" t="s">
        <v>6</v>
      </c>
      <c r="D30" s="539"/>
      <c r="E30" s="540"/>
      <c r="F30" s="540"/>
    </row>
    <row r="31" spans="1:6" ht="69" customHeight="1">
      <c r="A31" s="519"/>
      <c r="B31" s="534" t="s">
        <v>7</v>
      </c>
      <c r="C31" s="521"/>
      <c r="D31" s="529"/>
      <c r="E31" s="546"/>
      <c r="F31" s="546"/>
    </row>
    <row r="32" spans="1:6" ht="36.75" customHeight="1">
      <c r="A32" s="533"/>
      <c r="B32" s="534" t="s">
        <v>8</v>
      </c>
      <c r="C32" s="554"/>
      <c r="D32" s="536" t="s">
        <v>9</v>
      </c>
      <c r="E32" s="548"/>
      <c r="F32" s="635">
        <f>3500+31000</f>
        <v>34500</v>
      </c>
    </row>
    <row r="33" spans="4:6" ht="12.75">
      <c r="D33" s="726"/>
      <c r="E33" s="726"/>
      <c r="F33" s="726"/>
    </row>
    <row r="34" spans="4:6" ht="12.75">
      <c r="D34" s="726"/>
      <c r="E34" s="726"/>
      <c r="F34" s="726"/>
    </row>
    <row r="35" spans="4:6" ht="12.75">
      <c r="D35" s="726"/>
      <c r="E35" s="726"/>
      <c r="F35" s="726"/>
    </row>
    <row r="36" spans="4:6" ht="12.75">
      <c r="D36" s="726"/>
      <c r="E36" s="726"/>
      <c r="F36" s="726"/>
    </row>
    <row r="37" spans="4:6" ht="12.75">
      <c r="D37" s="726"/>
      <c r="E37" s="726"/>
      <c r="F37" s="726"/>
    </row>
    <row r="38" spans="4:6" ht="12.75">
      <c r="D38" s="726"/>
      <c r="E38" s="726"/>
      <c r="F38" s="726"/>
    </row>
    <row r="39" spans="4:6" ht="12.75">
      <c r="D39" s="726"/>
      <c r="E39" s="726"/>
      <c r="F39" s="726"/>
    </row>
    <row r="40" spans="4:6" ht="12.75">
      <c r="D40" s="726"/>
      <c r="E40" s="726"/>
      <c r="F40" s="726"/>
    </row>
    <row r="41" spans="4:6" ht="12.75">
      <c r="D41" s="726"/>
      <c r="E41" s="726"/>
      <c r="F41" s="726"/>
    </row>
    <row r="42" spans="4:6" ht="12.75">
      <c r="D42" s="726"/>
      <c r="E42" s="726"/>
      <c r="F42" s="726"/>
    </row>
    <row r="43" spans="4:6" ht="12.75">
      <c r="D43" s="726"/>
      <c r="E43" s="726"/>
      <c r="F43" s="726"/>
    </row>
    <row r="44" spans="4:6" ht="12.75">
      <c r="D44" s="726"/>
      <c r="E44" s="726"/>
      <c r="F44" s="726"/>
    </row>
    <row r="45" spans="4:6" ht="12.75">
      <c r="D45" s="726"/>
      <c r="E45" s="726"/>
      <c r="F45" s="726"/>
    </row>
    <row r="46" spans="4:6" ht="12.75">
      <c r="D46" s="726"/>
      <c r="E46" s="726"/>
      <c r="F46" s="726"/>
    </row>
    <row r="47" spans="4:6" ht="12.75">
      <c r="D47" s="726"/>
      <c r="E47" s="726"/>
      <c r="F47" s="726"/>
    </row>
  </sheetData>
  <printOptions/>
  <pageMargins left="0.1968503937007874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1"/>
  <sheetViews>
    <sheetView workbookViewId="0" topLeftCell="B25">
      <selection activeCell="B26" sqref="B26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7109375" style="2" customWidth="1"/>
    <col min="5" max="5" width="13.57421875" style="2" customWidth="1"/>
    <col min="6" max="6" width="15.140625" style="2" customWidth="1"/>
    <col min="7" max="7" width="13.57421875" style="481" customWidth="1"/>
    <col min="8" max="8" width="18.140625" style="481" customWidth="1"/>
    <col min="9" max="9" width="23.00390625" style="481" customWidth="1"/>
    <col min="10" max="10" width="20.28125" style="384" customWidth="1"/>
    <col min="11" max="11" width="18.140625" style="71" customWidth="1"/>
    <col min="12" max="12" width="15.7109375" style="71" customWidth="1"/>
    <col min="13" max="13" width="10.140625" style="71" bestFit="1" customWidth="1"/>
    <col min="14" max="14" width="9.140625" style="71" customWidth="1"/>
    <col min="15" max="16384" width="9.140625" style="2" customWidth="1"/>
  </cols>
  <sheetData>
    <row r="1" spans="3:4" ht="20.25">
      <c r="C1" s="171" t="s">
        <v>34</v>
      </c>
      <c r="D1" s="480"/>
    </row>
    <row r="2" spans="3:4" ht="18.75">
      <c r="C2" s="173" t="s">
        <v>443</v>
      </c>
      <c r="D2" s="480"/>
    </row>
    <row r="3" spans="3:4" ht="18.75">
      <c r="C3" s="173" t="s">
        <v>145</v>
      </c>
      <c r="D3" s="480"/>
    </row>
    <row r="4" spans="3:4" ht="18.75">
      <c r="C4" s="173" t="s">
        <v>654</v>
      </c>
      <c r="D4" s="480"/>
    </row>
    <row r="5" spans="3:4" ht="18.75">
      <c r="C5" s="480"/>
      <c r="D5" s="480"/>
    </row>
    <row r="6" spans="1:13" ht="18.75">
      <c r="A6" s="480"/>
      <c r="B6" s="480"/>
      <c r="C6" s="480"/>
      <c r="D6" s="480"/>
      <c r="E6" s="480"/>
      <c r="F6" s="480"/>
      <c r="G6" s="482"/>
      <c r="H6" s="482"/>
      <c r="I6" s="482"/>
      <c r="J6" s="483"/>
      <c r="K6" s="484"/>
      <c r="L6" s="484"/>
      <c r="M6" s="484"/>
    </row>
    <row r="7" spans="1:13" ht="20.25">
      <c r="A7" s="480"/>
      <c r="B7" s="485" t="s">
        <v>542</v>
      </c>
      <c r="C7" s="480"/>
      <c r="D7" s="480"/>
      <c r="E7" s="480"/>
      <c r="F7" s="480"/>
      <c r="G7" s="482"/>
      <c r="H7" s="482"/>
      <c r="I7" s="482"/>
      <c r="J7" s="483"/>
      <c r="K7" s="484"/>
      <c r="L7" s="484"/>
      <c r="M7" s="484"/>
    </row>
    <row r="8" spans="1:13" ht="20.25">
      <c r="A8" s="486"/>
      <c r="B8" s="485" t="s">
        <v>543</v>
      </c>
      <c r="C8" s="5"/>
      <c r="D8" s="6"/>
      <c r="E8" s="5"/>
      <c r="F8" s="5"/>
      <c r="G8" s="487"/>
      <c r="H8" s="487"/>
      <c r="I8" s="487"/>
      <c r="J8" s="488"/>
      <c r="K8" s="7"/>
      <c r="L8" s="484"/>
      <c r="M8" s="484"/>
    </row>
    <row r="9" spans="1:13" ht="20.25">
      <c r="A9" s="486"/>
      <c r="B9" s="485" t="s">
        <v>544</v>
      </c>
      <c r="C9" s="5"/>
      <c r="D9" s="6"/>
      <c r="E9" s="5"/>
      <c r="F9" s="5"/>
      <c r="G9" s="487"/>
      <c r="H9" s="487"/>
      <c r="I9" s="487"/>
      <c r="J9" s="488"/>
      <c r="K9" s="7"/>
      <c r="L9" s="484"/>
      <c r="M9" s="484"/>
    </row>
    <row r="10" spans="1:13" ht="18.75">
      <c r="A10" s="486"/>
      <c r="B10" s="23"/>
      <c r="C10" s="23"/>
      <c r="D10" s="489"/>
      <c r="E10" s="5"/>
      <c r="F10" s="5"/>
      <c r="G10" s="487"/>
      <c r="H10" s="487"/>
      <c r="I10" s="487"/>
      <c r="J10" s="488"/>
      <c r="K10" s="7"/>
      <c r="L10" s="484"/>
      <c r="M10" s="484"/>
    </row>
    <row r="11" spans="1:13" ht="18.75">
      <c r="A11" s="486"/>
      <c r="B11" s="5"/>
      <c r="C11" s="5"/>
      <c r="D11" s="6"/>
      <c r="E11" s="5"/>
      <c r="F11" s="490" t="s">
        <v>155</v>
      </c>
      <c r="G11" s="487"/>
      <c r="H11" s="487"/>
      <c r="I11" s="487"/>
      <c r="J11" s="488"/>
      <c r="K11" s="7"/>
      <c r="L11" s="484"/>
      <c r="M11" s="484"/>
    </row>
    <row r="12" spans="1:13" ht="29.25" customHeight="1">
      <c r="A12" s="491"/>
      <c r="B12" s="492"/>
      <c r="C12" s="492"/>
      <c r="D12" s="493"/>
      <c r="E12" s="494" t="s">
        <v>546</v>
      </c>
      <c r="F12" s="495"/>
      <c r="G12" s="487"/>
      <c r="H12" s="487"/>
      <c r="I12" s="487"/>
      <c r="J12" s="488"/>
      <c r="K12" s="7"/>
      <c r="L12" s="484"/>
      <c r="M12" s="484"/>
    </row>
    <row r="13" spans="1:14" s="507" customFormat="1" ht="41.25" customHeight="1">
      <c r="A13" s="496" t="s">
        <v>547</v>
      </c>
      <c r="B13" s="497" t="s">
        <v>548</v>
      </c>
      <c r="C13" s="498" t="s">
        <v>549</v>
      </c>
      <c r="D13" s="498" t="s">
        <v>550</v>
      </c>
      <c r="E13" s="499" t="s">
        <v>551</v>
      </c>
      <c r="F13" s="500" t="s">
        <v>552</v>
      </c>
      <c r="G13" s="501"/>
      <c r="H13" s="502"/>
      <c r="I13" s="503"/>
      <c r="J13" s="504"/>
      <c r="K13" s="7"/>
      <c r="L13" s="505"/>
      <c r="M13" s="505"/>
      <c r="N13" s="506"/>
    </row>
    <row r="14" spans="1:14" s="507" customFormat="1" ht="27.75" customHeight="1">
      <c r="A14" s="508" t="s">
        <v>553</v>
      </c>
      <c r="B14" s="509"/>
      <c r="C14" s="510"/>
      <c r="D14" s="510"/>
      <c r="E14" s="511">
        <f>E17+E20+E23+E26+E29+E35+E38+E41+E44+E47+E50+E53+E56+E59+E68</f>
        <v>866184.68</v>
      </c>
      <c r="F14" s="634">
        <f>F17+F20+F23+F26+F29+F32+F35+F38+F41+F44+F47+F50+F53+F56+F59+F62+F65+F68</f>
        <v>6155025.220000001</v>
      </c>
      <c r="G14" s="501"/>
      <c r="H14" s="502"/>
      <c r="I14" s="502"/>
      <c r="J14" s="543"/>
      <c r="K14" s="7"/>
      <c r="L14" s="505"/>
      <c r="M14" s="505"/>
      <c r="N14" s="506"/>
    </row>
    <row r="15" spans="1:11" ht="42" customHeight="1">
      <c r="A15" s="512">
        <v>1</v>
      </c>
      <c r="B15" s="513" t="s">
        <v>554</v>
      </c>
      <c r="C15" s="514" t="s">
        <v>555</v>
      </c>
      <c r="D15" s="515"/>
      <c r="E15" s="516"/>
      <c r="F15" s="517"/>
      <c r="H15" s="502"/>
      <c r="I15" s="683"/>
      <c r="J15" s="684"/>
      <c r="K15" s="518"/>
    </row>
    <row r="16" spans="1:11" ht="36.75" customHeight="1">
      <c r="A16" s="519"/>
      <c r="B16" s="520" t="s">
        <v>556</v>
      </c>
      <c r="C16" s="521"/>
      <c r="D16" s="522"/>
      <c r="E16" s="523"/>
      <c r="F16" s="463"/>
      <c r="H16" s="502"/>
      <c r="I16" s="524"/>
      <c r="J16" s="170"/>
      <c r="K16" s="518"/>
    </row>
    <row r="17" spans="1:11" ht="79.5" customHeight="1">
      <c r="A17" s="519"/>
      <c r="B17" s="403" t="s">
        <v>560</v>
      </c>
      <c r="C17" s="525"/>
      <c r="D17" s="526" t="s">
        <v>372</v>
      </c>
      <c r="E17" s="523">
        <v>33715.95</v>
      </c>
      <c r="F17" s="523">
        <f>250886+60195.44-33715.95</f>
        <v>277365.49</v>
      </c>
      <c r="H17" s="502"/>
      <c r="I17" s="524"/>
      <c r="J17" s="170"/>
      <c r="K17" s="518"/>
    </row>
    <row r="18" spans="1:9" ht="41.25" customHeight="1">
      <c r="A18" s="527">
        <v>2</v>
      </c>
      <c r="B18" s="513" t="s">
        <v>554</v>
      </c>
      <c r="C18" s="528" t="s">
        <v>561</v>
      </c>
      <c r="D18" s="529"/>
      <c r="E18" s="530"/>
      <c r="F18" s="530"/>
      <c r="H18" s="502"/>
      <c r="I18" s="524"/>
    </row>
    <row r="19" spans="1:9" ht="37.5" customHeight="1">
      <c r="A19" s="519"/>
      <c r="B19" s="531" t="s">
        <v>562</v>
      </c>
      <c r="C19" s="532"/>
      <c r="D19" s="529"/>
      <c r="E19" s="463"/>
      <c r="F19" s="463"/>
      <c r="H19" s="502"/>
      <c r="I19" s="524"/>
    </row>
    <row r="20" spans="1:9" ht="72.75" customHeight="1">
      <c r="A20" s="533"/>
      <c r="B20" s="534" t="s">
        <v>563</v>
      </c>
      <c r="C20" s="535"/>
      <c r="D20" s="536" t="s">
        <v>372</v>
      </c>
      <c r="E20" s="419">
        <v>5382</v>
      </c>
      <c r="F20" s="419">
        <f>30498+19279.53</f>
        <v>49777.53</v>
      </c>
      <c r="H20" s="502"/>
      <c r="I20" s="537"/>
    </row>
    <row r="21" spans="1:13" s="35" customFormat="1" ht="56.25" customHeight="1">
      <c r="A21" s="527">
        <v>3</v>
      </c>
      <c r="B21" s="513" t="s">
        <v>554</v>
      </c>
      <c r="C21" s="538" t="s">
        <v>564</v>
      </c>
      <c r="D21" s="539"/>
      <c r="E21" s="540"/>
      <c r="F21" s="541"/>
      <c r="G21" s="542"/>
      <c r="H21" s="502"/>
      <c r="I21" s="537"/>
      <c r="J21" s="543"/>
      <c r="K21" s="544"/>
      <c r="L21" s="545"/>
      <c r="M21" s="545"/>
    </row>
    <row r="22" spans="1:13" s="35" customFormat="1" ht="39.75" customHeight="1">
      <c r="A22" s="519"/>
      <c r="B22" s="531" t="s">
        <v>562</v>
      </c>
      <c r="C22" s="525"/>
      <c r="D22" s="529"/>
      <c r="E22" s="546"/>
      <c r="F22" s="547"/>
      <c r="G22" s="542"/>
      <c r="H22" s="502"/>
      <c r="I22" s="537"/>
      <c r="J22" s="543"/>
      <c r="K22" s="544"/>
      <c r="L22" s="545"/>
      <c r="M22" s="545"/>
    </row>
    <row r="23" spans="1:13" s="35" customFormat="1" ht="56.25" customHeight="1">
      <c r="A23" s="519"/>
      <c r="B23" s="534" t="s">
        <v>565</v>
      </c>
      <c r="C23" s="525"/>
      <c r="D23" s="536" t="s">
        <v>566</v>
      </c>
      <c r="E23" s="548">
        <v>1540.61</v>
      </c>
      <c r="F23" s="549">
        <v>10459.39</v>
      </c>
      <c r="G23" s="542"/>
      <c r="H23" s="502"/>
      <c r="I23" s="537"/>
      <c r="J23" s="543"/>
      <c r="K23" s="544"/>
      <c r="L23" s="545"/>
      <c r="M23" s="545"/>
    </row>
    <row r="24" spans="1:13" s="35" customFormat="1" ht="44.25" customHeight="1">
      <c r="A24" s="527">
        <v>4</v>
      </c>
      <c r="B24" s="513" t="s">
        <v>554</v>
      </c>
      <c r="C24" s="550" t="s">
        <v>567</v>
      </c>
      <c r="D24" s="539"/>
      <c r="E24" s="551"/>
      <c r="F24" s="540"/>
      <c r="G24" s="542"/>
      <c r="H24" s="502"/>
      <c r="I24" s="537"/>
      <c r="J24" s="543"/>
      <c r="K24" s="544"/>
      <c r="L24" s="545"/>
      <c r="M24" s="545"/>
    </row>
    <row r="25" spans="1:13" s="35" customFormat="1" ht="77.25" customHeight="1">
      <c r="A25" s="519"/>
      <c r="B25" s="552" t="s">
        <v>588</v>
      </c>
      <c r="C25" s="521"/>
      <c r="D25" s="529"/>
      <c r="E25" s="553"/>
      <c r="F25" s="546"/>
      <c r="G25" s="542"/>
      <c r="H25" s="502"/>
      <c r="I25" s="537"/>
      <c r="J25" s="543"/>
      <c r="K25" s="544"/>
      <c r="L25" s="545"/>
      <c r="M25" s="545"/>
    </row>
    <row r="26" spans="1:13" s="35" customFormat="1" ht="39.75" customHeight="1">
      <c r="A26" s="519"/>
      <c r="B26" s="552" t="s">
        <v>589</v>
      </c>
      <c r="C26" s="554"/>
      <c r="D26" s="529" t="s">
        <v>566</v>
      </c>
      <c r="E26" s="553">
        <f>60546.79+9148.1</f>
        <v>69694.89</v>
      </c>
      <c r="F26" s="546">
        <f>343098.46+51839.22</f>
        <v>394937.68000000005</v>
      </c>
      <c r="G26" s="542"/>
      <c r="H26" s="502"/>
      <c r="I26" s="537"/>
      <c r="J26" s="543"/>
      <c r="K26" s="544"/>
      <c r="L26" s="545"/>
      <c r="M26" s="545"/>
    </row>
    <row r="27" spans="1:13" s="35" customFormat="1" ht="39" customHeight="1">
      <c r="A27" s="527">
        <v>5</v>
      </c>
      <c r="B27" s="513" t="s">
        <v>554</v>
      </c>
      <c r="C27" s="555" t="s">
        <v>567</v>
      </c>
      <c r="D27" s="539"/>
      <c r="E27" s="551"/>
      <c r="F27" s="540"/>
      <c r="G27" s="542"/>
      <c r="H27" s="502"/>
      <c r="I27" s="537"/>
      <c r="J27" s="543"/>
      <c r="K27" s="544"/>
      <c r="L27" s="545"/>
      <c r="M27" s="545"/>
    </row>
    <row r="28" spans="1:13" s="35" customFormat="1" ht="54.75" customHeight="1">
      <c r="A28" s="519"/>
      <c r="B28" s="556" t="s">
        <v>590</v>
      </c>
      <c r="C28" s="521"/>
      <c r="D28" s="529"/>
      <c r="E28" s="553"/>
      <c r="F28" s="546"/>
      <c r="G28" s="542"/>
      <c r="H28" s="502"/>
      <c r="I28" s="537"/>
      <c r="J28" s="543"/>
      <c r="K28" s="544"/>
      <c r="L28" s="545"/>
      <c r="M28" s="545"/>
    </row>
    <row r="29" spans="1:13" s="35" customFormat="1" ht="50.25" customHeight="1">
      <c r="A29" s="533"/>
      <c r="B29" s="556" t="s">
        <v>591</v>
      </c>
      <c r="C29" s="554"/>
      <c r="D29" s="536" t="s">
        <v>253</v>
      </c>
      <c r="E29" s="716">
        <f>32377.98+3176.74</f>
        <v>35554.72</v>
      </c>
      <c r="F29" s="548">
        <f>183475.22+18001.53</f>
        <v>201476.75</v>
      </c>
      <c r="G29" s="542"/>
      <c r="H29" s="502"/>
      <c r="I29" s="537"/>
      <c r="J29" s="543"/>
      <c r="K29" s="544"/>
      <c r="L29" s="545"/>
      <c r="M29" s="545"/>
    </row>
    <row r="30" spans="1:13" s="35" customFormat="1" ht="50.25" customHeight="1">
      <c r="A30" s="512">
        <v>6</v>
      </c>
      <c r="B30" s="513" t="s">
        <v>554</v>
      </c>
      <c r="C30" s="557" t="s">
        <v>592</v>
      </c>
      <c r="D30" s="558"/>
      <c r="E30" s="540"/>
      <c r="F30" s="540"/>
      <c r="G30" s="542"/>
      <c r="H30" s="502"/>
      <c r="I30" s="537"/>
      <c r="J30" s="543"/>
      <c r="K30" s="544"/>
      <c r="L30" s="545"/>
      <c r="M30" s="545"/>
    </row>
    <row r="31" spans="1:13" s="35" customFormat="1" ht="42.75" customHeight="1">
      <c r="A31" s="519"/>
      <c r="B31" s="534" t="s">
        <v>562</v>
      </c>
      <c r="C31" s="532"/>
      <c r="D31" s="559"/>
      <c r="E31" s="546"/>
      <c r="F31" s="546"/>
      <c r="G31" s="542"/>
      <c r="H31" s="502"/>
      <c r="I31" s="537"/>
      <c r="J31" s="543"/>
      <c r="K31" s="544"/>
      <c r="L31" s="545"/>
      <c r="M31" s="545"/>
    </row>
    <row r="32" spans="1:13" s="35" customFormat="1" ht="57" customHeight="1">
      <c r="A32" s="533"/>
      <c r="B32" s="534" t="s">
        <v>593</v>
      </c>
      <c r="C32" s="535"/>
      <c r="D32" s="536" t="s">
        <v>253</v>
      </c>
      <c r="E32" s="548" t="s">
        <v>594</v>
      </c>
      <c r="F32" s="548">
        <f>71940+5590.02</f>
        <v>77530.02</v>
      </c>
      <c r="G32" s="542"/>
      <c r="H32" s="502"/>
      <c r="I32" s="537"/>
      <c r="J32" s="543"/>
      <c r="K32" s="544"/>
      <c r="L32" s="545"/>
      <c r="M32" s="545"/>
    </row>
    <row r="33" spans="1:13" s="35" customFormat="1" ht="44.25" customHeight="1">
      <c r="A33" s="512">
        <v>7</v>
      </c>
      <c r="B33" s="513" t="s">
        <v>554</v>
      </c>
      <c r="C33" s="557" t="s">
        <v>595</v>
      </c>
      <c r="D33" s="558"/>
      <c r="E33" s="540"/>
      <c r="F33" s="540"/>
      <c r="G33" s="542"/>
      <c r="H33" s="502"/>
      <c r="I33" s="537"/>
      <c r="J33" s="543"/>
      <c r="K33" s="544"/>
      <c r="L33" s="545"/>
      <c r="M33" s="545"/>
    </row>
    <row r="34" spans="1:13" s="35" customFormat="1" ht="35.25" customHeight="1">
      <c r="A34" s="519"/>
      <c r="B34" s="534" t="s">
        <v>596</v>
      </c>
      <c r="C34" s="532"/>
      <c r="D34" s="559"/>
      <c r="E34" s="546"/>
      <c r="F34" s="546"/>
      <c r="G34" s="542"/>
      <c r="H34" s="502"/>
      <c r="I34" s="537"/>
      <c r="J34" s="543"/>
      <c r="K34" s="544"/>
      <c r="L34" s="545"/>
      <c r="M34" s="545"/>
    </row>
    <row r="35" spans="1:13" s="35" customFormat="1" ht="48" customHeight="1">
      <c r="A35" s="533"/>
      <c r="B35" s="534" t="s">
        <v>597</v>
      </c>
      <c r="C35" s="535"/>
      <c r="D35" s="529" t="s">
        <v>253</v>
      </c>
      <c r="E35" s="560">
        <v>400</v>
      </c>
      <c r="F35" s="546">
        <f>105742+1372.24</f>
        <v>107114.24</v>
      </c>
      <c r="G35" s="542"/>
      <c r="H35" s="502"/>
      <c r="I35" s="537"/>
      <c r="J35" s="543"/>
      <c r="K35" s="544"/>
      <c r="L35" s="545"/>
      <c r="M35" s="545"/>
    </row>
    <row r="36" spans="1:13" s="35" customFormat="1" ht="40.5" customHeight="1">
      <c r="A36" s="512">
        <v>8</v>
      </c>
      <c r="B36" s="513" t="s">
        <v>554</v>
      </c>
      <c r="C36" s="555" t="s">
        <v>567</v>
      </c>
      <c r="D36" s="558"/>
      <c r="E36" s="540"/>
      <c r="F36" s="540"/>
      <c r="G36" s="542"/>
      <c r="H36" s="502"/>
      <c r="I36" s="537"/>
      <c r="J36" s="543"/>
      <c r="K36" s="544"/>
      <c r="L36" s="545"/>
      <c r="M36" s="545"/>
    </row>
    <row r="37" spans="1:13" s="35" customFormat="1" ht="35.25" customHeight="1">
      <c r="A37" s="519"/>
      <c r="B37" s="534" t="s">
        <v>562</v>
      </c>
      <c r="C37" s="532"/>
      <c r="D37" s="559"/>
      <c r="E37" s="546"/>
      <c r="F37" s="546"/>
      <c r="G37" s="542"/>
      <c r="H37" s="502"/>
      <c r="I37" s="537"/>
      <c r="J37" s="543"/>
      <c r="K37" s="544"/>
      <c r="L37" s="545"/>
      <c r="M37" s="545"/>
    </row>
    <row r="38" spans="1:13" s="35" customFormat="1" ht="74.25" customHeight="1">
      <c r="A38" s="533"/>
      <c r="B38" s="534" t="s">
        <v>598</v>
      </c>
      <c r="C38" s="535"/>
      <c r="D38" s="529" t="s">
        <v>566</v>
      </c>
      <c r="E38" s="778">
        <f>68355+32313.86</f>
        <v>100668.86</v>
      </c>
      <c r="F38" s="778">
        <f>387345+183111.9</f>
        <v>570456.9</v>
      </c>
      <c r="G38" s="542"/>
      <c r="H38" s="502"/>
      <c r="I38" s="537"/>
      <c r="J38" s="543"/>
      <c r="K38" s="544"/>
      <c r="L38" s="545"/>
      <c r="M38" s="545"/>
    </row>
    <row r="39" spans="1:13" s="35" customFormat="1" ht="45" customHeight="1">
      <c r="A39" s="527">
        <v>9</v>
      </c>
      <c r="B39" s="513" t="s">
        <v>554</v>
      </c>
      <c r="C39" s="555" t="s">
        <v>567</v>
      </c>
      <c r="D39" s="515"/>
      <c r="E39" s="540"/>
      <c r="F39" s="540"/>
      <c r="G39" s="542"/>
      <c r="H39" s="502"/>
      <c r="I39" s="537"/>
      <c r="J39" s="543"/>
      <c r="K39" s="544"/>
      <c r="L39" s="545"/>
      <c r="M39" s="545"/>
    </row>
    <row r="40" spans="1:13" s="35" customFormat="1" ht="51" customHeight="1">
      <c r="A40" s="519"/>
      <c r="B40" s="552" t="s">
        <v>599</v>
      </c>
      <c r="C40" s="521"/>
      <c r="D40" s="522"/>
      <c r="E40" s="546"/>
      <c r="F40" s="546"/>
      <c r="G40" s="542"/>
      <c r="H40" s="502"/>
      <c r="I40" s="537"/>
      <c r="J40" s="543"/>
      <c r="K40" s="544"/>
      <c r="L40" s="545"/>
      <c r="M40" s="545"/>
    </row>
    <row r="41" spans="1:13" s="35" customFormat="1" ht="42" customHeight="1">
      <c r="A41" s="519"/>
      <c r="B41" s="552" t="s">
        <v>600</v>
      </c>
      <c r="C41" s="554"/>
      <c r="D41" s="526" t="s">
        <v>253</v>
      </c>
      <c r="E41" s="548">
        <f>89935.11+754.55</f>
        <v>90689.66</v>
      </c>
      <c r="F41" s="548">
        <f>509632.28+4275.76</f>
        <v>513908.04000000004</v>
      </c>
      <c r="G41" s="542"/>
      <c r="H41" s="502"/>
      <c r="I41" s="537"/>
      <c r="J41" s="543"/>
      <c r="K41" s="544"/>
      <c r="L41" s="545"/>
      <c r="M41" s="545"/>
    </row>
    <row r="42" spans="1:13" s="35" customFormat="1" ht="41.25" customHeight="1">
      <c r="A42" s="527">
        <v>10</v>
      </c>
      <c r="B42" s="513" t="s">
        <v>554</v>
      </c>
      <c r="C42" s="555" t="s">
        <v>567</v>
      </c>
      <c r="D42" s="515"/>
      <c r="E42" s="540"/>
      <c r="F42" s="540"/>
      <c r="G42" s="542"/>
      <c r="H42" s="502"/>
      <c r="I42" s="537"/>
      <c r="J42" s="543"/>
      <c r="K42" s="544"/>
      <c r="L42" s="545"/>
      <c r="M42" s="545"/>
    </row>
    <row r="43" spans="1:13" s="35" customFormat="1" ht="74.25" customHeight="1">
      <c r="A43" s="519"/>
      <c r="B43" s="552" t="s">
        <v>601</v>
      </c>
      <c r="C43" s="521"/>
      <c r="D43" s="522"/>
      <c r="E43" s="546"/>
      <c r="F43" s="546"/>
      <c r="G43" s="542"/>
      <c r="H43" s="502"/>
      <c r="I43" s="537"/>
      <c r="J43" s="543"/>
      <c r="K43" s="544"/>
      <c r="L43" s="545"/>
      <c r="M43" s="545"/>
    </row>
    <row r="44" spans="1:13" s="35" customFormat="1" ht="42" customHeight="1">
      <c r="A44" s="519"/>
      <c r="B44" s="552" t="s">
        <v>602</v>
      </c>
      <c r="C44" s="554"/>
      <c r="D44" s="526" t="s">
        <v>253</v>
      </c>
      <c r="E44" s="548">
        <f>130298.25+3685.52</f>
        <v>133983.77</v>
      </c>
      <c r="F44" s="548">
        <f>738356.75+20884.58</f>
        <v>759241.33</v>
      </c>
      <c r="G44" s="542"/>
      <c r="H44" s="502"/>
      <c r="I44" s="537"/>
      <c r="J44" s="543"/>
      <c r="K44" s="544"/>
      <c r="L44" s="545"/>
      <c r="M44" s="545"/>
    </row>
    <row r="45" spans="1:13" s="35" customFormat="1" ht="39" customHeight="1">
      <c r="A45" s="527">
        <v>11</v>
      </c>
      <c r="B45" s="513" t="s">
        <v>554</v>
      </c>
      <c r="C45" s="550" t="s">
        <v>567</v>
      </c>
      <c r="D45" s="522"/>
      <c r="E45" s="546"/>
      <c r="F45" s="546"/>
      <c r="G45" s="542"/>
      <c r="H45" s="502"/>
      <c r="I45" s="537"/>
      <c r="J45" s="543"/>
      <c r="K45" s="544"/>
      <c r="L45" s="545"/>
      <c r="M45" s="545"/>
    </row>
    <row r="46" spans="1:13" s="35" customFormat="1" ht="42" customHeight="1">
      <c r="A46" s="519"/>
      <c r="B46" s="556" t="s">
        <v>603</v>
      </c>
      <c r="C46" s="525"/>
      <c r="D46" s="522"/>
      <c r="E46" s="546"/>
      <c r="F46" s="546"/>
      <c r="G46" s="542"/>
      <c r="H46" s="502"/>
      <c r="I46" s="537"/>
      <c r="J46" s="543"/>
      <c r="K46" s="544"/>
      <c r="L46" s="545"/>
      <c r="M46" s="545"/>
    </row>
    <row r="47" spans="1:13" s="35" customFormat="1" ht="39" customHeight="1">
      <c r="A47" s="519"/>
      <c r="B47" s="561" t="s">
        <v>604</v>
      </c>
      <c r="C47" s="525"/>
      <c r="D47" s="526" t="s">
        <v>605</v>
      </c>
      <c r="E47" s="546">
        <v>25172.76</v>
      </c>
      <c r="F47" s="546">
        <v>142645.62</v>
      </c>
      <c r="G47" s="542"/>
      <c r="H47" s="502"/>
      <c r="I47" s="537"/>
      <c r="J47" s="543"/>
      <c r="K47" s="544"/>
      <c r="L47" s="545"/>
      <c r="M47" s="545"/>
    </row>
    <row r="48" spans="1:13" s="35" customFormat="1" ht="42" customHeight="1">
      <c r="A48" s="527">
        <v>12</v>
      </c>
      <c r="B48" s="513" t="s">
        <v>554</v>
      </c>
      <c r="C48" s="562" t="s">
        <v>567</v>
      </c>
      <c r="D48" s="539"/>
      <c r="E48" s="540"/>
      <c r="F48" s="563"/>
      <c r="G48" s="542"/>
      <c r="H48" s="502"/>
      <c r="I48" s="537"/>
      <c r="J48" s="543"/>
      <c r="K48" s="544"/>
      <c r="L48" s="545"/>
      <c r="M48" s="545"/>
    </row>
    <row r="49" spans="1:13" s="35" customFormat="1" ht="42" customHeight="1">
      <c r="A49" s="519"/>
      <c r="B49" s="556" t="s">
        <v>606</v>
      </c>
      <c r="C49" s="521"/>
      <c r="D49" s="529"/>
      <c r="E49" s="546"/>
      <c r="F49" s="564"/>
      <c r="G49" s="542"/>
      <c r="H49" s="502"/>
      <c r="I49" s="537"/>
      <c r="J49" s="543"/>
      <c r="K49" s="544"/>
      <c r="L49" s="545"/>
      <c r="M49" s="545"/>
    </row>
    <row r="50" spans="1:13" s="35" customFormat="1" ht="42" customHeight="1">
      <c r="A50" s="533"/>
      <c r="B50" s="556" t="s">
        <v>677</v>
      </c>
      <c r="C50" s="554"/>
      <c r="D50" s="526" t="s">
        <v>253</v>
      </c>
      <c r="E50" s="548">
        <v>133415.64</v>
      </c>
      <c r="F50" s="565">
        <v>756021.95</v>
      </c>
      <c r="G50" s="542"/>
      <c r="H50" s="502"/>
      <c r="I50" s="537"/>
      <c r="J50" s="543"/>
      <c r="K50" s="544"/>
      <c r="L50" s="545"/>
      <c r="M50" s="545"/>
    </row>
    <row r="51" spans="1:13" s="35" customFormat="1" ht="42.75" customHeight="1">
      <c r="A51" s="512">
        <v>13</v>
      </c>
      <c r="B51" s="513" t="s">
        <v>554</v>
      </c>
      <c r="C51" s="566" t="s">
        <v>678</v>
      </c>
      <c r="D51" s="522"/>
      <c r="E51" s="546"/>
      <c r="F51" s="546"/>
      <c r="G51" s="542"/>
      <c r="H51" s="502"/>
      <c r="I51" s="537"/>
      <c r="J51" s="543"/>
      <c r="K51" s="544"/>
      <c r="L51" s="545"/>
      <c r="M51" s="545"/>
    </row>
    <row r="52" spans="1:13" s="35" customFormat="1" ht="35.25" customHeight="1">
      <c r="A52" s="519"/>
      <c r="B52" s="567" t="s">
        <v>679</v>
      </c>
      <c r="C52" s="532"/>
      <c r="D52" s="568"/>
      <c r="E52" s="546"/>
      <c r="F52" s="546"/>
      <c r="G52" s="542"/>
      <c r="H52" s="502"/>
      <c r="I52" s="537"/>
      <c r="J52" s="543"/>
      <c r="K52" s="544"/>
      <c r="L52" s="545"/>
      <c r="M52" s="545"/>
    </row>
    <row r="53" spans="1:13" s="35" customFormat="1" ht="86.25" customHeight="1">
      <c r="A53" s="533"/>
      <c r="B53" s="569" t="s">
        <v>680</v>
      </c>
      <c r="C53" s="535"/>
      <c r="D53" s="570" t="s">
        <v>253</v>
      </c>
      <c r="E53" s="548">
        <f>1980.96+4.22</f>
        <v>1985.18</v>
      </c>
      <c r="F53" s="548">
        <f>298488.76+2979.61</f>
        <v>301468.37</v>
      </c>
      <c r="G53" s="542"/>
      <c r="H53" s="502"/>
      <c r="I53" s="537"/>
      <c r="J53" s="543"/>
      <c r="K53" s="544"/>
      <c r="L53" s="545"/>
      <c r="M53" s="545"/>
    </row>
    <row r="54" spans="1:13" s="35" customFormat="1" ht="54" customHeight="1">
      <c r="A54" s="527">
        <v>14</v>
      </c>
      <c r="B54" s="571" t="s">
        <v>681</v>
      </c>
      <c r="C54" s="557" t="s">
        <v>595</v>
      </c>
      <c r="D54" s="515"/>
      <c r="E54" s="540"/>
      <c r="F54" s="540"/>
      <c r="G54" s="542"/>
      <c r="H54" s="502"/>
      <c r="I54" s="537"/>
      <c r="J54" s="543"/>
      <c r="K54" s="544"/>
      <c r="L54" s="545"/>
      <c r="M54" s="545"/>
    </row>
    <row r="55" spans="1:13" s="35" customFormat="1" ht="52.5" customHeight="1">
      <c r="A55" s="519"/>
      <c r="B55" s="567" t="s">
        <v>682</v>
      </c>
      <c r="C55" s="532"/>
      <c r="D55" s="568"/>
      <c r="E55" s="546"/>
      <c r="F55" s="546"/>
      <c r="G55" s="542"/>
      <c r="H55" s="502"/>
      <c r="I55" s="537"/>
      <c r="J55" s="543"/>
      <c r="K55" s="544"/>
      <c r="L55" s="545"/>
      <c r="M55" s="545"/>
    </row>
    <row r="56" spans="1:13" s="35" customFormat="1" ht="58.5" customHeight="1">
      <c r="A56" s="533"/>
      <c r="B56" s="569" t="s">
        <v>0</v>
      </c>
      <c r="C56" s="535"/>
      <c r="D56" s="570" t="s">
        <v>253</v>
      </c>
      <c r="E56" s="548"/>
      <c r="F56" s="548">
        <f>45885+7262.01</f>
        <v>53147.01</v>
      </c>
      <c r="G56" s="542"/>
      <c r="H56" s="502"/>
      <c r="I56" s="572"/>
      <c r="J56" s="543"/>
      <c r="K56" s="544"/>
      <c r="L56" s="545"/>
      <c r="M56" s="545"/>
    </row>
    <row r="57" spans="1:13" s="35" customFormat="1" ht="39" customHeight="1">
      <c r="A57" s="512">
        <v>15</v>
      </c>
      <c r="B57" s="513" t="s">
        <v>554</v>
      </c>
      <c r="C57" s="557" t="s">
        <v>595</v>
      </c>
      <c r="D57" s="558"/>
      <c r="E57" s="540"/>
      <c r="F57" s="540"/>
      <c r="G57" s="542"/>
      <c r="H57" s="502"/>
      <c r="I57" s="572"/>
      <c r="J57" s="543"/>
      <c r="K57" s="544"/>
      <c r="L57" s="545"/>
      <c r="M57" s="545"/>
    </row>
    <row r="58" spans="1:13" s="35" customFormat="1" ht="75" customHeight="1">
      <c r="A58" s="519"/>
      <c r="B58" s="534" t="s">
        <v>4</v>
      </c>
      <c r="C58" s="532"/>
      <c r="D58" s="559"/>
      <c r="E58" s="546"/>
      <c r="F58" s="546"/>
      <c r="G58" s="542"/>
      <c r="H58" s="502"/>
      <c r="I58" s="572"/>
      <c r="J58" s="848"/>
      <c r="K58" s="849"/>
      <c r="L58" s="545"/>
      <c r="M58" s="545"/>
    </row>
    <row r="59" spans="1:13" s="35" customFormat="1" ht="35.25" customHeight="1">
      <c r="A59" s="533"/>
      <c r="B59" s="534" t="s">
        <v>5</v>
      </c>
      <c r="C59" s="535"/>
      <c r="D59" s="536" t="s">
        <v>253</v>
      </c>
      <c r="E59" s="548">
        <f>26400+40.04</f>
        <v>26440.04</v>
      </c>
      <c r="F59" s="779">
        <f>77240+107215-14400</f>
        <v>170055</v>
      </c>
      <c r="G59" s="542"/>
      <c r="H59" s="502"/>
      <c r="I59" s="542"/>
      <c r="J59" s="542"/>
      <c r="K59" s="849"/>
      <c r="L59" s="545"/>
      <c r="M59" s="545"/>
    </row>
    <row r="60" spans="1:13" s="35" customFormat="1" ht="56.25" customHeight="1">
      <c r="A60" s="527">
        <v>16</v>
      </c>
      <c r="B60" s="513" t="s">
        <v>554</v>
      </c>
      <c r="C60" s="573" t="s">
        <v>6</v>
      </c>
      <c r="D60" s="539"/>
      <c r="E60" s="540"/>
      <c r="F60" s="540"/>
      <c r="G60" s="542"/>
      <c r="H60" s="502"/>
      <c r="I60" s="572"/>
      <c r="J60" s="848"/>
      <c r="K60" s="849"/>
      <c r="L60" s="847"/>
      <c r="M60" s="545"/>
    </row>
    <row r="61" spans="1:13" s="35" customFormat="1" ht="60.75" customHeight="1">
      <c r="A61" s="519"/>
      <c r="B61" s="534" t="s">
        <v>7</v>
      </c>
      <c r="C61" s="521"/>
      <c r="D61" s="529"/>
      <c r="E61" s="546"/>
      <c r="F61" s="546"/>
      <c r="G61" s="542"/>
      <c r="H61" s="502"/>
      <c r="I61" s="572"/>
      <c r="J61" s="543"/>
      <c r="K61" s="544"/>
      <c r="L61" s="847"/>
      <c r="M61" s="545"/>
    </row>
    <row r="62" spans="1:13" s="35" customFormat="1" ht="38.25" customHeight="1">
      <c r="A62" s="533"/>
      <c r="B62" s="534" t="s">
        <v>8</v>
      </c>
      <c r="C62" s="554"/>
      <c r="D62" s="529" t="s">
        <v>9</v>
      </c>
      <c r="E62" s="546" t="s">
        <v>594</v>
      </c>
      <c r="F62" s="778">
        <f>392366.5-3500-31000-10240</f>
        <v>347626.5</v>
      </c>
      <c r="G62" s="542"/>
      <c r="H62" s="502"/>
      <c r="I62" s="572"/>
      <c r="J62" s="543"/>
      <c r="K62" s="544"/>
      <c r="L62" s="545"/>
      <c r="M62" s="545"/>
    </row>
    <row r="63" spans="1:13" s="35" customFormat="1" ht="38.25" customHeight="1">
      <c r="A63" s="527">
        <v>17</v>
      </c>
      <c r="B63" s="513" t="s">
        <v>554</v>
      </c>
      <c r="C63" s="573" t="s">
        <v>35</v>
      </c>
      <c r="D63" s="539"/>
      <c r="E63" s="551"/>
      <c r="F63" s="540"/>
      <c r="G63" s="542"/>
      <c r="H63" s="502"/>
      <c r="I63" s="572"/>
      <c r="J63" s="543"/>
      <c r="K63" s="544"/>
      <c r="L63" s="545"/>
      <c r="M63" s="545"/>
    </row>
    <row r="64" spans="1:13" s="35" customFormat="1" ht="91.5" customHeight="1">
      <c r="A64" s="519"/>
      <c r="B64" s="534" t="s">
        <v>40</v>
      </c>
      <c r="C64" s="521"/>
      <c r="D64" s="529"/>
      <c r="E64" s="553"/>
      <c r="F64" s="546"/>
      <c r="G64" s="542"/>
      <c r="H64" s="502"/>
      <c r="I64" s="572"/>
      <c r="J64" s="543"/>
      <c r="K64" s="544"/>
      <c r="L64" s="545"/>
      <c r="M64" s="545"/>
    </row>
    <row r="65" spans="1:13" s="35" customFormat="1" ht="38.25" customHeight="1">
      <c r="A65" s="533"/>
      <c r="B65" s="534" t="s">
        <v>36</v>
      </c>
      <c r="C65" s="554"/>
      <c r="D65" s="536" t="s">
        <v>354</v>
      </c>
      <c r="E65" s="548" t="s">
        <v>594</v>
      </c>
      <c r="F65" s="780">
        <f>253578-7848</f>
        <v>245730</v>
      </c>
      <c r="G65" s="542"/>
      <c r="H65" s="502"/>
      <c r="I65" s="572"/>
      <c r="J65" s="543"/>
      <c r="K65" s="544"/>
      <c r="L65" s="545"/>
      <c r="M65" s="545"/>
    </row>
    <row r="66" spans="1:13" s="35" customFormat="1" ht="56.25" customHeight="1">
      <c r="A66" s="527">
        <v>18</v>
      </c>
      <c r="B66" s="636" t="s">
        <v>554</v>
      </c>
      <c r="C66" s="562" t="s">
        <v>37</v>
      </c>
      <c r="D66" s="539"/>
      <c r="E66" s="551"/>
      <c r="F66" s="540"/>
      <c r="G66" s="542"/>
      <c r="H66" s="502"/>
      <c r="I66" s="537"/>
      <c r="J66" s="543"/>
      <c r="K66" s="544"/>
      <c r="L66" s="545"/>
      <c r="M66" s="545"/>
    </row>
    <row r="67" spans="1:13" s="35" customFormat="1" ht="42" customHeight="1">
      <c r="A67" s="519"/>
      <c r="B67" s="534" t="s">
        <v>38</v>
      </c>
      <c r="C67" s="521"/>
      <c r="D67" s="529"/>
      <c r="E67" s="553"/>
      <c r="F67" s="546"/>
      <c r="G67" s="542"/>
      <c r="H67" s="502"/>
      <c r="I67" s="537"/>
      <c r="J67" s="543"/>
      <c r="K67" s="544"/>
      <c r="L67" s="545"/>
      <c r="M67" s="545"/>
    </row>
    <row r="68" spans="1:13" s="35" customFormat="1" ht="66" customHeight="1">
      <c r="A68" s="533"/>
      <c r="B68" s="640" t="s">
        <v>39</v>
      </c>
      <c r="C68" s="554"/>
      <c r="D68" s="536">
        <v>2013</v>
      </c>
      <c r="E68" s="716">
        <f>62262.18+145278.42</f>
        <v>207540.6</v>
      </c>
      <c r="F68" s="548">
        <v>1176063.4</v>
      </c>
      <c r="G68" s="542"/>
      <c r="H68" s="502"/>
      <c r="I68" s="537"/>
      <c r="J68" s="543"/>
      <c r="K68" s="544"/>
      <c r="L68" s="545"/>
      <c r="M68" s="545"/>
    </row>
    <row r="69" spans="1:11" ht="32.25" customHeight="1">
      <c r="A69" s="574" t="s">
        <v>10</v>
      </c>
      <c r="B69" s="575"/>
      <c r="C69" s="614"/>
      <c r="D69" s="615"/>
      <c r="E69" s="616">
        <f>E72+E75+E78+E81+E84</f>
        <v>67657.86</v>
      </c>
      <c r="F69" s="616">
        <f>F72+F75+F78+F81+F84+F87</f>
        <v>1333075.03</v>
      </c>
      <c r="H69" s="502"/>
      <c r="I69" s="576"/>
      <c r="J69" s="370"/>
      <c r="K69" s="577"/>
    </row>
    <row r="70" spans="1:10" ht="51">
      <c r="A70" s="527">
        <v>1</v>
      </c>
      <c r="B70" s="513" t="s">
        <v>20</v>
      </c>
      <c r="C70" s="538" t="s">
        <v>21</v>
      </c>
      <c r="D70" s="578"/>
      <c r="E70" s="579"/>
      <c r="F70" s="579"/>
      <c r="H70" s="502"/>
      <c r="I70" s="580"/>
      <c r="J70" s="622"/>
    </row>
    <row r="71" spans="1:10" ht="34.5" customHeight="1">
      <c r="A71" s="519"/>
      <c r="B71" s="581" t="s">
        <v>562</v>
      </c>
      <c r="C71" s="582"/>
      <c r="D71" s="583"/>
      <c r="E71" s="584"/>
      <c r="F71" s="585"/>
      <c r="H71" s="502"/>
      <c r="I71" s="537"/>
      <c r="J71" s="170"/>
    </row>
    <row r="72" spans="1:10" ht="60" customHeight="1">
      <c r="A72" s="533"/>
      <c r="B72" s="586" t="s">
        <v>22</v>
      </c>
      <c r="C72" s="587"/>
      <c r="D72" s="588" t="s">
        <v>372</v>
      </c>
      <c r="E72" s="589">
        <v>35403.08</v>
      </c>
      <c r="F72" s="590">
        <f>200617.54+30295.19</f>
        <v>230912.73</v>
      </c>
      <c r="H72" s="502"/>
      <c r="I72" s="537"/>
      <c r="J72" s="170"/>
    </row>
    <row r="73" spans="1:8" ht="36.75" customHeight="1">
      <c r="A73" s="512">
        <v>2</v>
      </c>
      <c r="B73" s="513" t="s">
        <v>20</v>
      </c>
      <c r="C73" s="591" t="s">
        <v>23</v>
      </c>
      <c r="D73" s="592" t="s">
        <v>211</v>
      </c>
      <c r="E73" s="411"/>
      <c r="F73" s="593"/>
      <c r="H73" s="502"/>
    </row>
    <row r="74" spans="1:9" ht="37.5" customHeight="1">
      <c r="A74" s="519"/>
      <c r="B74" s="581" t="s">
        <v>562</v>
      </c>
      <c r="C74" s="594"/>
      <c r="D74" s="595"/>
      <c r="E74" s="596"/>
      <c r="F74" s="597"/>
      <c r="H74" s="502"/>
      <c r="I74" s="598"/>
    </row>
    <row r="75" spans="1:8" ht="27" customHeight="1">
      <c r="A75" s="533"/>
      <c r="B75" s="599" t="s">
        <v>24</v>
      </c>
      <c r="C75" s="600"/>
      <c r="D75" s="601"/>
      <c r="E75" s="602"/>
      <c r="F75" s="602">
        <f>673470-48000+7466.42</f>
        <v>632936.42</v>
      </c>
      <c r="H75" s="502"/>
    </row>
    <row r="76" spans="1:9" ht="45" customHeight="1">
      <c r="A76" s="512">
        <v>3</v>
      </c>
      <c r="B76" s="711" t="s">
        <v>681</v>
      </c>
      <c r="C76" s="603" t="s">
        <v>25</v>
      </c>
      <c r="D76" s="515"/>
      <c r="E76" s="517"/>
      <c r="F76" s="516"/>
      <c r="H76" s="502"/>
      <c r="I76" s="537"/>
    </row>
    <row r="77" spans="1:9" ht="45" customHeight="1">
      <c r="A77" s="519"/>
      <c r="B77" s="534" t="s">
        <v>26</v>
      </c>
      <c r="C77" s="532"/>
      <c r="D77" s="522"/>
      <c r="E77" s="604"/>
      <c r="F77" s="523"/>
      <c r="H77" s="502"/>
      <c r="I77" s="537"/>
    </row>
    <row r="78" spans="1:10" ht="36" customHeight="1">
      <c r="A78" s="533"/>
      <c r="B78" s="534" t="s">
        <v>27</v>
      </c>
      <c r="C78" s="535"/>
      <c r="D78" s="526" t="s">
        <v>217</v>
      </c>
      <c r="E78" s="589"/>
      <c r="F78" s="717">
        <f>62610.4-2148.8+306.52</f>
        <v>60768.119999999995</v>
      </c>
      <c r="H78" s="502"/>
      <c r="I78" s="537"/>
      <c r="J78" s="605"/>
    </row>
    <row r="79" spans="1:8" ht="42" customHeight="1">
      <c r="A79" s="512">
        <v>4</v>
      </c>
      <c r="B79" s="513" t="s">
        <v>20</v>
      </c>
      <c r="C79" s="591" t="s">
        <v>23</v>
      </c>
      <c r="D79" s="592"/>
      <c r="E79" s="411"/>
      <c r="F79" s="593"/>
      <c r="H79" s="502"/>
    </row>
    <row r="80" spans="1:9" ht="36.75" customHeight="1">
      <c r="A80" s="519"/>
      <c r="B80" s="581" t="s">
        <v>28</v>
      </c>
      <c r="C80" s="594"/>
      <c r="D80" s="595"/>
      <c r="E80" s="596"/>
      <c r="F80" s="597"/>
      <c r="H80" s="502"/>
      <c r="I80" s="598"/>
    </row>
    <row r="81" spans="1:9" ht="36" customHeight="1">
      <c r="A81" s="533"/>
      <c r="B81" s="599" t="s">
        <v>29</v>
      </c>
      <c r="C81" s="600"/>
      <c r="D81" s="526" t="s">
        <v>217</v>
      </c>
      <c r="E81" s="602">
        <f>12190.75+170.31-10106.28</f>
        <v>2254.779999999999</v>
      </c>
      <c r="F81" s="602">
        <f>7029.69+397439.25+2913.82</f>
        <v>407382.76</v>
      </c>
      <c r="H81" s="502"/>
      <c r="I81" s="598"/>
    </row>
    <row r="82" spans="1:10" ht="39" customHeight="1">
      <c r="A82" s="512">
        <v>5</v>
      </c>
      <c r="B82" s="513" t="s">
        <v>30</v>
      </c>
      <c r="C82" s="550" t="s">
        <v>567</v>
      </c>
      <c r="D82" s="592"/>
      <c r="E82" s="411"/>
      <c r="F82" s="593"/>
      <c r="H82" s="502"/>
      <c r="I82" s="598"/>
      <c r="J82" s="605"/>
    </row>
    <row r="83" spans="1:8" ht="60.75" customHeight="1">
      <c r="A83" s="519"/>
      <c r="B83" s="581" t="s">
        <v>31</v>
      </c>
      <c r="C83" s="594"/>
      <c r="D83" s="595"/>
      <c r="E83" s="596"/>
      <c r="F83" s="597"/>
      <c r="H83" s="502"/>
    </row>
    <row r="84" spans="1:8" ht="46.5" customHeight="1">
      <c r="A84" s="533"/>
      <c r="B84" s="581" t="s">
        <v>32</v>
      </c>
      <c r="C84" s="600"/>
      <c r="D84" s="526" t="s">
        <v>217</v>
      </c>
      <c r="E84" s="602">
        <v>30000</v>
      </c>
      <c r="F84" s="602"/>
      <c r="H84" s="502"/>
    </row>
    <row r="85" spans="1:11" ht="51">
      <c r="A85" s="320">
        <v>6</v>
      </c>
      <c r="B85" s="513" t="s">
        <v>20</v>
      </c>
      <c r="C85" s="538" t="s">
        <v>21</v>
      </c>
      <c r="D85" s="578"/>
      <c r="E85" s="579"/>
      <c r="F85" s="579"/>
      <c r="H85" s="502"/>
      <c r="I85" s="598"/>
      <c r="K85" s="606"/>
    </row>
    <row r="86" spans="1:11" ht="34.5" customHeight="1">
      <c r="A86" s="607"/>
      <c r="B86" s="581" t="s">
        <v>562</v>
      </c>
      <c r="C86" s="582"/>
      <c r="D86" s="583"/>
      <c r="E86" s="584"/>
      <c r="F86" s="585"/>
      <c r="H86" s="502"/>
      <c r="I86" s="608"/>
      <c r="K86" s="577"/>
    </row>
    <row r="87" spans="1:11" ht="51" customHeight="1">
      <c r="A87" s="587"/>
      <c r="B87" s="586" t="s">
        <v>33</v>
      </c>
      <c r="C87" s="587"/>
      <c r="D87" s="588" t="s">
        <v>372</v>
      </c>
      <c r="E87" s="589"/>
      <c r="F87" s="590">
        <v>1075</v>
      </c>
      <c r="H87" s="502"/>
      <c r="K87" s="609"/>
    </row>
    <row r="88" spans="4:8" ht="18.75">
      <c r="D88" s="610"/>
      <c r="E88" s="1"/>
      <c r="F88" s="1"/>
      <c r="H88" s="502"/>
    </row>
    <row r="89" spans="4:11" ht="18.75">
      <c r="D89" s="610"/>
      <c r="E89" s="1"/>
      <c r="F89" s="1"/>
      <c r="H89" s="502"/>
      <c r="K89" s="609"/>
    </row>
    <row r="90" spans="4:8" ht="18.75">
      <c r="D90" s="610"/>
      <c r="E90" s="28"/>
      <c r="F90" s="1"/>
      <c r="H90" s="502"/>
    </row>
    <row r="91" spans="4:8" ht="18.75">
      <c r="D91" s="610"/>
      <c r="E91" s="28"/>
      <c r="F91" s="1"/>
      <c r="H91" s="502"/>
    </row>
    <row r="92" spans="4:6" ht="18.75">
      <c r="D92" s="610"/>
      <c r="E92" s="1"/>
      <c r="F92" s="1"/>
    </row>
    <row r="93" spans="4:6" ht="18.75">
      <c r="D93" s="610"/>
      <c r="E93" s="1"/>
      <c r="F93" s="1"/>
    </row>
    <row r="94" spans="4:6" ht="18.75">
      <c r="D94" s="610"/>
      <c r="E94" s="1"/>
      <c r="F94" s="1"/>
    </row>
    <row r="95" spans="4:6" ht="18.75">
      <c r="D95" s="610"/>
      <c r="E95" s="1"/>
      <c r="F95" s="1"/>
    </row>
    <row r="96" spans="4:6" ht="18.75">
      <c r="D96" s="610"/>
      <c r="E96" s="1"/>
      <c r="F96" s="1"/>
    </row>
    <row r="97" spans="4:11" ht="18.75">
      <c r="D97" s="610"/>
      <c r="E97" s="28"/>
      <c r="F97" s="1"/>
      <c r="K97" s="609"/>
    </row>
    <row r="98" spans="4:6" ht="18.75">
      <c r="D98" s="610"/>
      <c r="E98" s="28"/>
      <c r="F98" s="1"/>
    </row>
    <row r="99" spans="4:6" ht="18.75">
      <c r="D99" s="610"/>
      <c r="E99" s="28"/>
      <c r="F99" s="1"/>
    </row>
    <row r="100" spans="4:6" ht="18.75">
      <c r="D100" s="610"/>
      <c r="E100" s="28"/>
      <c r="F100" s="1"/>
    </row>
    <row r="101" spans="5:6" ht="18.75">
      <c r="E101" s="611"/>
      <c r="F101" s="1"/>
    </row>
    <row r="102" spans="4:6" ht="18.75">
      <c r="D102" s="612"/>
      <c r="E102" s="1"/>
      <c r="F102" s="28"/>
    </row>
    <row r="103" spans="5:6" ht="18.75">
      <c r="E103" s="1"/>
      <c r="F103" s="28"/>
    </row>
    <row r="104" spans="3:6" ht="18.75">
      <c r="C104" s="4"/>
      <c r="D104" s="4"/>
      <c r="E104" s="611"/>
      <c r="F104" s="28"/>
    </row>
    <row r="105" spans="3:6" ht="18.75">
      <c r="C105" s="4"/>
      <c r="D105" s="4"/>
      <c r="E105" s="611"/>
      <c r="F105" s="28"/>
    </row>
    <row r="106" spans="3:11" ht="18.75">
      <c r="C106" s="4"/>
      <c r="D106" s="4"/>
      <c r="E106" s="611"/>
      <c r="F106" s="28"/>
      <c r="K106" s="609"/>
    </row>
    <row r="107" spans="3:6" ht="18.75">
      <c r="C107" s="4"/>
      <c r="D107" s="4"/>
      <c r="E107" s="54"/>
      <c r="F107" s="613"/>
    </row>
    <row r="108" spans="3:6" ht="18.75">
      <c r="C108" s="4"/>
      <c r="D108" s="4"/>
      <c r="E108" s="54"/>
      <c r="F108" s="613"/>
    </row>
    <row r="109" spans="3:6" ht="18.75">
      <c r="C109" s="4"/>
      <c r="D109" s="4"/>
      <c r="E109" s="28"/>
      <c r="F109" s="28"/>
    </row>
    <row r="110" spans="3:6" ht="18.75">
      <c r="C110" s="4"/>
      <c r="D110" s="4"/>
      <c r="E110" s="54"/>
      <c r="F110" s="613"/>
    </row>
    <row r="111" spans="3:6" ht="18.75">
      <c r="C111" s="4"/>
      <c r="D111" s="4"/>
      <c r="E111" s="28"/>
      <c r="F111" s="28"/>
    </row>
    <row r="112" spans="3:6" ht="18.75">
      <c r="C112" s="4"/>
      <c r="D112" s="4"/>
      <c r="E112" s="28"/>
      <c r="F112" s="28"/>
    </row>
    <row r="113" spans="3:6" ht="18.75">
      <c r="C113" s="4"/>
      <c r="D113" s="4"/>
      <c r="E113" s="28"/>
      <c r="F113" s="28"/>
    </row>
    <row r="114" spans="3:6" ht="18.75">
      <c r="C114" s="4"/>
      <c r="D114" s="4"/>
      <c r="E114" s="28"/>
      <c r="F114" s="28"/>
    </row>
    <row r="115" spans="3:6" ht="18.75">
      <c r="C115" s="4"/>
      <c r="D115" s="4"/>
      <c r="E115" s="28"/>
      <c r="F115" s="28"/>
    </row>
    <row r="116" spans="3:6" ht="18.75">
      <c r="C116" s="4"/>
      <c r="D116" s="4"/>
      <c r="E116" s="28"/>
      <c r="F116" s="28"/>
    </row>
    <row r="117" spans="3:6" ht="18.75">
      <c r="C117" s="4"/>
      <c r="D117" s="4"/>
      <c r="E117" s="28"/>
      <c r="F117" s="28"/>
    </row>
    <row r="118" spans="3:6" ht="18.75">
      <c r="C118" s="4"/>
      <c r="D118" s="4"/>
      <c r="E118" s="28"/>
      <c r="F118" s="28"/>
    </row>
    <row r="119" spans="5:6" ht="18.75">
      <c r="E119" s="28"/>
      <c r="F119" s="28"/>
    </row>
    <row r="120" spans="5:6" ht="18.75">
      <c r="E120" s="28"/>
      <c r="F120" s="28"/>
    </row>
    <row r="121" spans="5:6" ht="18.75"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  <row r="159" spans="5:6" ht="18.75">
      <c r="E159" s="28"/>
      <c r="F159" s="28"/>
    </row>
    <row r="160" spans="5:6" ht="18.75">
      <c r="E160" s="28"/>
      <c r="F160" s="28"/>
    </row>
    <row r="161" spans="5:6" ht="18.75">
      <c r="E161" s="28"/>
      <c r="F161" s="28"/>
    </row>
    <row r="162" spans="5:6" ht="18.75">
      <c r="E162" s="28"/>
      <c r="F162" s="28"/>
    </row>
    <row r="163" spans="5:6" ht="18.75">
      <c r="E163" s="28"/>
      <c r="F163" s="28"/>
    </row>
    <row r="164" spans="5:6" ht="18.75">
      <c r="E164" s="28"/>
      <c r="F164" s="28"/>
    </row>
    <row r="165" spans="5:6" ht="18.75">
      <c r="E165" s="28"/>
      <c r="F165" s="28"/>
    </row>
    <row r="166" spans="5:6" ht="18.75">
      <c r="E166" s="28"/>
      <c r="F166" s="28"/>
    </row>
    <row r="167" spans="5:6" ht="18.75">
      <c r="E167" s="28"/>
      <c r="F167" s="28"/>
    </row>
    <row r="168" spans="5:6" ht="18.75">
      <c r="E168" s="28"/>
      <c r="F168" s="28"/>
    </row>
    <row r="169" spans="5:6" ht="18.75">
      <c r="E169" s="28"/>
      <c r="F169" s="28"/>
    </row>
    <row r="170" spans="5:6" ht="18.75">
      <c r="E170" s="28"/>
      <c r="F170" s="28"/>
    </row>
    <row r="171" spans="5:6" ht="18.75">
      <c r="E171" s="28"/>
      <c r="F171" s="28"/>
    </row>
    <row r="172" spans="5:6" ht="18.75">
      <c r="E172" s="28"/>
      <c r="F172" s="28"/>
    </row>
    <row r="173" spans="5:6" ht="18.75">
      <c r="E173" s="28"/>
      <c r="F173" s="28"/>
    </row>
    <row r="174" spans="5:6" ht="18.75">
      <c r="E174" s="28"/>
      <c r="F174" s="28"/>
    </row>
    <row r="175" spans="5:6" ht="18.75">
      <c r="E175" s="28"/>
      <c r="F175" s="28"/>
    </row>
    <row r="176" spans="5:6" ht="18.75">
      <c r="E176" s="28"/>
      <c r="F176" s="28"/>
    </row>
    <row r="177" spans="5:6" ht="18.75">
      <c r="E177" s="28"/>
      <c r="F177" s="28"/>
    </row>
    <row r="178" spans="5:6" ht="18.75">
      <c r="E178" s="28"/>
      <c r="F178" s="28"/>
    </row>
    <row r="179" spans="5:6" ht="18.75">
      <c r="E179" s="28"/>
      <c r="F179" s="28"/>
    </row>
    <row r="180" spans="5:6" ht="18.75">
      <c r="E180" s="28"/>
      <c r="F180" s="28"/>
    </row>
    <row r="181" spans="5:6" ht="18.75">
      <c r="E181" s="28"/>
      <c r="F181" s="28"/>
    </row>
    <row r="182" spans="5:6" ht="18.75">
      <c r="E182" s="28"/>
      <c r="F182" s="28"/>
    </row>
    <row r="183" spans="5:6" ht="18.75">
      <c r="E183" s="28"/>
      <c r="F183" s="28"/>
    </row>
    <row r="184" spans="5:6" ht="18.75">
      <c r="E184" s="28"/>
      <c r="F184" s="28"/>
    </row>
    <row r="185" spans="5:6" ht="18.75">
      <c r="E185" s="28"/>
      <c r="F185" s="28"/>
    </row>
    <row r="186" spans="5:6" ht="18.75">
      <c r="E186" s="28"/>
      <c r="F186" s="28"/>
    </row>
    <row r="187" spans="5:6" ht="18.75">
      <c r="E187" s="28"/>
      <c r="F187" s="28"/>
    </row>
    <row r="188" spans="5:6" ht="18.75">
      <c r="E188" s="28"/>
      <c r="F188" s="28"/>
    </row>
    <row r="189" spans="5:6" ht="18.75">
      <c r="E189" s="28"/>
      <c r="F189" s="28"/>
    </row>
    <row r="190" spans="5:6" ht="18.75">
      <c r="E190" s="28"/>
      <c r="F190" s="28"/>
    </row>
    <row r="191" spans="5:6" ht="18.75">
      <c r="E191" s="28"/>
      <c r="F191" s="28"/>
    </row>
    <row r="192" spans="5:6" ht="18.75">
      <c r="E192" s="28"/>
      <c r="F192" s="28"/>
    </row>
    <row r="193" spans="5:6" ht="18.75">
      <c r="E193" s="28"/>
      <c r="F193" s="28"/>
    </row>
    <row r="194" spans="5:6" ht="18.75">
      <c r="E194" s="28"/>
      <c r="F194" s="28"/>
    </row>
    <row r="195" spans="5:6" ht="18.75">
      <c r="E195" s="28"/>
      <c r="F195" s="28"/>
    </row>
    <row r="196" spans="5:6" ht="18.75">
      <c r="E196" s="28"/>
      <c r="F196" s="28"/>
    </row>
    <row r="197" spans="5:6" ht="18.75">
      <c r="E197" s="28"/>
      <c r="F197" s="28"/>
    </row>
    <row r="198" spans="5:6" ht="18.75">
      <c r="E198" s="28"/>
      <c r="F198" s="28"/>
    </row>
    <row r="199" spans="5:6" ht="18.75">
      <c r="E199" s="28"/>
      <c r="F199" s="28"/>
    </row>
    <row r="200" spans="5:6" ht="18.75">
      <c r="E200" s="28"/>
      <c r="F200" s="28"/>
    </row>
    <row r="201" spans="5:6" ht="18.75">
      <c r="E201" s="28"/>
      <c r="F201" s="28"/>
    </row>
    <row r="202" spans="5:6" ht="18.75">
      <c r="E202" s="28"/>
      <c r="F202" s="28"/>
    </row>
    <row r="203" spans="5:6" ht="18.75">
      <c r="E203" s="28"/>
      <c r="F203" s="28"/>
    </row>
    <row r="204" spans="5:6" ht="18.75">
      <c r="E204" s="28"/>
      <c r="F204" s="28"/>
    </row>
    <row r="205" spans="5:6" ht="18.75">
      <c r="E205" s="28"/>
      <c r="F205" s="28"/>
    </row>
    <row r="206" spans="5:6" ht="18.75">
      <c r="E206" s="28"/>
      <c r="F206" s="28"/>
    </row>
    <row r="207" spans="5:6" ht="18.75">
      <c r="E207" s="28"/>
      <c r="F207" s="28"/>
    </row>
    <row r="208" spans="5:6" ht="18.75">
      <c r="E208" s="28"/>
      <c r="F208" s="28"/>
    </row>
    <row r="209" spans="5:6" ht="18.75">
      <c r="E209" s="28"/>
      <c r="F209" s="28"/>
    </row>
    <row r="210" spans="5:6" ht="18.75">
      <c r="E210" s="28"/>
      <c r="F210" s="28"/>
    </row>
    <row r="211" spans="5:6" ht="18.75">
      <c r="E211" s="28"/>
      <c r="F211" s="28"/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1">
      <selection activeCell="D34" sqref="D34"/>
    </sheetView>
  </sheetViews>
  <sheetFormatPr defaultColWidth="9.140625" defaultRowHeight="12.75"/>
  <cols>
    <col min="1" max="1" width="4.57421875" style="2" customWidth="1"/>
    <col min="2" max="2" width="24.7109375" style="2" customWidth="1"/>
    <col min="3" max="3" width="45.8515625" style="384" customWidth="1"/>
    <col min="4" max="4" width="20.57421875" style="2" customWidth="1"/>
    <col min="5" max="5" width="12.7109375" style="4" customWidth="1"/>
    <col min="6" max="6" width="19.7109375" style="2" customWidth="1"/>
    <col min="7" max="7" width="18.00390625" style="2" customWidth="1"/>
    <col min="8" max="8" width="28.140625" style="2" customWidth="1"/>
    <col min="9" max="16384" width="9.140625" style="2" customWidth="1"/>
  </cols>
  <sheetData>
    <row r="1" ht="19.5" customHeight="1">
      <c r="C1" s="171" t="s">
        <v>58</v>
      </c>
    </row>
    <row r="2" ht="19.5" customHeight="1">
      <c r="C2" s="173" t="s">
        <v>653</v>
      </c>
    </row>
    <row r="3" ht="19.5" customHeight="1">
      <c r="C3" s="173" t="s">
        <v>145</v>
      </c>
    </row>
    <row r="4" ht="19.5" customHeight="1">
      <c r="C4" s="173" t="s">
        <v>654</v>
      </c>
    </row>
    <row r="5" ht="15" customHeight="1"/>
    <row r="6" ht="14.25" customHeight="1"/>
    <row r="7" spans="1:5" s="26" customFormat="1" ht="19.5" customHeight="1">
      <c r="A7" s="385" t="s">
        <v>466</v>
      </c>
      <c r="B7" s="386"/>
      <c r="C7" s="170"/>
      <c r="D7" s="2"/>
      <c r="E7" s="4"/>
    </row>
    <row r="8" spans="1:5" s="26" customFormat="1" ht="19.5" customHeight="1">
      <c r="A8" s="385" t="s">
        <v>467</v>
      </c>
      <c r="B8" s="386"/>
      <c r="C8" s="170"/>
      <c r="D8" s="2"/>
      <c r="E8" s="4"/>
    </row>
    <row r="9" spans="1:3" ht="18.75" customHeight="1">
      <c r="A9" s="385"/>
      <c r="B9" s="35"/>
      <c r="C9" s="170"/>
    </row>
    <row r="10" spans="1:2" ht="13.5">
      <c r="A10" s="92" t="s">
        <v>75</v>
      </c>
      <c r="B10" s="387"/>
    </row>
    <row r="11" spans="3:4" ht="11.25" customHeight="1">
      <c r="C11" s="388"/>
      <c r="D11" s="389" t="s">
        <v>155</v>
      </c>
    </row>
    <row r="12" spans="1:6" ht="42.75" customHeight="1">
      <c r="A12" s="256" t="s">
        <v>158</v>
      </c>
      <c r="B12" s="256" t="s">
        <v>468</v>
      </c>
      <c r="C12" s="239" t="s">
        <v>469</v>
      </c>
      <c r="D12" s="390" t="s">
        <v>470</v>
      </c>
      <c r="F12" s="391"/>
    </row>
    <row r="13" spans="1:7" s="35" customFormat="1" ht="22.5" customHeight="1">
      <c r="A13" s="392" t="s">
        <v>471</v>
      </c>
      <c r="B13" s="393"/>
      <c r="C13" s="394"/>
      <c r="D13" s="395">
        <f>D14+D28</f>
        <v>9025162.07</v>
      </c>
      <c r="E13" s="3"/>
      <c r="F13" s="396"/>
      <c r="G13" s="3"/>
    </row>
    <row r="14" spans="1:7" s="35" customFormat="1" ht="24.75" customHeight="1">
      <c r="A14" s="397" t="s">
        <v>472</v>
      </c>
      <c r="B14" s="398"/>
      <c r="C14" s="399"/>
      <c r="D14" s="395">
        <f>D15</f>
        <v>2023158</v>
      </c>
      <c r="E14" s="400"/>
      <c r="F14" s="3"/>
      <c r="G14" s="3"/>
    </row>
    <row r="15" spans="1:7" s="35" customFormat="1" ht="30" customHeight="1">
      <c r="A15" s="401">
        <v>801</v>
      </c>
      <c r="B15" s="402" t="s">
        <v>264</v>
      </c>
      <c r="C15" s="403"/>
      <c r="D15" s="404">
        <f>SUM(D16:D27)</f>
        <v>2023158</v>
      </c>
      <c r="E15" s="405"/>
      <c r="G15" s="3"/>
    </row>
    <row r="16" spans="1:5" s="35" customFormat="1" ht="25.5" customHeight="1">
      <c r="A16" s="401"/>
      <c r="B16" s="406"/>
      <c r="C16" s="403" t="s">
        <v>473</v>
      </c>
      <c r="D16" s="407">
        <v>40000</v>
      </c>
      <c r="E16" s="405"/>
    </row>
    <row r="17" spans="1:5" s="35" customFormat="1" ht="17.25" customHeight="1">
      <c r="A17" s="408"/>
      <c r="B17" s="406"/>
      <c r="C17" s="243" t="s">
        <v>474</v>
      </c>
      <c r="D17" s="407">
        <f>325260-20000</f>
        <v>305260</v>
      </c>
      <c r="E17" s="3"/>
    </row>
    <row r="18" spans="1:5" s="35" customFormat="1" ht="18.75" customHeight="1">
      <c r="A18" s="408"/>
      <c r="B18" s="409"/>
      <c r="C18" s="243" t="s">
        <v>475</v>
      </c>
      <c r="D18" s="410">
        <f>587136-20000</f>
        <v>567136</v>
      </c>
      <c r="E18" s="3"/>
    </row>
    <row r="19" spans="1:5" s="35" customFormat="1" ht="18.75" customHeight="1">
      <c r="A19" s="408"/>
      <c r="B19" s="409"/>
      <c r="C19" s="243" t="s">
        <v>476</v>
      </c>
      <c r="D19" s="410">
        <f>66720-15000</f>
        <v>51720</v>
      </c>
      <c r="E19" s="3"/>
    </row>
    <row r="20" spans="1:5" s="35" customFormat="1" ht="18.75" customHeight="1">
      <c r="A20" s="408"/>
      <c r="B20" s="409"/>
      <c r="C20" s="243" t="s">
        <v>477</v>
      </c>
      <c r="D20" s="410">
        <f>108982-90000</f>
        <v>18982</v>
      </c>
      <c r="E20" s="3"/>
    </row>
    <row r="21" spans="1:5" s="35" customFormat="1" ht="18.75" customHeight="1">
      <c r="A21" s="408"/>
      <c r="B21" s="409"/>
      <c r="C21" s="243" t="s">
        <v>478</v>
      </c>
      <c r="D21" s="410">
        <v>70060</v>
      </c>
      <c r="E21" s="3"/>
    </row>
    <row r="22" spans="1:5" s="35" customFormat="1" ht="18.75" customHeight="1">
      <c r="A22" s="408"/>
      <c r="B22" s="409"/>
      <c r="C22" s="243" t="s">
        <v>479</v>
      </c>
      <c r="D22" s="410">
        <v>570172</v>
      </c>
      <c r="E22" s="3"/>
    </row>
    <row r="23" spans="1:6" s="35" customFormat="1" ht="21.75" customHeight="1">
      <c r="A23" s="408"/>
      <c r="B23" s="409"/>
      <c r="C23" s="243" t="s">
        <v>480</v>
      </c>
      <c r="D23" s="410">
        <f>80880-30000</f>
        <v>50880</v>
      </c>
      <c r="E23" s="3"/>
      <c r="F23" s="3"/>
    </row>
    <row r="24" spans="1:5" s="35" customFormat="1" ht="18.75" customHeight="1">
      <c r="A24" s="408"/>
      <c r="B24" s="409"/>
      <c r="C24" s="243" t="s">
        <v>481</v>
      </c>
      <c r="D24" s="410">
        <v>133548</v>
      </c>
      <c r="E24" s="3"/>
    </row>
    <row r="25" spans="1:5" s="35" customFormat="1" ht="21" customHeight="1">
      <c r="A25" s="408"/>
      <c r="B25" s="409"/>
      <c r="C25" s="243" t="s">
        <v>482</v>
      </c>
      <c r="D25" s="410">
        <v>60312</v>
      </c>
      <c r="E25" s="3"/>
    </row>
    <row r="26" spans="1:5" s="35" customFormat="1" ht="21" customHeight="1">
      <c r="A26" s="408"/>
      <c r="B26" s="409"/>
      <c r="C26" s="243" t="s">
        <v>483</v>
      </c>
      <c r="D26" s="411">
        <v>103392</v>
      </c>
      <c r="E26" s="3"/>
    </row>
    <row r="27" spans="1:5" s="35" customFormat="1" ht="21" customHeight="1">
      <c r="A27" s="408"/>
      <c r="B27" s="409"/>
      <c r="C27" s="248" t="s">
        <v>484</v>
      </c>
      <c r="D27" s="411">
        <v>51696</v>
      </c>
      <c r="E27" s="3"/>
    </row>
    <row r="28" spans="1:5" s="35" customFormat="1" ht="24.75" customHeight="1">
      <c r="A28" s="397" t="s">
        <v>485</v>
      </c>
      <c r="B28" s="398"/>
      <c r="C28" s="399"/>
      <c r="D28" s="412">
        <f>D29+D40+D44+D50+D54+D58</f>
        <v>7002004.07</v>
      </c>
      <c r="E28" s="3"/>
    </row>
    <row r="29" spans="1:5" s="35" customFormat="1" ht="21.75" customHeight="1">
      <c r="A29" s="260">
        <v>851</v>
      </c>
      <c r="B29" s="413" t="s">
        <v>299</v>
      </c>
      <c r="C29" s="414"/>
      <c r="D29" s="415">
        <f>SUM(D30:D39)</f>
        <v>970100</v>
      </c>
      <c r="E29" s="405"/>
    </row>
    <row r="30" spans="1:5" s="35" customFormat="1" ht="35.25" customHeight="1">
      <c r="A30" s="320"/>
      <c r="B30" s="416"/>
      <c r="C30" s="243" t="s">
        <v>486</v>
      </c>
      <c r="D30" s="407">
        <v>95000</v>
      </c>
      <c r="E30" s="3"/>
    </row>
    <row r="31" spans="1:5" s="35" customFormat="1" ht="27.75" customHeight="1">
      <c r="A31" s="292"/>
      <c r="B31" s="417"/>
      <c r="C31" s="243" t="s">
        <v>487</v>
      </c>
      <c r="D31" s="407">
        <v>440000</v>
      </c>
      <c r="E31" s="3"/>
    </row>
    <row r="32" spans="1:5" s="35" customFormat="1" ht="48" customHeight="1">
      <c r="A32" s="292"/>
      <c r="B32" s="417"/>
      <c r="C32" s="243" t="s">
        <v>488</v>
      </c>
      <c r="D32" s="407">
        <v>50000</v>
      </c>
      <c r="E32" s="3"/>
    </row>
    <row r="33" spans="1:5" s="35" customFormat="1" ht="27.75" customHeight="1">
      <c r="A33" s="292"/>
      <c r="B33" s="417"/>
      <c r="C33" s="243" t="s">
        <v>489</v>
      </c>
      <c r="D33" s="407">
        <v>10000</v>
      </c>
      <c r="E33" s="3"/>
    </row>
    <row r="34" spans="1:5" s="35" customFormat="1" ht="48.75" customHeight="1">
      <c r="A34" s="292"/>
      <c r="B34" s="417"/>
      <c r="C34" s="243" t="s">
        <v>490</v>
      </c>
      <c r="D34" s="791">
        <f>35000+67000-8900</f>
        <v>93100</v>
      </c>
      <c r="E34" s="3"/>
    </row>
    <row r="35" spans="1:5" s="35" customFormat="1" ht="30.75" customHeight="1">
      <c r="A35" s="292"/>
      <c r="B35" s="417"/>
      <c r="C35" s="243" t="s">
        <v>491</v>
      </c>
      <c r="D35" s="407">
        <v>60000</v>
      </c>
      <c r="E35" s="3"/>
    </row>
    <row r="36" spans="1:5" s="35" customFormat="1" ht="27.75" customHeight="1">
      <c r="A36" s="292"/>
      <c r="B36" s="417"/>
      <c r="C36" s="243" t="s">
        <v>492</v>
      </c>
      <c r="D36" s="407">
        <v>101000</v>
      </c>
      <c r="E36" s="3"/>
    </row>
    <row r="37" spans="1:5" s="35" customFormat="1" ht="31.5" customHeight="1">
      <c r="A37" s="292"/>
      <c r="B37" s="417"/>
      <c r="C37" s="243" t="s">
        <v>493</v>
      </c>
      <c r="D37" s="407">
        <v>90000</v>
      </c>
      <c r="E37" s="3"/>
    </row>
    <row r="38" spans="1:5" s="35" customFormat="1" ht="25.5" customHeight="1">
      <c r="A38" s="292"/>
      <c r="B38" s="417"/>
      <c r="C38" s="243" t="s">
        <v>494</v>
      </c>
      <c r="D38" s="407">
        <v>25000</v>
      </c>
      <c r="E38" s="3"/>
    </row>
    <row r="39" spans="1:5" s="35" customFormat="1" ht="23.25" customHeight="1">
      <c r="A39" s="292"/>
      <c r="B39" s="417"/>
      <c r="C39" s="418" t="s">
        <v>495</v>
      </c>
      <c r="D39" s="419">
        <v>6000</v>
      </c>
      <c r="E39" s="3"/>
    </row>
    <row r="40" spans="1:6" s="35" customFormat="1" ht="21" customHeight="1">
      <c r="A40" s="320">
        <v>852</v>
      </c>
      <c r="B40" s="420" t="s">
        <v>416</v>
      </c>
      <c r="C40" s="414"/>
      <c r="D40" s="421">
        <f>SUM(D41:D43)</f>
        <v>1485000</v>
      </c>
      <c r="E40" s="3"/>
      <c r="F40" s="3"/>
    </row>
    <row r="41" spans="1:6" s="35" customFormat="1" ht="27" customHeight="1">
      <c r="A41" s="422"/>
      <c r="B41" s="420"/>
      <c r="C41" s="423" t="s">
        <v>496</v>
      </c>
      <c r="D41" s="407">
        <v>1200000</v>
      </c>
      <c r="E41" s="3"/>
      <c r="F41" s="3"/>
    </row>
    <row r="42" spans="1:6" s="35" customFormat="1" ht="26.25" customHeight="1">
      <c r="A42" s="299"/>
      <c r="B42" s="424"/>
      <c r="C42" s="425" t="s">
        <v>497</v>
      </c>
      <c r="D42" s="407">
        <f>200000</f>
        <v>200000</v>
      </c>
      <c r="E42" s="3"/>
      <c r="F42" s="3"/>
    </row>
    <row r="43" spans="1:6" s="35" customFormat="1" ht="32.25" customHeight="1">
      <c r="A43" s="299"/>
      <c r="B43" s="424"/>
      <c r="C43" s="425" t="s">
        <v>498</v>
      </c>
      <c r="D43" s="407">
        <v>85000</v>
      </c>
      <c r="E43" s="3"/>
      <c r="F43" s="3"/>
    </row>
    <row r="44" spans="1:6" s="35" customFormat="1" ht="39" customHeight="1">
      <c r="A44" s="228">
        <v>853</v>
      </c>
      <c r="B44" s="426" t="s">
        <v>304</v>
      </c>
      <c r="C44" s="427"/>
      <c r="D44" s="404">
        <f>SUM(D45:D49)</f>
        <v>2102904.07</v>
      </c>
      <c r="E44" s="3"/>
      <c r="F44" s="3"/>
    </row>
    <row r="45" spans="1:8" s="35" customFormat="1" ht="28.5" customHeight="1">
      <c r="A45" s="299"/>
      <c r="B45" s="424"/>
      <c r="C45" s="427" t="s">
        <v>499</v>
      </c>
      <c r="D45" s="791">
        <f>168000-10400</f>
        <v>157600</v>
      </c>
      <c r="E45" s="3"/>
      <c r="F45" s="3"/>
      <c r="G45" s="339"/>
      <c r="H45" s="339"/>
    </row>
    <row r="46" spans="1:8" s="35" customFormat="1" ht="36" customHeight="1">
      <c r="A46" s="299"/>
      <c r="B46" s="424"/>
      <c r="C46" s="425" t="s">
        <v>628</v>
      </c>
      <c r="D46" s="407">
        <f>9000+40000</f>
        <v>49000</v>
      </c>
      <c r="E46" s="3"/>
      <c r="F46" s="3"/>
      <c r="G46" s="339"/>
      <c r="H46" s="828"/>
    </row>
    <row r="47" spans="1:8" s="35" customFormat="1" ht="40.5" customHeight="1">
      <c r="A47" s="299"/>
      <c r="B47" s="424"/>
      <c r="C47" s="425" t="s">
        <v>500</v>
      </c>
      <c r="D47" s="407">
        <f>1360000+240000</f>
        <v>1600000</v>
      </c>
      <c r="E47" s="3"/>
      <c r="F47" s="3"/>
      <c r="G47" s="339"/>
      <c r="H47" s="339"/>
    </row>
    <row r="48" spans="1:6" s="35" customFormat="1" ht="40.5" customHeight="1">
      <c r="A48" s="299"/>
      <c r="B48" s="424"/>
      <c r="C48" s="425" t="s">
        <v>501</v>
      </c>
      <c r="D48" s="407">
        <v>221000</v>
      </c>
      <c r="E48" s="3"/>
      <c r="F48" s="3"/>
    </row>
    <row r="49" spans="1:5" s="35" customFormat="1" ht="42.75" customHeight="1">
      <c r="A49" s="299"/>
      <c r="B49" s="424"/>
      <c r="C49" s="425" t="s">
        <v>502</v>
      </c>
      <c r="D49" s="407">
        <f>58174.85+10266.15+5833.61+1029.46</f>
        <v>75304.07</v>
      </c>
      <c r="E49" s="3"/>
    </row>
    <row r="50" spans="1:5" s="35" customFormat="1" ht="37.5" customHeight="1">
      <c r="A50" s="320">
        <v>900</v>
      </c>
      <c r="B50" s="428" t="s">
        <v>503</v>
      </c>
      <c r="C50" s="429"/>
      <c r="D50" s="395">
        <f>SUM(D51:D53)</f>
        <v>450000</v>
      </c>
      <c r="E50" s="3"/>
    </row>
    <row r="51" spans="1:5" s="35" customFormat="1" ht="62.25" customHeight="1">
      <c r="A51" s="341"/>
      <c r="B51" s="430"/>
      <c r="C51" s="431" t="s">
        <v>504</v>
      </c>
      <c r="D51" s="407">
        <v>270000</v>
      </c>
      <c r="E51" s="3"/>
    </row>
    <row r="52" spans="1:5" s="435" customFormat="1" ht="42.75" customHeight="1">
      <c r="A52" s="326"/>
      <c r="B52" s="432"/>
      <c r="C52" s="433" t="s">
        <v>505</v>
      </c>
      <c r="D52" s="434">
        <v>30000</v>
      </c>
      <c r="E52" s="405"/>
    </row>
    <row r="53" spans="1:5" s="35" customFormat="1" ht="37.5" customHeight="1">
      <c r="A53" s="436"/>
      <c r="B53" s="437"/>
      <c r="C53" s="433" t="s">
        <v>506</v>
      </c>
      <c r="D53" s="407">
        <f>50000+100000</f>
        <v>150000</v>
      </c>
      <c r="E53" s="3"/>
    </row>
    <row r="54" spans="1:5" s="35" customFormat="1" ht="39" customHeight="1">
      <c r="A54" s="228">
        <v>921</v>
      </c>
      <c r="B54" s="438" t="s">
        <v>508</v>
      </c>
      <c r="C54" s="426"/>
      <c r="D54" s="395">
        <f>SUM(D55:D57)</f>
        <v>173000</v>
      </c>
      <c r="E54" s="3"/>
    </row>
    <row r="55" spans="1:5" s="35" customFormat="1" ht="31.5" customHeight="1">
      <c r="A55" s="326"/>
      <c r="B55" s="432"/>
      <c r="C55" s="439" t="s">
        <v>358</v>
      </c>
      <c r="D55" s="410">
        <f>60000+40000</f>
        <v>100000</v>
      </c>
      <c r="E55" s="3"/>
    </row>
    <row r="56" spans="1:5" s="35" customFormat="1" ht="31.5" customHeight="1">
      <c r="A56" s="326"/>
      <c r="B56" s="432"/>
      <c r="C56" s="718" t="s">
        <v>17</v>
      </c>
      <c r="D56" s="410">
        <v>45000</v>
      </c>
      <c r="E56" s="3"/>
    </row>
    <row r="57" spans="1:5" s="35" customFormat="1" ht="28.5" customHeight="1">
      <c r="A57" s="436"/>
      <c r="B57" s="437"/>
      <c r="C57" s="440" t="s">
        <v>509</v>
      </c>
      <c r="D57" s="410">
        <v>28000</v>
      </c>
      <c r="E57" s="3"/>
    </row>
    <row r="58" spans="1:10" s="35" customFormat="1" ht="29.25" customHeight="1">
      <c r="A58" s="260">
        <v>926</v>
      </c>
      <c r="B58" s="441" t="s">
        <v>510</v>
      </c>
      <c r="C58" s="429"/>
      <c r="D58" s="395">
        <f>SUM(D59:D61)</f>
        <v>1821000</v>
      </c>
      <c r="E58" s="3"/>
      <c r="F58" s="343"/>
      <c r="G58" s="343"/>
      <c r="H58" s="343"/>
      <c r="I58" s="343"/>
      <c r="J58" s="343"/>
    </row>
    <row r="59" spans="1:10" s="375" customFormat="1" ht="69.75" customHeight="1">
      <c r="A59" s="341"/>
      <c r="B59" s="191"/>
      <c r="C59" s="440" t="s">
        <v>511</v>
      </c>
      <c r="D59" s="442">
        <v>1700000</v>
      </c>
      <c r="E59" s="3"/>
      <c r="F59" s="443"/>
      <c r="G59" s="443"/>
      <c r="H59" s="443"/>
      <c r="I59" s="443"/>
      <c r="J59" s="443"/>
    </row>
    <row r="60" spans="1:10" s="375" customFormat="1" ht="33" customHeight="1">
      <c r="A60" s="444"/>
      <c r="B60" s="279"/>
      <c r="C60" s="445" t="s">
        <v>512</v>
      </c>
      <c r="D60" s="442">
        <f>115000-19000</f>
        <v>96000</v>
      </c>
      <c r="E60" s="3"/>
      <c r="F60" s="443"/>
      <c r="G60" s="443"/>
      <c r="H60" s="443"/>
      <c r="I60" s="443"/>
      <c r="J60" s="443"/>
    </row>
    <row r="61" spans="1:10" s="35" customFormat="1" ht="33.75" customHeight="1">
      <c r="A61" s="444"/>
      <c r="B61" s="279"/>
      <c r="C61" s="440" t="s">
        <v>513</v>
      </c>
      <c r="D61" s="407">
        <v>25000</v>
      </c>
      <c r="E61" s="3"/>
      <c r="F61" s="391"/>
      <c r="G61" s="376"/>
      <c r="H61" s="343"/>
      <c r="I61" s="343"/>
      <c r="J61" s="343"/>
    </row>
    <row r="62" spans="1:10" s="35" customFormat="1" ht="30" customHeight="1">
      <c r="A62" s="446" t="s">
        <v>514</v>
      </c>
      <c r="B62" s="447"/>
      <c r="C62" s="448"/>
      <c r="D62" s="421">
        <f>D63+D86</f>
        <v>11076223</v>
      </c>
      <c r="E62" s="3"/>
      <c r="F62" s="449"/>
      <c r="G62" s="376"/>
      <c r="H62" s="343"/>
      <c r="I62" s="343"/>
      <c r="J62" s="343"/>
    </row>
    <row r="63" spans="1:10" s="35" customFormat="1" ht="27" customHeight="1">
      <c r="A63" s="450" t="s">
        <v>472</v>
      </c>
      <c r="B63" s="451"/>
      <c r="C63" s="452"/>
      <c r="D63" s="453">
        <f>D64+D82+D84</f>
        <v>9786223</v>
      </c>
      <c r="E63" s="3"/>
      <c r="F63" s="376"/>
      <c r="G63" s="376"/>
      <c r="H63" s="343"/>
      <c r="I63" s="343"/>
      <c r="J63" s="343"/>
    </row>
    <row r="64" spans="1:10" s="35" customFormat="1" ht="19.5" customHeight="1">
      <c r="A64" s="401">
        <v>801</v>
      </c>
      <c r="B64" s="454" t="s">
        <v>264</v>
      </c>
      <c r="C64" s="243"/>
      <c r="D64" s="404">
        <f>SUM(D65:D81)</f>
        <v>8128118</v>
      </c>
      <c r="E64" s="3"/>
      <c r="F64" s="343"/>
      <c r="G64" s="376"/>
      <c r="H64" s="343"/>
      <c r="I64" s="343"/>
      <c r="J64" s="343"/>
    </row>
    <row r="65" spans="1:10" s="35" customFormat="1" ht="30" customHeight="1">
      <c r="A65" s="455"/>
      <c r="B65" s="295"/>
      <c r="C65" s="456" t="s">
        <v>515</v>
      </c>
      <c r="D65" s="410">
        <f>460000+956468</f>
        <v>1416468</v>
      </c>
      <c r="E65" s="3"/>
      <c r="F65" s="343"/>
      <c r="G65" s="343"/>
      <c r="H65" s="343"/>
      <c r="I65" s="343"/>
      <c r="J65" s="343"/>
    </row>
    <row r="66" spans="1:10" s="35" customFormat="1" ht="26.25" customHeight="1">
      <c r="A66" s="457"/>
      <c r="B66" s="289"/>
      <c r="C66" s="243" t="s">
        <v>516</v>
      </c>
      <c r="D66" s="410">
        <f>200000+400000-183350</f>
        <v>416650</v>
      </c>
      <c r="E66" s="3"/>
      <c r="F66" s="343"/>
      <c r="G66" s="343"/>
      <c r="H66" s="343"/>
      <c r="I66" s="343"/>
      <c r="J66" s="343"/>
    </row>
    <row r="67" spans="1:10" s="35" customFormat="1" ht="25.5" customHeight="1">
      <c r="A67" s="457"/>
      <c r="B67" s="289"/>
      <c r="C67" s="456" t="s">
        <v>517</v>
      </c>
      <c r="D67" s="410">
        <f>400000</f>
        <v>400000</v>
      </c>
      <c r="E67" s="3"/>
      <c r="F67" s="343"/>
      <c r="G67" s="343"/>
      <c r="H67" s="343"/>
      <c r="I67" s="343"/>
      <c r="J67" s="343"/>
    </row>
    <row r="68" spans="1:10" s="35" customFormat="1" ht="25.5" customHeight="1">
      <c r="A68" s="457"/>
      <c r="B68" s="289"/>
      <c r="C68" s="458" t="s">
        <v>518</v>
      </c>
      <c r="D68" s="410">
        <v>670000</v>
      </c>
      <c r="E68" s="3"/>
      <c r="F68" s="343"/>
      <c r="G68" s="343"/>
      <c r="H68" s="343"/>
      <c r="I68" s="343"/>
      <c r="J68" s="343"/>
    </row>
    <row r="69" spans="1:10" s="35" customFormat="1" ht="25.5" customHeight="1">
      <c r="A69" s="457"/>
      <c r="B69" s="289"/>
      <c r="C69" s="458" t="s">
        <v>474</v>
      </c>
      <c r="D69" s="410">
        <f>350000+175000+300000</f>
        <v>825000</v>
      </c>
      <c r="E69" s="3"/>
      <c r="F69" s="343"/>
      <c r="G69" s="343"/>
      <c r="H69" s="343"/>
      <c r="I69" s="343"/>
      <c r="J69" s="343"/>
    </row>
    <row r="70" spans="1:10" s="35" customFormat="1" ht="29.25" customHeight="1">
      <c r="A70" s="457"/>
      <c r="B70" s="289"/>
      <c r="C70" s="458" t="s">
        <v>519</v>
      </c>
      <c r="D70" s="410">
        <f>700000+200000</f>
        <v>900000</v>
      </c>
      <c r="E70" s="3"/>
      <c r="F70" s="343"/>
      <c r="G70" s="343"/>
      <c r="H70" s="343"/>
      <c r="I70" s="343"/>
      <c r="J70" s="343"/>
    </row>
    <row r="71" spans="1:10" s="35" customFormat="1" ht="24.75" customHeight="1">
      <c r="A71" s="457"/>
      <c r="B71" s="289"/>
      <c r="C71" s="459" t="s">
        <v>520</v>
      </c>
      <c r="D71" s="410">
        <f>350000+800000</f>
        <v>1150000</v>
      </c>
      <c r="E71" s="3"/>
      <c r="F71" s="343"/>
      <c r="G71" s="343"/>
      <c r="H71" s="343"/>
      <c r="I71" s="343"/>
      <c r="J71" s="343"/>
    </row>
    <row r="72" spans="1:10" s="35" customFormat="1" ht="30.75" customHeight="1">
      <c r="A72" s="457"/>
      <c r="B72" s="289"/>
      <c r="C72" s="458" t="s">
        <v>524</v>
      </c>
      <c r="D72" s="410">
        <v>170000</v>
      </c>
      <c r="E72" s="3"/>
      <c r="F72" s="343"/>
      <c r="G72" s="343"/>
      <c r="H72" s="343"/>
      <c r="I72" s="343"/>
      <c r="J72" s="343"/>
    </row>
    <row r="73" spans="1:10" s="35" customFormat="1" ht="23.25" customHeight="1">
      <c r="A73" s="457"/>
      <c r="B73" s="289"/>
      <c r="C73" s="459" t="s">
        <v>525</v>
      </c>
      <c r="D73" s="410">
        <f>200000+500000</f>
        <v>700000</v>
      </c>
      <c r="E73" s="3"/>
      <c r="F73" s="343"/>
      <c r="G73" s="343"/>
      <c r="H73" s="343"/>
      <c r="I73" s="343"/>
      <c r="J73" s="343"/>
    </row>
    <row r="74" spans="1:10" s="35" customFormat="1" ht="27" customHeight="1">
      <c r="A74" s="457"/>
      <c r="B74" s="289"/>
      <c r="C74" s="459" t="s">
        <v>526</v>
      </c>
      <c r="D74" s="410">
        <f>70000+100000</f>
        <v>170000</v>
      </c>
      <c r="E74" s="3"/>
      <c r="F74" s="343"/>
      <c r="G74" s="343"/>
      <c r="H74" s="343"/>
      <c r="I74" s="343"/>
      <c r="J74" s="343"/>
    </row>
    <row r="75" spans="1:10" s="35" customFormat="1" ht="23.25" customHeight="1">
      <c r="A75" s="457"/>
      <c r="B75" s="289"/>
      <c r="C75" s="459" t="s">
        <v>527</v>
      </c>
      <c r="D75" s="410">
        <f>20000+60000</f>
        <v>80000</v>
      </c>
      <c r="E75" s="3"/>
      <c r="F75" s="343"/>
      <c r="G75" s="343"/>
      <c r="H75" s="343"/>
      <c r="I75" s="343"/>
      <c r="J75" s="343"/>
    </row>
    <row r="76" spans="1:10" s="35" customFormat="1" ht="24" customHeight="1">
      <c r="A76" s="457"/>
      <c r="B76" s="289"/>
      <c r="C76" s="459" t="s">
        <v>18</v>
      </c>
      <c r="D76" s="410">
        <v>100000</v>
      </c>
      <c r="E76" s="3"/>
      <c r="F76" s="343"/>
      <c r="G76" s="343"/>
      <c r="H76" s="343"/>
      <c r="I76" s="343"/>
      <c r="J76" s="343"/>
    </row>
    <row r="77" spans="1:10" s="35" customFormat="1" ht="27" customHeight="1">
      <c r="A77" s="457"/>
      <c r="B77" s="289"/>
      <c r="C77" s="459" t="s">
        <v>528</v>
      </c>
      <c r="D77" s="410">
        <f>50000</f>
        <v>50000</v>
      </c>
      <c r="E77" s="3"/>
      <c r="F77" s="343"/>
      <c r="G77" s="343"/>
      <c r="H77" s="343"/>
      <c r="I77" s="343"/>
      <c r="J77" s="343"/>
    </row>
    <row r="78" spans="1:10" s="35" customFormat="1" ht="24.75" customHeight="1">
      <c r="A78" s="457"/>
      <c r="B78" s="289"/>
      <c r="C78" s="458" t="s">
        <v>529</v>
      </c>
      <c r="D78" s="410">
        <f>50000+50000</f>
        <v>100000</v>
      </c>
      <c r="E78" s="3"/>
      <c r="F78" s="343"/>
      <c r="G78" s="343"/>
      <c r="H78" s="343"/>
      <c r="I78" s="343"/>
      <c r="J78" s="343"/>
    </row>
    <row r="79" spans="1:10" s="35" customFormat="1" ht="28.5" customHeight="1">
      <c r="A79" s="457"/>
      <c r="B79" s="289"/>
      <c r="C79" s="458" t="s">
        <v>530</v>
      </c>
      <c r="D79" s="434">
        <f>130000</f>
        <v>130000</v>
      </c>
      <c r="E79" s="3"/>
      <c r="F79" s="343"/>
      <c r="G79" s="343"/>
      <c r="H79" s="343"/>
      <c r="I79" s="343"/>
      <c r="J79" s="343"/>
    </row>
    <row r="80" spans="1:10" s="35" customFormat="1" ht="24.75" customHeight="1">
      <c r="A80" s="457"/>
      <c r="B80" s="289"/>
      <c r="C80" s="460" t="s">
        <v>531</v>
      </c>
      <c r="D80" s="407">
        <v>600000</v>
      </c>
      <c r="E80" s="3"/>
      <c r="F80" s="343"/>
      <c r="G80" s="343"/>
      <c r="H80" s="343"/>
      <c r="I80" s="343"/>
      <c r="J80" s="343"/>
    </row>
    <row r="81" spans="1:10" s="35" customFormat="1" ht="28.5" customHeight="1">
      <c r="A81" s="461"/>
      <c r="B81" s="462"/>
      <c r="C81" s="458" t="s">
        <v>532</v>
      </c>
      <c r="D81" s="463">
        <v>250000</v>
      </c>
      <c r="E81" s="3"/>
      <c r="F81" s="343"/>
      <c r="G81" s="343"/>
      <c r="H81" s="343"/>
      <c r="I81" s="343"/>
      <c r="J81" s="343"/>
    </row>
    <row r="82" spans="1:10" s="35" customFormat="1" ht="37.5" customHeight="1">
      <c r="A82" s="320">
        <v>853</v>
      </c>
      <c r="B82" s="454" t="s">
        <v>304</v>
      </c>
      <c r="C82" s="445"/>
      <c r="D82" s="395">
        <f>SUM(D83:D83)</f>
        <v>308105</v>
      </c>
      <c r="E82" s="3"/>
      <c r="F82" s="343"/>
      <c r="G82" s="343"/>
      <c r="H82" s="343"/>
      <c r="I82" s="343"/>
      <c r="J82" s="343"/>
    </row>
    <row r="83" spans="1:10" s="173" customFormat="1" ht="36" customHeight="1">
      <c r="A83" s="422"/>
      <c r="B83" s="454"/>
      <c r="C83" s="464" t="s">
        <v>533</v>
      </c>
      <c r="D83" s="434">
        <v>308105</v>
      </c>
      <c r="E83" s="3"/>
      <c r="F83" s="465"/>
      <c r="G83" s="465"/>
      <c r="H83" s="465"/>
      <c r="I83" s="465"/>
      <c r="J83" s="465"/>
    </row>
    <row r="84" spans="1:10" s="35" customFormat="1" ht="33.75" customHeight="1">
      <c r="A84" s="466">
        <v>854</v>
      </c>
      <c r="B84" s="402" t="s">
        <v>534</v>
      </c>
      <c r="C84" s="243"/>
      <c r="D84" s="467">
        <f>D85</f>
        <v>1350000</v>
      </c>
      <c r="E84" s="405"/>
      <c r="F84" s="376"/>
      <c r="G84" s="343"/>
      <c r="H84" s="343"/>
      <c r="I84" s="343"/>
      <c r="J84" s="343"/>
    </row>
    <row r="85" spans="1:10" s="35" customFormat="1" ht="37.5" customHeight="1">
      <c r="A85" s="468"/>
      <c r="B85" s="469"/>
      <c r="C85" s="243" t="s">
        <v>535</v>
      </c>
      <c r="D85" s="407">
        <v>1350000</v>
      </c>
      <c r="E85" s="3"/>
      <c r="F85" s="343"/>
      <c r="G85" s="343"/>
      <c r="H85" s="343"/>
      <c r="I85" s="343"/>
      <c r="J85" s="343"/>
    </row>
    <row r="86" spans="1:10" s="35" customFormat="1" ht="26.25" customHeight="1">
      <c r="A86" s="397" t="s">
        <v>485</v>
      </c>
      <c r="B86" s="470"/>
      <c r="C86" s="471"/>
      <c r="D86" s="472">
        <f>D87+D90+D92</f>
        <v>1290000</v>
      </c>
      <c r="E86" s="3"/>
      <c r="F86" s="343"/>
      <c r="G86" s="343"/>
      <c r="H86" s="343"/>
      <c r="I86" s="343"/>
      <c r="J86" s="343"/>
    </row>
    <row r="87" spans="1:10" s="35" customFormat="1" ht="28.5" customHeight="1">
      <c r="A87" s="292">
        <v>630</v>
      </c>
      <c r="B87" s="473" t="s">
        <v>536</v>
      </c>
      <c r="C87" s="456" t="s">
        <v>75</v>
      </c>
      <c r="D87" s="395">
        <f>SUM(D88:D89)</f>
        <v>90000</v>
      </c>
      <c r="E87" s="3"/>
      <c r="F87" s="343"/>
      <c r="G87" s="343"/>
      <c r="H87" s="343"/>
      <c r="I87" s="343"/>
      <c r="J87" s="343"/>
    </row>
    <row r="88" spans="1:10" s="35" customFormat="1" ht="35.25" customHeight="1">
      <c r="A88" s="422"/>
      <c r="B88" s="474"/>
      <c r="C88" s="475" t="s">
        <v>537</v>
      </c>
      <c r="D88" s="434">
        <f>30000+30000</f>
        <v>60000</v>
      </c>
      <c r="E88" s="3"/>
      <c r="F88" s="376"/>
      <c r="G88" s="343"/>
      <c r="H88" s="343"/>
      <c r="I88" s="343"/>
      <c r="J88" s="343"/>
    </row>
    <row r="89" spans="1:10" s="35" customFormat="1" ht="30" customHeight="1">
      <c r="A89" s="326"/>
      <c r="B89" s="476"/>
      <c r="C89" s="431" t="s">
        <v>538</v>
      </c>
      <c r="D89" s="407">
        <v>30000</v>
      </c>
      <c r="E89" s="3"/>
      <c r="F89" s="343"/>
      <c r="G89" s="343"/>
      <c r="H89" s="343"/>
      <c r="I89" s="343"/>
      <c r="J89" s="343"/>
    </row>
    <row r="90" spans="1:10" s="35" customFormat="1" ht="26.25" customHeight="1">
      <c r="A90" s="228">
        <v>852</v>
      </c>
      <c r="B90" s="477" t="s">
        <v>416</v>
      </c>
      <c r="C90" s="445"/>
      <c r="D90" s="395">
        <f>SUM(D91:D91)</f>
        <v>200000</v>
      </c>
      <c r="E90" s="3"/>
      <c r="F90" s="343"/>
      <c r="G90" s="343"/>
      <c r="H90" s="343"/>
      <c r="I90" s="343"/>
      <c r="J90" s="343"/>
    </row>
    <row r="91" spans="1:5" s="35" customFormat="1" ht="29.25" customHeight="1">
      <c r="A91" s="279"/>
      <c r="B91" s="279"/>
      <c r="C91" s="464" t="s">
        <v>539</v>
      </c>
      <c r="D91" s="407">
        <v>200000</v>
      </c>
      <c r="E91" s="400"/>
    </row>
    <row r="92" spans="1:5" s="35" customFormat="1" ht="32.25" customHeight="1">
      <c r="A92" s="320">
        <v>853</v>
      </c>
      <c r="B92" s="454" t="s">
        <v>304</v>
      </c>
      <c r="C92" s="464"/>
      <c r="D92" s="404">
        <f>D93</f>
        <v>1000000</v>
      </c>
      <c r="E92" s="400"/>
    </row>
    <row r="93" spans="1:6" s="35" customFormat="1" ht="33.75" customHeight="1">
      <c r="A93" s="478"/>
      <c r="B93" s="478"/>
      <c r="C93" s="464" t="s">
        <v>540</v>
      </c>
      <c r="D93" s="407">
        <v>1000000</v>
      </c>
      <c r="E93" s="400"/>
      <c r="F93" s="391"/>
    </row>
    <row r="94" spans="1:6" s="35" customFormat="1" ht="29.25" customHeight="1">
      <c r="A94" s="856" t="s">
        <v>541</v>
      </c>
      <c r="B94" s="857"/>
      <c r="C94" s="858"/>
      <c r="D94" s="479">
        <f>D13+D62</f>
        <v>20101385.07</v>
      </c>
      <c r="E94" s="400"/>
      <c r="F94" s="396"/>
    </row>
    <row r="95" spans="3:6" s="35" customFormat="1" ht="12.75">
      <c r="C95" s="170"/>
      <c r="E95" s="400"/>
      <c r="F95" s="3"/>
    </row>
    <row r="96" spans="3:5" s="35" customFormat="1" ht="12.75">
      <c r="C96" s="170"/>
      <c r="E96" s="3"/>
    </row>
    <row r="97" spans="3:5" s="35" customFormat="1" ht="12.75">
      <c r="C97" s="170"/>
      <c r="E97" s="3"/>
    </row>
    <row r="98" spans="3:5" s="35" customFormat="1" ht="12.75">
      <c r="C98" s="170"/>
      <c r="E98" s="3"/>
    </row>
    <row r="99" spans="3:5" s="35" customFormat="1" ht="12.75">
      <c r="C99" s="170"/>
      <c r="E99" s="3"/>
    </row>
    <row r="100" spans="3:5" s="35" customFormat="1" ht="12.75">
      <c r="C100" s="170"/>
      <c r="E100" s="3"/>
    </row>
    <row r="101" spans="3:5" s="35" customFormat="1" ht="12.75">
      <c r="C101" s="170"/>
      <c r="E101" s="3"/>
    </row>
    <row r="102" spans="3:5" s="35" customFormat="1" ht="12.75">
      <c r="C102" s="170"/>
      <c r="E102" s="3"/>
    </row>
    <row r="103" spans="3:5" s="35" customFormat="1" ht="12.75">
      <c r="C103" s="170"/>
      <c r="E103" s="3"/>
    </row>
    <row r="104" spans="3:5" s="35" customFormat="1" ht="12.75">
      <c r="C104" s="170"/>
      <c r="E104" s="3"/>
    </row>
    <row r="105" spans="3:5" s="35" customFormat="1" ht="12.75">
      <c r="C105" s="170"/>
      <c r="E105" s="3"/>
    </row>
    <row r="106" spans="3:5" s="35" customFormat="1" ht="12.75">
      <c r="C106" s="170"/>
      <c r="E106" s="3"/>
    </row>
    <row r="107" spans="3:5" s="35" customFormat="1" ht="12.75">
      <c r="C107" s="170"/>
      <c r="E107" s="3"/>
    </row>
    <row r="108" spans="3:5" s="35" customFormat="1" ht="12.75">
      <c r="C108" s="170"/>
      <c r="E108" s="3"/>
    </row>
    <row r="109" spans="3:5" s="35" customFormat="1" ht="12.75">
      <c r="C109" s="170"/>
      <c r="E109" s="3"/>
    </row>
    <row r="110" spans="3:5" s="35" customFormat="1" ht="12.75">
      <c r="C110" s="170"/>
      <c r="E110" s="3"/>
    </row>
    <row r="111" spans="3:5" s="35" customFormat="1" ht="12.75">
      <c r="C111" s="170"/>
      <c r="E111" s="3"/>
    </row>
    <row r="112" spans="3:5" s="35" customFormat="1" ht="12.75">
      <c r="C112" s="170"/>
      <c r="E112" s="3"/>
    </row>
  </sheetData>
  <mergeCells count="1">
    <mergeCell ref="A94:C94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D35" sqref="D35"/>
    </sheetView>
  </sheetViews>
  <sheetFormatPr defaultColWidth="9.140625" defaultRowHeight="12.75"/>
  <cols>
    <col min="1" max="1" width="5.421875" style="2" customWidth="1"/>
    <col min="2" max="2" width="30.7109375" style="2" customWidth="1"/>
    <col min="3" max="3" width="33.57421875" style="2" customWidth="1"/>
    <col min="4" max="4" width="19.7109375" style="2" customWidth="1"/>
    <col min="5" max="5" width="17.8515625" style="4" customWidth="1"/>
    <col min="6" max="6" width="24.7109375" style="2" customWidth="1"/>
    <col min="7" max="7" width="9.140625" style="2" customWidth="1"/>
    <col min="8" max="8" width="8.8515625" style="2" customWidth="1"/>
    <col min="9" max="16384" width="9.140625" style="2" customWidth="1"/>
  </cols>
  <sheetData>
    <row r="1" spans="3:6" ht="19.5" customHeight="1">
      <c r="C1" s="641" t="s">
        <v>640</v>
      </c>
      <c r="F1" s="641"/>
    </row>
    <row r="2" spans="3:6" ht="23.25" customHeight="1">
      <c r="C2" s="518" t="s">
        <v>653</v>
      </c>
      <c r="F2" s="518"/>
    </row>
    <row r="3" spans="3:6" ht="21.75" customHeight="1">
      <c r="C3" s="518" t="s">
        <v>145</v>
      </c>
      <c r="F3" s="518"/>
    </row>
    <row r="4" spans="3:6" ht="21" customHeight="1">
      <c r="C4" s="518" t="s">
        <v>585</v>
      </c>
      <c r="F4" s="518"/>
    </row>
    <row r="5" spans="3:6" ht="21" customHeight="1">
      <c r="C5" s="518"/>
      <c r="F5" s="518"/>
    </row>
    <row r="6" ht="18" customHeight="1">
      <c r="C6" s="642"/>
    </row>
    <row r="7" spans="1:5" s="26" customFormat="1" ht="17.25" customHeight="1">
      <c r="A7" s="385" t="s">
        <v>607</v>
      </c>
      <c r="B7" s="385"/>
      <c r="C7" s="643"/>
      <c r="D7" s="2"/>
      <c r="E7" s="644"/>
    </row>
    <row r="8" spans="1:5" s="26" customFormat="1" ht="17.25" customHeight="1">
      <c r="A8" s="385" t="s">
        <v>608</v>
      </c>
      <c r="B8" s="385"/>
      <c r="C8" s="643"/>
      <c r="D8" s="2"/>
      <c r="E8" s="644"/>
    </row>
    <row r="9" spans="1:3" ht="17.25" customHeight="1">
      <c r="A9" s="385" t="s">
        <v>609</v>
      </c>
      <c r="B9" s="385"/>
      <c r="C9" s="643"/>
    </row>
    <row r="10" spans="1:3" ht="17.25" customHeight="1">
      <c r="A10" s="385"/>
      <c r="B10" s="385"/>
      <c r="C10" s="643"/>
    </row>
    <row r="11" spans="1:2" ht="13.5">
      <c r="A11" s="92" t="s">
        <v>75</v>
      </c>
      <c r="B11" s="387"/>
    </row>
    <row r="12" spans="3:4" ht="11.25" customHeight="1">
      <c r="C12" s="645"/>
      <c r="D12" s="646" t="s">
        <v>155</v>
      </c>
    </row>
    <row r="13" spans="1:4" ht="29.25" customHeight="1">
      <c r="A13" s="256" t="s">
        <v>158</v>
      </c>
      <c r="B13" s="256" t="s">
        <v>468</v>
      </c>
      <c r="C13" s="256" t="s">
        <v>469</v>
      </c>
      <c r="D13" s="390" t="s">
        <v>470</v>
      </c>
    </row>
    <row r="14" spans="1:4" ht="24" customHeight="1">
      <c r="A14" s="446" t="s">
        <v>471</v>
      </c>
      <c r="B14" s="647"/>
      <c r="C14" s="648"/>
      <c r="D14" s="649">
        <f>D15+D19+D22</f>
        <v>15905994.64</v>
      </c>
    </row>
    <row r="15" spans="1:5" s="629" customFormat="1" ht="24" customHeight="1">
      <c r="A15" s="450" t="s">
        <v>610</v>
      </c>
      <c r="B15" s="650"/>
      <c r="C15" s="651"/>
      <c r="D15" s="652">
        <f>D16</f>
        <v>4885000</v>
      </c>
      <c r="E15" s="63"/>
    </row>
    <row r="16" spans="1:6" ht="37.5" customHeight="1">
      <c r="A16" s="653">
        <v>921</v>
      </c>
      <c r="B16" s="428" t="s">
        <v>508</v>
      </c>
      <c r="C16" s="654"/>
      <c r="D16" s="649">
        <f>D17+D18</f>
        <v>4885000</v>
      </c>
      <c r="F16" s="655"/>
    </row>
    <row r="17" spans="1:6" ht="22.5" customHeight="1">
      <c r="A17" s="656"/>
      <c r="B17" s="657"/>
      <c r="C17" s="658" t="s">
        <v>611</v>
      </c>
      <c r="D17" s="407">
        <f>3496900+10000+15000</f>
        <v>3521900</v>
      </c>
      <c r="F17" s="655"/>
    </row>
    <row r="18" spans="1:6" ht="22.5" customHeight="1">
      <c r="A18" s="637"/>
      <c r="B18" s="638"/>
      <c r="C18" s="658" t="s">
        <v>612</v>
      </c>
      <c r="D18" s="419">
        <f>1253100+50000+60000</f>
        <v>1363100</v>
      </c>
      <c r="F18" s="655"/>
    </row>
    <row r="19" spans="1:6" ht="29.25" customHeight="1">
      <c r="A19" s="450" t="s">
        <v>613</v>
      </c>
      <c r="B19" s="639"/>
      <c r="C19" s="658"/>
      <c r="D19" s="652">
        <f>D20</f>
        <v>10903932.14</v>
      </c>
      <c r="F19" s="655"/>
    </row>
    <row r="20" spans="1:6" ht="27" customHeight="1">
      <c r="A20" s="659">
        <v>600</v>
      </c>
      <c r="B20" s="477" t="s">
        <v>168</v>
      </c>
      <c r="C20" s="658"/>
      <c r="D20" s="649">
        <f>D21</f>
        <v>10903932.14</v>
      </c>
      <c r="F20" s="655"/>
    </row>
    <row r="21" spans="1:6" ht="30.75" customHeight="1">
      <c r="A21" s="660"/>
      <c r="B21" s="661"/>
      <c r="C21" s="431" t="s">
        <v>614</v>
      </c>
      <c r="D21" s="410">
        <f>10995992.22-92060.08</f>
        <v>10903932.14</v>
      </c>
      <c r="F21" s="655"/>
    </row>
    <row r="22" spans="1:6" ht="29.25" customHeight="1">
      <c r="A22" s="397" t="s">
        <v>485</v>
      </c>
      <c r="B22" s="662"/>
      <c r="C22" s="654"/>
      <c r="D22" s="652">
        <f>D23+D25+D27</f>
        <v>117062.5</v>
      </c>
      <c r="F22" s="655"/>
    </row>
    <row r="23" spans="1:6" ht="29.25" customHeight="1">
      <c r="A23" s="228">
        <v>851</v>
      </c>
      <c r="B23" s="682" t="s">
        <v>299</v>
      </c>
      <c r="C23" s="679"/>
      <c r="D23" s="649">
        <f>D24</f>
        <v>100000</v>
      </c>
      <c r="F23" s="655"/>
    </row>
    <row r="24" spans="1:6" ht="57.75" customHeight="1">
      <c r="A24" s="680"/>
      <c r="B24" s="679"/>
      <c r="C24" s="445" t="s">
        <v>641</v>
      </c>
      <c r="D24" s="681">
        <v>100000</v>
      </c>
      <c r="F24" s="655"/>
    </row>
    <row r="25" spans="1:6" ht="37.5" customHeight="1">
      <c r="A25" s="833">
        <v>853</v>
      </c>
      <c r="B25" s="834" t="s">
        <v>304</v>
      </c>
      <c r="C25" s="832"/>
      <c r="D25" s="835">
        <f>D26</f>
        <v>5062.5</v>
      </c>
      <c r="F25" s="655"/>
    </row>
    <row r="26" spans="1:6" ht="57.75" customHeight="1">
      <c r="A26" s="680"/>
      <c r="B26" s="679"/>
      <c r="C26" s="832" t="s">
        <v>3</v>
      </c>
      <c r="D26" s="846">
        <v>5062.5</v>
      </c>
      <c r="F26" s="655"/>
    </row>
    <row r="27" spans="1:6" ht="34.5" customHeight="1">
      <c r="A27" s="292">
        <v>900</v>
      </c>
      <c r="B27" s="663" t="s">
        <v>615</v>
      </c>
      <c r="C27" s="658"/>
      <c r="D27" s="616">
        <f>D28</f>
        <v>12000</v>
      </c>
      <c r="F27" s="655"/>
    </row>
    <row r="28" spans="1:10" ht="42.75" customHeight="1">
      <c r="A28" s="656"/>
      <c r="B28" s="664"/>
      <c r="C28" s="381" t="s">
        <v>505</v>
      </c>
      <c r="D28" s="442">
        <v>12000</v>
      </c>
      <c r="E28" s="1"/>
      <c r="F28" s="45"/>
      <c r="G28" s="45"/>
      <c r="H28" s="45"/>
      <c r="I28" s="45"/>
      <c r="J28" s="45"/>
    </row>
    <row r="29" spans="1:10" ht="30.75" customHeight="1">
      <c r="A29" s="446" t="s">
        <v>514</v>
      </c>
      <c r="B29" s="665"/>
      <c r="C29" s="666"/>
      <c r="D29" s="421">
        <f>D30+D33</f>
        <v>4737600</v>
      </c>
      <c r="E29" s="667"/>
      <c r="F29" s="45"/>
      <c r="G29" s="45"/>
      <c r="H29" s="45"/>
      <c r="I29" s="45"/>
      <c r="J29" s="45"/>
    </row>
    <row r="30" spans="1:10" ht="33" customHeight="1">
      <c r="A30" s="668" t="s">
        <v>610</v>
      </c>
      <c r="B30" s="669"/>
      <c r="C30" s="670"/>
      <c r="D30" s="671">
        <f>D31</f>
        <v>2612200</v>
      </c>
      <c r="E30" s="667"/>
      <c r="F30" s="45"/>
      <c r="G30" s="45"/>
      <c r="H30" s="45"/>
      <c r="I30" s="45"/>
      <c r="J30" s="45"/>
    </row>
    <row r="31" spans="1:5" ht="33.75" customHeight="1">
      <c r="A31" s="659">
        <v>921</v>
      </c>
      <c r="B31" s="428" t="s">
        <v>508</v>
      </c>
      <c r="C31" s="448"/>
      <c r="D31" s="672">
        <f>D32</f>
        <v>2612200</v>
      </c>
      <c r="E31" s="63"/>
    </row>
    <row r="32" spans="1:5" ht="26.25" customHeight="1">
      <c r="A32" s="673"/>
      <c r="B32" s="429"/>
      <c r="C32" s="431" t="s">
        <v>616</v>
      </c>
      <c r="D32" s="407">
        <f>2610000+2200</f>
        <v>2612200</v>
      </c>
      <c r="E32" s="54"/>
    </row>
    <row r="33" spans="1:5" ht="30.75" customHeight="1">
      <c r="A33" s="397" t="s">
        <v>485</v>
      </c>
      <c r="B33" s="674"/>
      <c r="C33" s="431"/>
      <c r="D33" s="472">
        <f>D34+D37</f>
        <v>2125400</v>
      </c>
      <c r="E33" s="54"/>
    </row>
    <row r="34" spans="1:5" ht="21" customHeight="1">
      <c r="A34" s="664">
        <v>852</v>
      </c>
      <c r="B34" s="474" t="s">
        <v>416</v>
      </c>
      <c r="C34" s="445"/>
      <c r="D34" s="395">
        <f>D35+D36</f>
        <v>975400</v>
      </c>
      <c r="E34" s="54"/>
    </row>
    <row r="35" spans="1:5" ht="39.75" customHeight="1">
      <c r="A35" s="657"/>
      <c r="B35" s="675"/>
      <c r="C35" s="464" t="s">
        <v>617</v>
      </c>
      <c r="D35" s="791">
        <f>558000+10400</f>
        <v>568400</v>
      </c>
      <c r="E35" s="54"/>
    </row>
    <row r="36" spans="1:5" ht="36">
      <c r="A36" s="638"/>
      <c r="B36" s="676"/>
      <c r="C36" s="464" t="s">
        <v>618</v>
      </c>
      <c r="D36" s="407">
        <v>407000</v>
      </c>
      <c r="E36" s="1"/>
    </row>
    <row r="37" spans="1:5" ht="30" customHeight="1">
      <c r="A37" s="677">
        <v>853</v>
      </c>
      <c r="B37" s="678" t="s">
        <v>304</v>
      </c>
      <c r="C37" s="464"/>
      <c r="D37" s="395">
        <f>D38</f>
        <v>1150000</v>
      </c>
      <c r="E37" s="1"/>
    </row>
    <row r="38" spans="1:5" ht="30.75" customHeight="1">
      <c r="A38" s="679"/>
      <c r="B38" s="307"/>
      <c r="C38" s="464" t="s">
        <v>639</v>
      </c>
      <c r="D38" s="407">
        <v>1150000</v>
      </c>
      <c r="E38" s="1"/>
    </row>
    <row r="39" spans="1:5" ht="27.75" customHeight="1">
      <c r="A39" s="859" t="s">
        <v>541</v>
      </c>
      <c r="B39" s="860"/>
      <c r="C39" s="858"/>
      <c r="D39" s="479">
        <f>D14+D29</f>
        <v>20643594.64</v>
      </c>
      <c r="E39" s="1"/>
    </row>
    <row r="40" spans="4:5" ht="15.75">
      <c r="D40" s="1"/>
      <c r="E40" s="1"/>
    </row>
    <row r="41" ht="15.75">
      <c r="D41" s="1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</sheetData>
  <mergeCells count="1">
    <mergeCell ref="A39:C39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40" sqref="L40"/>
    </sheetView>
  </sheetViews>
  <sheetFormatPr defaultColWidth="9.140625" defaultRowHeight="12.75"/>
  <cols>
    <col min="1" max="16384" width="9.140625" style="45" customWidth="1"/>
  </cols>
  <sheetData/>
  <printOptions/>
  <pageMargins left="0.1968503937007874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IKawalkiewicz</cp:lastModifiedBy>
  <cp:lastPrinted>2013-06-17T12:01:24Z</cp:lastPrinted>
  <dcterms:created xsi:type="dcterms:W3CDTF">2009-03-04T08:33:11Z</dcterms:created>
  <dcterms:modified xsi:type="dcterms:W3CDTF">2013-06-18T12:13:04Z</dcterms:modified>
  <cp:category/>
  <cp:version/>
  <cp:contentType/>
  <cp:contentStatus/>
</cp:coreProperties>
</file>