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440" windowHeight="7680" tabRatio="601" activeTab="2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5" r:id="rId5"/>
    <sheet name="Tabela nr 6" sheetId="6" r:id="rId6"/>
    <sheet name="Tabela nr 7" sheetId="7" r:id="rId7"/>
    <sheet name="Tabela nr 8" sheetId="8" r:id="rId8"/>
    <sheet name="Tabela nr 9" sheetId="9" r:id="rId9"/>
    <sheet name="Tabela nr 10" sheetId="10" r:id="rId10"/>
    <sheet name="Tabela nr 11" sheetId="11" r:id="rId11"/>
    <sheet name="Tabela nr 12" sheetId="12" r:id="rId12"/>
    <sheet name="Wolny 1" sheetId="13" r:id="rId13"/>
    <sheet name="Wolny" sheetId="14" r:id="rId14"/>
  </sheets>
  <definedNames>
    <definedName name="_xlnm.Print_Titles" localSheetId="0">'Tabela nr 1'!$9:$11</definedName>
    <definedName name="_xlnm.Print_Titles" localSheetId="9">'Tabela nr 10'!$10:$10</definedName>
    <definedName name="_xlnm.Print_Titles" localSheetId="1">'Tabela nr 2'!$9:$11</definedName>
    <definedName name="_xlnm.Print_Titles" localSheetId="2">'Tabela nr 3'!$8:$10</definedName>
    <definedName name="_xlnm.Print_Titles" localSheetId="3">'Tabela nr 4'!$8:$8</definedName>
    <definedName name="_xlnm.Print_Titles" localSheetId="4">'Tabela nr 5'!$12:$12</definedName>
    <definedName name="_xlnm.Print_Titles" localSheetId="8">'Tabela nr 9'!$10:$10</definedName>
  </definedNames>
  <calcPr fullCalcOnLoad="1"/>
</workbook>
</file>

<file path=xl/sharedStrings.xml><?xml version="1.0" encoding="utf-8"?>
<sst xmlns="http://schemas.openxmlformats.org/spreadsheetml/2006/main" count="3033" uniqueCount="1042">
  <si>
    <t xml:space="preserve">sygnalizacja świetlna oraz doświetlenie 3 przejść dla pieszych  – rejon ul. Gosławickiej,  ul. Jędrzejewskiego, przy wjeździe do ZE PAK
</t>
  </si>
  <si>
    <t xml:space="preserve">Budowa  sygnalizacji świetlnej na skrzyżowaniu ulic Zagórowska - Pułaskiego  - Marii  Dąbrowskiej
</t>
  </si>
  <si>
    <t>sygnalizacja świetlna</t>
  </si>
  <si>
    <t>Doświetlenie przejść dla pieszych w Koninie</t>
  </si>
  <si>
    <t xml:space="preserve">ul. Przemysłowa (dawny 
Konwart); ul.Przemysłowa  - ul. Jeziorna; ul. Przemysłowa – Maliniec  (2 przejścia – rejon ul. Zapłocie i  ul. Malinieckiej); 
ul. Przemysłowa – Gaj; ul. Ślesińska - Cukrownia
</t>
  </si>
  <si>
    <t>Budowa oświetlenia ul. Żwirki i Wigury w Koninie</t>
  </si>
  <si>
    <t>oświetlenie uliczne</t>
  </si>
  <si>
    <t>Modernizacja oświetlenia ulicznego miasta  Konina na energooszczędne</t>
  </si>
  <si>
    <t>wymiana lamp</t>
  </si>
  <si>
    <t>2013/2015</t>
  </si>
  <si>
    <t>Przebudowa - likwidacja kolizji sieci elektroenergetycznej obręb Maliniec</t>
  </si>
  <si>
    <t xml:space="preserve">likwidacja kolizji sieci elektroenergetycznej </t>
  </si>
  <si>
    <t>opracowano projekt likwidacji kolizji sieci</t>
  </si>
  <si>
    <t>Budowa oświetlenia na ul. Kanałowej w Koninie</t>
  </si>
  <si>
    <t xml:space="preserve">Budowa oświetlenia ulicznego Al.. Cukrownicza, ul. Pałacowa, ul. 150-lecia, ul. Kortowa
</t>
  </si>
  <si>
    <t>Wniesienie wkładu pieniężnego na opracowanie dokumentacji na budowę kanalizacji sanitarnej osiedle Morzysław II etap i sieci wodociągowej w ulicy Staromorzysławskiej</t>
  </si>
  <si>
    <t>opracowanie dokumentacji projektowej</t>
  </si>
  <si>
    <t>Wniesienie wkładu pieniężnego na budowę sieci kanalizacji sanitarnej i wodociągu w ulicy Rudzickiej</t>
  </si>
  <si>
    <t>budowa sieci kanalizacji sanitarnej i wodociągu</t>
  </si>
  <si>
    <t>Wniesienie wkładu pieniężnego na budowę kanalizacji sanitarnej w ulicy Magnoliowej</t>
  </si>
  <si>
    <t xml:space="preserve">budowa sieci kanalizacji sanitarnej </t>
  </si>
  <si>
    <t>Wniesienie wkładu pieniężnego na budowę wodociągu w ulicy Piaskowej, Borowej i Świerkowej</t>
  </si>
  <si>
    <t>budowa  wodociągu</t>
  </si>
  <si>
    <t>Wniesienie wkładu pieniężnego na opracowanie dokumentacji projektowej na budowę kanalizacji sanitarnej os. Wilków V etap (ul. Topolowa, Jarzębinowa)</t>
  </si>
  <si>
    <t>Budowa kanalizacji deszczowej na terenie osiedla Pątnów  w Koninie</t>
  </si>
  <si>
    <t>dokumentacja projektowo-kosztorysowa</t>
  </si>
  <si>
    <t>Budowa chodnika ze schodami przy ul. Paderewskiego w Koninie(za przystankiem nr 336-02)</t>
  </si>
  <si>
    <t>budowa chodnika ze schodami</t>
  </si>
  <si>
    <t>Budowa placów zabaw w mieście Koninie</t>
  </si>
  <si>
    <t>place zabaw</t>
  </si>
  <si>
    <t>opracowano dokumentację projektowo-kosztorysową na budowę placu zabaw przy ul. Paderewskiego w Koninie przy Galerii nad jeziorem</t>
  </si>
  <si>
    <t>Budowa kanalizacji deszczowej w rejonie ulicy Gajowej w Koninie</t>
  </si>
  <si>
    <t>Przygotowanie terenów inwestycyjnych w obrębie Konin - Międzylesie</t>
  </si>
  <si>
    <t>opracowanie studyjno-koncepcyjne, opracowanie dokumentacji projektowej</t>
  </si>
  <si>
    <t>2011/2013</t>
  </si>
  <si>
    <t>Budowa przyłączy kanalizacyjnych i przyłączenie nieruchomości do miejskiej sieci kanalizacyjnej</t>
  </si>
  <si>
    <t>przyłącza kanalizacyjne</t>
  </si>
  <si>
    <t>zawarto 23 umowy dotacji celowych na finansowanie lub dofinansowanie budowy przyłączy kanalizacyjnych i przyłączenia nieruchomości do miejskiej sieci kanalizacyjnej</t>
  </si>
  <si>
    <t>Kultura i ochrona dziedzictwa narodowego</t>
  </si>
  <si>
    <t>Adaptacja pomieszczeń budynku Klubu Energetyk na potrzeby Młodzieżowego Domu Kultury w Koninie</t>
  </si>
  <si>
    <t xml:space="preserve">adaptacja pomieszczeń budynku </t>
  </si>
  <si>
    <t>Wykonanie klimatyzacji pomieszczenia Strefy K oraz modernizacja central klimatyzacyjnych sali widowiskowej</t>
  </si>
  <si>
    <t>wykonanie klimatyzacji  oraz modernizacja central klimatyzacyjnych</t>
  </si>
  <si>
    <t>Wykonanie piłkochwytów przy boisku ORLIK 2012 przy Gimnazjum nr 3 na os. Chorzeń</t>
  </si>
  <si>
    <t>podwyższenie istniejących piłkochwytów</t>
  </si>
  <si>
    <t>wykonano podwyższenie istniejących piłkochwytów</t>
  </si>
  <si>
    <t>Dokumentacja przyszłościowa na budowę boiska przy Gimnazjum                      nr 7 ul. Kard.Wyszyńskiego</t>
  </si>
  <si>
    <t xml:space="preserve">zawarto umowę na opracowanie dokumentacji projektowej </t>
  </si>
  <si>
    <t xml:space="preserve">Instytucje kultury fizycznej </t>
  </si>
  <si>
    <t>Wykonanie siłowni terenowej na osiedlu Zatorze</t>
  </si>
  <si>
    <t>siłownia terenowa</t>
  </si>
  <si>
    <t>środków funduszy strukturalnych, EFS, WRPO oraz innych* w 2013 roku</t>
  </si>
  <si>
    <t>Lp</t>
  </si>
  <si>
    <t>Nazwa Projektu</t>
  </si>
  <si>
    <t>Realizujący</t>
  </si>
  <si>
    <t>zminy w ciągu roku</t>
  </si>
  <si>
    <t>Wielkość zminay wprowadzona uchwałą/ zarządzeniem</t>
  </si>
  <si>
    <t>Budżet Uchwalony - Uchwała  nr 506 RMK z dnia 19.12.2012r.</t>
  </si>
  <si>
    <t>Uchwała  nr 513 RMK z dnia 30.01.2013r.</t>
  </si>
  <si>
    <t>Zarządzenie Nr 13/2013 PMK z dnia 07.02.2013r.</t>
  </si>
  <si>
    <t>Zarządzenie Nr 14/2013 PMK z dnia 15.02.2013r.</t>
  </si>
  <si>
    <t>Uchwała Nr 522 RMK z dnia 27.02.2013r.</t>
  </si>
  <si>
    <t>Uchwała Nr 540 RMK z dnia 27.03.2013r.</t>
  </si>
  <si>
    <t>Uchwała Nr 559 RMK z dnia 24.04.2013r.</t>
  </si>
  <si>
    <t>Zarządzenie Nr 46/2013 PMK z dnia 25.04.2013r.</t>
  </si>
  <si>
    <t>Zarządzenie Nr 58/2013 PMK z dnia 24.05.2013r.</t>
  </si>
  <si>
    <t>Uchwała Nr 574 RMK z dnia 29.05.2013r.</t>
  </si>
  <si>
    <t>Zarządzenie Nr 67/2013 PMK z dnia 14.06.2013r.</t>
  </si>
  <si>
    <t>Uchwała Nr 592 RMK z dnia 26.06.2013r.</t>
  </si>
  <si>
    <t>część gminna</t>
  </si>
  <si>
    <t>Budżet Uchwalony</t>
  </si>
  <si>
    <t>1 zmiana</t>
  </si>
  <si>
    <t>2 zmiana</t>
  </si>
  <si>
    <t>3 zmiana</t>
  </si>
  <si>
    <t>4 zmiana</t>
  </si>
  <si>
    <t>5 zmiana</t>
  </si>
  <si>
    <t>6 zmiana</t>
  </si>
  <si>
    <t>7 zmiana</t>
  </si>
  <si>
    <t>8 zmiana</t>
  </si>
  <si>
    <t>9 zmiana</t>
  </si>
  <si>
    <t>10 zmiana</t>
  </si>
  <si>
    <t>11 zmiana</t>
  </si>
  <si>
    <t>"Wykorzystaj swoją szansę!"</t>
  </si>
  <si>
    <t>po zmianach</t>
  </si>
  <si>
    <t xml:space="preserve">zmniejszenia </t>
  </si>
  <si>
    <t>zwiększenia</t>
  </si>
  <si>
    <t>uwagi</t>
  </si>
  <si>
    <t>wpr. do budżetu</t>
  </si>
  <si>
    <t>"Dobry pomysł na firmę - wspomagamy przedsiębiorczość w Koninie"</t>
  </si>
  <si>
    <t>"PI Wsparcie rozwoju narzędzi związanych z kontraktowaniem usług społecznych w Koninie"</t>
  </si>
  <si>
    <t>"Edukacja wczesnoszkolna na dobry początek"</t>
  </si>
  <si>
    <t>"Przygotowanie terenów inwestycyjnych w obrębie Konin- Międzylesie - działania studyjno- koncepcyjne)"</t>
  </si>
  <si>
    <t>"W Bajkowym Ogrodzie"</t>
  </si>
  <si>
    <t>P25</t>
  </si>
  <si>
    <t>"Bajkowa kraina bez barier"</t>
  </si>
  <si>
    <t>UM/Niepub. Przedszk.</t>
  </si>
  <si>
    <t>"Dokształcanie to twoja szansa"</t>
  </si>
  <si>
    <t>P2</t>
  </si>
  <si>
    <t>"W drodze do wiedzy"</t>
  </si>
  <si>
    <t>P32</t>
  </si>
  <si>
    <t>"Pierwsze kroki w edukacji"</t>
  </si>
  <si>
    <t>"Jesteś przedsiębiorczy! Zacznij działać już dziś w Koninie'</t>
  </si>
  <si>
    <t>"Nowe możliwości zawodowe - Twoja szansa na konińskim rynku pracy"</t>
  </si>
  <si>
    <t>"Dobre przedszkole na dobry start"</t>
  </si>
  <si>
    <t>P4</t>
  </si>
  <si>
    <t>"Eko dzieci- eko rodzice" Comenius</t>
  </si>
  <si>
    <t>"Klub dziecięcy - mama wraca do pracy""</t>
  </si>
  <si>
    <t>P 32</t>
  </si>
  <si>
    <t>"Twoja firma - wspomagamy przedsiębiorczość w Koninie"</t>
  </si>
  <si>
    <t>Twój zawód, Twoja praca - poprawa dostępu do zatrudnienia na konińskim rynku pracy"</t>
  </si>
  <si>
    <t>"Słoneczny świat przedszkolaka"</t>
  </si>
  <si>
    <t>P10</t>
  </si>
  <si>
    <t>"Wszystko zaczyna się od przedszkola"</t>
  </si>
  <si>
    <t>P14</t>
  </si>
  <si>
    <t>część powiatowa</t>
  </si>
  <si>
    <t>"Podnoszenie kwalifikacji dla kadry pedagogicznej szkół subregionu konińskiego"</t>
  </si>
  <si>
    <t>MODN</t>
  </si>
  <si>
    <t>"Startuj z nami w przyszłość"</t>
  </si>
  <si>
    <t>"Wykwalifikowana kadra w Koperniku"</t>
  </si>
  <si>
    <t>ZS im. Kopernika</t>
  </si>
  <si>
    <t>"Zawodowcy z Kopernika"</t>
  </si>
  <si>
    <t>"W poszukiwaniu europejskiej pamięci" Comenius</t>
  </si>
  <si>
    <t>IL</t>
  </si>
  <si>
    <t>"Kompleksowa promocja markowego produktu turystyki wodnej Wielka Pętla Wielkopolski</t>
  </si>
  <si>
    <t>"Mistrz w zawodzie - praktyki zagraniczne dla uczniówZSB"</t>
  </si>
  <si>
    <t>ZSB</t>
  </si>
  <si>
    <t>Łączne planowane wydatki:</t>
  </si>
  <si>
    <t>TABELA nr 12</t>
  </si>
  <si>
    <t>*zgdnie z art. 5 ust. 1 pkt 2 i 3  Ustawy z dnia 27 sierpnia 2009r. o finansach publicznych (Dz.U.nr 157 poz. 1240)</t>
  </si>
  <si>
    <t>TABELA nr  8</t>
  </si>
  <si>
    <t>Nagrody o charakterze szczególnym niezaliczone do wynagrodzeń</t>
  </si>
  <si>
    <t>Zarządzanie energią w budynkach użyteczności publicznej w Koninie - pożyczka</t>
  </si>
  <si>
    <t>Dotacja podmiotowa z budżetu dla publicznej jednostki systemu oświaty prowadzonej przez osobę prawną inną niż jednostka samorządu terytorialnego lub przez osobę fizyczną</t>
  </si>
  <si>
    <t>Stołówki szkolne i  przedszkolne</t>
  </si>
  <si>
    <t>Usługi opiekuńcze i  specjalistyczne usługi opiekuńcze</t>
  </si>
  <si>
    <t>O960</t>
  </si>
  <si>
    <t>Otrzymane spadki, zapisy i darowizny w postaci pieniężnej</t>
  </si>
  <si>
    <t>Żłobki</t>
  </si>
  <si>
    <t>Ośrodki informacji turystycznej</t>
  </si>
  <si>
    <t>Instytucje kultury fizycznej</t>
  </si>
  <si>
    <t>RAZEM  zadania gminy</t>
  </si>
  <si>
    <t>Dotacje celowe otrzymane z budżetu państwa na zadania bieżące z zakresu administracji rządowej oraz inne zadania zlecone  ustawami realizowane przez powiat</t>
  </si>
  <si>
    <t>Prace geodezyjne i kartograficzne (nieinwestycyjne)</t>
  </si>
  <si>
    <t>Opracowania geodezyjne i kartograficzne</t>
  </si>
  <si>
    <t>Nadzór budowlany</t>
  </si>
  <si>
    <t>Starostwa powiatowe</t>
  </si>
  <si>
    <t>Dotacje celowe otrzymane z budżetu państwa na zadania bieżące realizowane przez powiat na podstawie porozumień z organami administracji rządowej</t>
  </si>
  <si>
    <t>O420</t>
  </si>
  <si>
    <t>Wpływy z opłaty komunikacyjnej</t>
  </si>
  <si>
    <t>Udziały powiatów w podatkach stanowiących dochód budżetu państwa</t>
  </si>
  <si>
    <t>Podatek dochodowy od osób prawnych</t>
  </si>
  <si>
    <t>Placówki opiekuńczo-wychowawcze</t>
  </si>
  <si>
    <t>Domy pomocy społecznej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</si>
  <si>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</si>
  <si>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</si>
  <si>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Zespoły do spraw orzekania o  niepełnosprawności</t>
  </si>
  <si>
    <t>Państwowy Fundusz Rehabilitacji Osób Niepełnosprawnych</t>
  </si>
  <si>
    <t>Kultura i ochrona  dziedzictwa narodowego</t>
  </si>
  <si>
    <t>RAZEM  zadania powiatu</t>
  </si>
  <si>
    <t>OGÓŁEM BUDŻET MIASTA KONINA</t>
  </si>
  <si>
    <t>Obsługa długu publicznego</t>
  </si>
  <si>
    <t>Obsługa papierów wartościowych, kredytów i pożyczek jednostek samorządu terytorialnego</t>
  </si>
  <si>
    <t>Świadczenia rodzinne, świadczenie z funduszu alimentacyjnego oraz składki na ubezpieczenia emerytalne i rentowe z ubezpieczenia społecznego</t>
  </si>
  <si>
    <t>Zakup środków żywności</t>
  </si>
  <si>
    <t>Dowożenie uczniów do szkół</t>
  </si>
  <si>
    <t>Wydatki  osobowe niezaliczone do wynagrodzeń</t>
  </si>
  <si>
    <t>Opłaty na rzecz budżetu państwa</t>
  </si>
  <si>
    <t>Szkolenia członków korpusu służby cywilnej</t>
  </si>
  <si>
    <t xml:space="preserve">Nadzór budowlany </t>
  </si>
  <si>
    <t>Oddziały przedszkolne w szkołach podstawowych</t>
  </si>
  <si>
    <t>Świetlice  szkolne</t>
  </si>
  <si>
    <t>Stypendia  dla uczniów</t>
  </si>
  <si>
    <t>Nazwa</t>
  </si>
  <si>
    <t>Zakupy inwestycyjne dla Obiektu Rekreacyjno Sportowego „Rondo” w Koninie</t>
  </si>
  <si>
    <t>Zakup samochodu dostawczego</t>
  </si>
  <si>
    <t>samochód dostawczy</t>
  </si>
  <si>
    <t>RAZEM POWIAT</t>
  </si>
  <si>
    <t>Drogi publiczne w miastach na prawach powiatu</t>
  </si>
  <si>
    <t>Przebudowa Wiaduktu Briańskiego wraz ze skrzyżowaniem ulic Kleczewska-Fryderyka Chopina</t>
  </si>
  <si>
    <t>przebudowa wiaduktu wraz ze skrzyżowaniem ulic oraz odwodnieniem i oświetleniem</t>
  </si>
  <si>
    <t xml:space="preserve">wykonano: podpory, konstrukcję stalową przęseł, płytę pomostową, kanalizację deszczową, przebudowę i zabezpieczenie sieci elektroenergetycznej i sygnalizacyjnej PKP, przebudowę i zabezpieczenie sieci telekomunikacyjnej TP S.A. - etap I, kanalizację sanitarną, roboty drogowe w obrębie skrzyżowania - etap III, ustawiono ekrany akustyczne na skrzyżowaniu oraz wypłacono odszkodowania za zajęcie gruntów prywatnych niezbędnych do wykonania drogi tymczasowej </t>
  </si>
  <si>
    <t>Przebudowa ul. Żwirki i Wigury wraz z kanalizacją deszczową</t>
  </si>
  <si>
    <t>przebudowa ulicy wraz z kanalizacją deszczową</t>
  </si>
  <si>
    <t xml:space="preserve">Opracowanie dokumentacji projektowo-kosztorysowej na połączenie ul. I. Paderewskiego z ul. Kard. S. Wyszyńskiego
</t>
  </si>
  <si>
    <t xml:space="preserve">Opracowanie dokumentacji projektowej na przebudowę parkingu przy ul.Kard. S. Wyszyńskiego
</t>
  </si>
  <si>
    <t>Przebudowa ulicy Romana Dmowskiego w Koninie</t>
  </si>
  <si>
    <t>przebudowa ulicy</t>
  </si>
  <si>
    <t>opracowano dokumentację projektową, realizacja zadania pod warunkiem uzyskania środków zewnętrznych z Narodowego Programu Przebudowy Dróg Lokalnych "SCHETYNÓWEK"</t>
  </si>
  <si>
    <t>Przebudowa chodnika przy ulicy Staromorzysławskiej w Koninie</t>
  </si>
  <si>
    <t>opracowano aktualizację dokumentacji projektowej</t>
  </si>
  <si>
    <t>Dokumentacje przyszłościowe</t>
  </si>
  <si>
    <t xml:space="preserve">opracowanie dokumentacji projektowej w zakresie budowy łącznika ulic Poznańska - Rumiankowa - Zakładowa - Kleczewska </t>
  </si>
  <si>
    <t>Przebudowa parkingu przy ul. Kard. S. Wyszyńskiego 19 i 21 w Koninie</t>
  </si>
  <si>
    <t>przebudowa parkingu</t>
  </si>
  <si>
    <t>Wykonanie ( wyznaczenie) miejsca do ważenia pojazdów na ulicy Hutniczej w Koninie</t>
  </si>
  <si>
    <t xml:space="preserve">wykonanie  miejsca do ważenia pojazdów </t>
  </si>
  <si>
    <t>Opracowanie dokumentacji projektowej na remont ul. Przemysłowej w   Koninie</t>
  </si>
  <si>
    <t>Aktualizacja  dokumentacji projektowej na „Przebudowę mostu im. Józefa Piłsudskiego w  Koninie"</t>
  </si>
  <si>
    <t xml:space="preserve">aktualizacja dokumentacji projektowej </t>
  </si>
  <si>
    <t>Aktualizacja dokumentacji projektowej na II etap nowego przebiegu drogi krajowej Nr 25</t>
  </si>
  <si>
    <t xml:space="preserve">wykonano weryfikację i wycenę prac projektowych wykonanych w 2012 r. </t>
  </si>
  <si>
    <t>Turystyka</t>
  </si>
  <si>
    <t>Opracowanie dokumentacji projektowej na budowę toalet  przy Bulwarze Nadwarciańskim w Koninie</t>
  </si>
  <si>
    <t>Wykonanie zabezpieczeń na  Bulwarze Nadwarciańskim w Koninie</t>
  </si>
  <si>
    <t>zabezpieczenie</t>
  </si>
  <si>
    <t>Opracowanie dokumentacji projektowej i budowa przyłącza do budynku przy ul. Andrzeja Benesza do sieci KoMAN</t>
  </si>
  <si>
    <t>opracowanie dokumentacji projektowej i budowa przyłącza</t>
  </si>
  <si>
    <t>Zakup sprzętu komputerowego i kserograficznego do obsługi państwowego zasobu geodezyjnego i kartograficznego</t>
  </si>
  <si>
    <t>zakup sprzętu komputerowego i kserograficznego</t>
  </si>
  <si>
    <t>Zakup urządzenia biurowego wielofunkcyjnego dla PINB dla miasta Konina</t>
  </si>
  <si>
    <t>zakup urządzenia wielofunkcyjnego (drukarka, fax., skan, kserokopiarka)</t>
  </si>
  <si>
    <t>Zakup zestawu komputerowego wraz z oprogramowaniem dla PINB dla miasta Konina</t>
  </si>
  <si>
    <t>zakup komputera stacjonarnego (komputer, monitor, mysz, klawiatura, oprogramowanie)</t>
  </si>
  <si>
    <t>Komendy powiatowe Policji</t>
  </si>
  <si>
    <t>Dofinansowanie zakupu   radiowozów dla KMP w Koninie</t>
  </si>
  <si>
    <t>zakup   radiowozów</t>
  </si>
  <si>
    <t>Przebudowa pomieszczeń garażowych budynku strażnicy wraz z modernizacją kanalizacji deszczowej oraz wymianą nawierzchni placu manewrowego JRG Nr 1 i Komendy Miejskiej Państwowej Straży Pożarnej w Koninie</t>
  </si>
  <si>
    <t>a/ kompleksowa modernizacja garaży,                                                  b/ kompleksowa modernizacja łazienki w JRG Nr 1,                                                                   c/ modernizacja kanalizacji sanitarnej i deszczowej w garażach i placach manewrowych,                                                    d/ modernizacja nawierzchni placów manewrowych</t>
  </si>
  <si>
    <t>Wykonanie sterowania wyjazdową sygnalizacją świetlną w Komendzie Miejskiej Państwowej Straży Pożarnej w Koninie  w siedzibie Jednostki Ratowniczo – Gaśniczej Nr 2</t>
  </si>
  <si>
    <t xml:space="preserve">wykonanie sterowania wyjazdową sygnalizacją świetlną </t>
  </si>
  <si>
    <t>Termomodernizacja budynku II Liceum w Koninie</t>
  </si>
  <si>
    <t>docieplenie ścian zewnętrznych i dachu</t>
  </si>
  <si>
    <t>Centra Kształcenia Ustawicznego i Praktycznego oraz ośrodki dokształcania zawodowego</t>
  </si>
  <si>
    <t>Budowa hangaru przy Zespole Szkół Centrum Kształcenia Ustawicznego w Koninie</t>
  </si>
  <si>
    <t>hangar plus wyposażenie</t>
  </si>
  <si>
    <t>Wymiana stolarki drzwiowej w głównym wejściu do Miejskiego Ośrodka Doskonalenia Nauczycieli w Koninie</t>
  </si>
  <si>
    <t xml:space="preserve">wymiana stolarki drzwiowej </t>
  </si>
  <si>
    <t>Domy Pomocy Społecznej</t>
  </si>
  <si>
    <t>Zakup samochodu do przewozu osób niepełnosprawnych dla DPS w Koninie</t>
  </si>
  <si>
    <t xml:space="preserve">samochód do przewozu osób niepełnosprawnych </t>
  </si>
  <si>
    <t xml:space="preserve">zakupiono samochód do przewozu osób niepełnosprawnych </t>
  </si>
  <si>
    <t>Rozbudowa boisk przy ZSGE                   ul. Kard. Wyszyńskiego 3  w Koninie</t>
  </si>
  <si>
    <t>opracowanie dokumentacji projektowej i wykonawstwo</t>
  </si>
  <si>
    <t>TABELA nr 3</t>
  </si>
  <si>
    <t xml:space="preserve">WYKONANIE  DOTACJI I WYDATKÓW ZADAŃ REALIZOWANYCH NA PODSTAWIE </t>
  </si>
  <si>
    <t xml:space="preserve">POROZUMIEŃ MIĘDZY JEDNOSTKAMI SAMORZĄDU TERYTORIALNEGO </t>
  </si>
  <si>
    <t>ZA I PÓŁROCZE 2013 ROKU - ZADANIA WŁASNE</t>
  </si>
  <si>
    <t>Plan  dotacji na 2013 rok</t>
  </si>
  <si>
    <t>Wykonanie na 30.06.2013 rok</t>
  </si>
  <si>
    <t>% wykon.</t>
  </si>
  <si>
    <t>Plan wydatków na 2013 rok</t>
  </si>
  <si>
    <t>Dotacje celowe otrzymane z gminy na zadania bieżące realizowane na podstawie porozumień (umów) między jednostkami samorządu terytorialnego</t>
  </si>
  <si>
    <t>Zakupy usług pozostałych</t>
  </si>
  <si>
    <t>Razem zadania gminy</t>
  </si>
  <si>
    <t>Dotacje celowe otrzymane z powiatu na zadania bieżące realizowane na podstawie porozumień, (umów)  między jednostkami samorządu terytorialnego</t>
  </si>
  <si>
    <t>Pozostał zadania w zakresie polityki społecznej</t>
  </si>
  <si>
    <t>Razem zadania powiatu</t>
  </si>
  <si>
    <t>TABELA nr 4</t>
  </si>
  <si>
    <t>WYKONANIE  DOTACJI I WYDATKÓW ZADAŃ REALIZOWANYCH NA PODSTAWIE</t>
  </si>
  <si>
    <t xml:space="preserve">POROZUMIEŃ Z ORGANAMI ADMINISTRACJI RZĄDOWEJ </t>
  </si>
  <si>
    <t>ZA I PÓŁROCZE 2013 ROKU</t>
  </si>
  <si>
    <t>Plan dotacji na 2013 rok</t>
  </si>
  <si>
    <t>Dotacje celowe otrzymane z budżetu państwa na zadania bieżące realizowane przez gminę na podstawie porozumień z organami administracji rządowej</t>
  </si>
  <si>
    <t>Zakup usług remontowo-konserwatorskich dotyczących obiektów zabytkowych będących w użytkowaniu jednostek budżetowych</t>
  </si>
  <si>
    <t>TABELA nr 6</t>
  </si>
  <si>
    <t xml:space="preserve">WYKONANIE DOTACJI I WYDATKÓW ZADAŃ REALIZOWANYCH NA PODSTAWIE </t>
  </si>
  <si>
    <t xml:space="preserve">ZADAŃ Z ZAKRESU ADMINISTRACJI RZĄDOWEJ </t>
  </si>
  <si>
    <t>Pozostałe zadania   w zakresie polityki społecznej</t>
  </si>
  <si>
    <t xml:space="preserve">      OGÓŁEM </t>
  </si>
  <si>
    <t>TABELA nr 7</t>
  </si>
  <si>
    <t xml:space="preserve">WYKONANIE DOTACJI DLA PODMIOTÓW NIE ZALICZANYCH DO SEKTORA FINANSÓW </t>
  </si>
  <si>
    <t xml:space="preserve">PUBLICZNYCH NA CELE PUBLICZNE ZWIĄZANE Z REALIZACJĄ ZADAŃ MIASTA  </t>
  </si>
  <si>
    <t xml:space="preserve">Określenie zadań </t>
  </si>
  <si>
    <t>Plan na 2013 rok</t>
  </si>
  <si>
    <t>Wykonanie na 30.06.2013 roku</t>
  </si>
  <si>
    <t xml:space="preserve">Dotacje podmiotowe </t>
  </si>
  <si>
    <t>Prywatna Szkoła Podstawowa Zespół Edukacji Wiedza</t>
  </si>
  <si>
    <t xml:space="preserve">Centrum Szkoleniowe „WIEDZA” </t>
  </si>
  <si>
    <t xml:space="preserve">Gimnazjum Towarzystwa Salezjańskiego </t>
  </si>
  <si>
    <t>Gimnazjum Edukacji Innowacyjnej</t>
  </si>
  <si>
    <t>AP Edukacja Gimnazjum dla Dorosłych</t>
  </si>
  <si>
    <t>KIN Zdzisław Gimnazjum dla Dorosłych</t>
  </si>
  <si>
    <t xml:space="preserve">Przedszkole niepubliczne„Bajkolandia”  </t>
  </si>
  <si>
    <t>Przedszkole niepubliczne "Chatka -Puchatka"</t>
  </si>
  <si>
    <t xml:space="preserve">Punkt przedszkolny „Bajkowa Kraina”  </t>
  </si>
  <si>
    <t xml:space="preserve">Punkt przedszkolny „Misiowa Kraina”  </t>
  </si>
  <si>
    <t>Punkt przedszkolny "Mały Artysta"</t>
  </si>
  <si>
    <t>Punkt przedszkolny "Akademia Smyka"</t>
  </si>
  <si>
    <t>prowadzenie Punktu Konsultacyjnego dla osób i rodzin dotkniętych problemem narkotykowym</t>
  </si>
  <si>
    <t>dla</t>
  </si>
  <si>
    <t>Stowarzyszenia MONAR</t>
  </si>
  <si>
    <t>prowadzenie świetlic środowiskowych z dożywianiem</t>
  </si>
  <si>
    <t>Towarzystwa Przyjaciół Dzieci (2 świetlice)</t>
  </si>
  <si>
    <t>Polskiego Czerwonego Krzyża (2 świetlice)</t>
  </si>
  <si>
    <t>Towarzystwa Inicjatyw Obywatelskich</t>
  </si>
  <si>
    <t>Stowarzyszenia "Teraz Młodzież"</t>
  </si>
  <si>
    <t>Konińskiego Stowarzyszenia Abstynentów "Szansa"</t>
  </si>
  <si>
    <t>Towarzystwa Walki z Kalectwem</t>
  </si>
  <si>
    <t>Stowarzyszenia Aktywności Lokalnej "Młodzi - Aktywni"            (2 świetlice)</t>
  </si>
  <si>
    <t>zawarto umowę z wykonawcą i inspektorem nadzoru oraz wykonano przyłącze energetyczne</t>
  </si>
  <si>
    <t>przeprowadzono 3-krotnie postępowanie przetargowe na wybór wykonawcy domków</t>
  </si>
  <si>
    <t>zawarto  umowę na opracowanie dokumentacji projektowo-kosztorysowej</t>
  </si>
  <si>
    <t>zawarto umowę z wykonawcą, z inspektorem nadzoru oraz zawarto umowę na przyłączenie do sieci gazowej</t>
  </si>
  <si>
    <t xml:space="preserve">rozliczono 27 dotacji inwestycyjnych i tym samym dokonano wypłaty płatności końcowej w ramach zawartych  umów </t>
  </si>
  <si>
    <t>zawarto umowę z wykonawcą i  inspektorem nadzoru oraz zawarto umowę o przyłączenie do sieci elektroenergetycznej</t>
  </si>
  <si>
    <t>zawarto umowę z wykonawcą i inspektorem nadzoru oraz zawarto umowę o przyłączenie do sieci elektroenergetycznej</t>
  </si>
  <si>
    <t>trwa postępowanie przetargowe na wyłonienie wykonawcy dokumentacji projektowej kanalizacji</t>
  </si>
  <si>
    <t>zawarto umowę z wykonawcą na opracowanie  dokumentacji projektowo-kosztorysowej,</t>
  </si>
  <si>
    <t>zadanie w trakcie procedury przetargowej na opracowanie dokumentacji projektowo- kosztorysowej</t>
  </si>
  <si>
    <t>Przeprawa przez rzekę Wartę - nowy przebieg drogi krajowej Nr 25 - kredyt</t>
  </si>
  <si>
    <t xml:space="preserve">Zasiłki stałe </t>
  </si>
  <si>
    <t>Zakup usług przez jednostki samorządu terytorialnego od innych jednostek samorządu terytorialnego</t>
  </si>
  <si>
    <t>Różne  opłaty i składki</t>
  </si>
  <si>
    <t>Powiatowe centra pomocy rodzinie</t>
  </si>
  <si>
    <t>Świetlice szkolne</t>
  </si>
  <si>
    <t>Nagrody i wydatki osobowe niezaliczone do wynagrodzeń</t>
  </si>
  <si>
    <t>Poradnie psychologiczno-pedagogiczne,  w tym   poradnie specjalistyczne</t>
  </si>
  <si>
    <t>Składki na ubezpieczenia zdrowotne opłacane za osoby pobierające niektóre świadczenia z pomocy społecznej, niektóre świadczenia rodzinne, oraz za osoby uczestniczące w zajęciach w centrum integracji społecznej</t>
  </si>
  <si>
    <t>Podatek od spadków i darowizn</t>
  </si>
  <si>
    <t>O430</t>
  </si>
  <si>
    <t>Wpływy z opłaty targowej</t>
  </si>
  <si>
    <t>Wpływy z innych opłat stanowiących dochody jednostek samorządu terytorialnego na podstawie ustaw</t>
  </si>
  <si>
    <t>O410</t>
  </si>
  <si>
    <t>Wpływy z opłaty skarbowej</t>
  </si>
  <si>
    <t>O480</t>
  </si>
  <si>
    <t>O490</t>
  </si>
  <si>
    <t>Wpływy z innych lokalnych opłat pobieranych przez jednostki samorządu terytorialnego na podstawie odrębnych ustaw</t>
  </si>
  <si>
    <t>Udziały gmin w podatkach stanowiących dochód budżetu państwa</t>
  </si>
  <si>
    <t>OO10</t>
  </si>
  <si>
    <t xml:space="preserve">Rezerwy </t>
  </si>
  <si>
    <t>w tym:</t>
  </si>
  <si>
    <t>rezerwa ogólna</t>
  </si>
  <si>
    <t>rezerwa celowa na zadania oświatowe</t>
  </si>
  <si>
    <t>Rezerwy na inwestycje i zakupy inwestycyjne</t>
  </si>
  <si>
    <t>Wydatki osobowe niezaliczone do wynagrodzeń</t>
  </si>
  <si>
    <t>Zasądzone renty</t>
  </si>
  <si>
    <t>Zakup usług zdrowotnych</t>
  </si>
  <si>
    <t xml:space="preserve">Przedszkola </t>
  </si>
  <si>
    <t>Dotacja podmiotowa z budżetu dla niepublicznej jednostki systemu oświaty</t>
  </si>
  <si>
    <t>Zakup leków, wyrobów medycznych i produktów  biobójczych</t>
  </si>
  <si>
    <t xml:space="preserve">Ośrodki wsparcia </t>
  </si>
  <si>
    <t>Opłaty za  administrowanie i czynsze za budynki, lokale i pomieszczenia garażowe</t>
  </si>
  <si>
    <t>Składki na ubezpieczenie zdrowotne</t>
  </si>
  <si>
    <t>Szkoły podstawowe specjalne</t>
  </si>
  <si>
    <t>Gimnazja specjalne</t>
  </si>
  <si>
    <t>Zespoły  obsługi ekonomiczno-administracyjnej szkół</t>
  </si>
  <si>
    <t>Wpłaty jednostek na państwowy fundusz celowy</t>
  </si>
  <si>
    <t>Dotacja celowa z budżetu na finansowanie lub dofinansowanie zadań zleconych do realizacji stowarzyszeniom</t>
  </si>
  <si>
    <t xml:space="preserve">Przeciwdziałanie alkoholizmowi  </t>
  </si>
  <si>
    <t>Świadczenia społeczne</t>
  </si>
  <si>
    <t>Dodatki mieszkaniowe</t>
  </si>
  <si>
    <t>Usługi opiekuńcze i specjalistyczne usługi opiekuńcze</t>
  </si>
  <si>
    <t>0370</t>
  </si>
  <si>
    <t>Opłata od posiadania psów</t>
  </si>
  <si>
    <t>Wpływy i wydatki związane z gromadzeniem środków z opłat produktowych</t>
  </si>
  <si>
    <t>0400</t>
  </si>
  <si>
    <t>Wpływy z opłaty produktowej</t>
  </si>
  <si>
    <t>0870</t>
  </si>
  <si>
    <t xml:space="preserve">Żłobki  </t>
  </si>
  <si>
    <t>Wydatki inwestycyjne jednostek budżetowych</t>
  </si>
  <si>
    <t>Dochody z najmu i dzierżawy składników majątkowych Skarbu Państwa, jednostek samorządu terytorialnego lub innych jednostek zaliczanych do sektora finansów publicznych oraz innych umów o podobnym charakterze</t>
  </si>
  <si>
    <t>O760</t>
  </si>
  <si>
    <t>Wpływy z tytułu przekształcenia prawa użytkowania wieczystego przysługującego osobom fizycznym w prawo własności</t>
  </si>
  <si>
    <t>O770</t>
  </si>
  <si>
    <t>Wpłaty z tytułu odpłatnego nabycia prawa własności oraz prawa użytkowania wieczystego nieruchomości</t>
  </si>
  <si>
    <t>O970</t>
  </si>
  <si>
    <t>Wpływy z różnych dochodów</t>
  </si>
  <si>
    <t>Wpłaty na Państwowy Fundusz Rehabilitacji Osób Niepełnosprawnych</t>
  </si>
  <si>
    <t>Zakup pomocy naukowych, dydaktycznych i książek</t>
  </si>
  <si>
    <t>Podatek od  nieruchomości</t>
  </si>
  <si>
    <t>Dotacje celowe w ramach programów finansowanych z udziałem środków europejskich oraz środków o których mowa w  art. 5 ust. 1 pkt 3 oraz ust. 3 pkt 5 i 6 ustawy, lub płatności w ramach budżetu środków europejskich</t>
  </si>
  <si>
    <t>TABELA nr 1</t>
  </si>
  <si>
    <t>Wykonanie dochodów  na 30 czerwca 2013 roku</t>
  </si>
  <si>
    <t>010</t>
  </si>
  <si>
    <t>01095</t>
  </si>
  <si>
    <t>6290</t>
  </si>
  <si>
    <t>Środki na dofinansowanie własnych inwestycji gmin (związków gmin), powiatów (związków powiatów), samorządów województw, pozyskane z innych źródeł</t>
  </si>
  <si>
    <t>710</t>
  </si>
  <si>
    <t>2020</t>
  </si>
  <si>
    <t>Cmentarze</t>
  </si>
  <si>
    <t>Dotacje celowe otrzymane z budzetu państwa na zadania bieżące realizowane przez gminę na podstawie porozumień z organami administracji rządowej</t>
  </si>
  <si>
    <t>2990</t>
  </si>
  <si>
    <t>Wpłata środków finansowych z niewykorzystanych w terminie wydatków, które nie wygasają z upływem roku budżetowego</t>
  </si>
  <si>
    <t>Dotacje celowe otrzymane z budżetu państwa na realizację inwestycji i zakupów inwestycyjnych własnych gmin (związków gmin)</t>
  </si>
  <si>
    <t>Wspierania rodziny</t>
  </si>
  <si>
    <t>Uzupełnienie subwencji ogólnej dla jednostek samorządu terytorialnego</t>
  </si>
  <si>
    <t>6180</t>
  </si>
  <si>
    <t>TABELA nr 2</t>
  </si>
  <si>
    <t>Wykonanie wydatków  na 30 czerwca 2013 roku</t>
  </si>
  <si>
    <t>%</t>
  </si>
  <si>
    <t>wykon.</t>
  </si>
  <si>
    <t xml:space="preserve">WYKONANIE PLANU  DOCHODÓW  BUDŻETU  MIASTA  KONINA   </t>
  </si>
  <si>
    <t xml:space="preserve">  WYKONANIE  PLANU  WYDATKÓW  BUDŻETU  MIASTA  KONINA  </t>
  </si>
  <si>
    <r>
      <t xml:space="preserve">Zakup usług pozostałych </t>
    </r>
    <r>
      <rPr>
        <b/>
        <sz val="8"/>
        <rFont val="Times New Roman"/>
        <family val="1"/>
      </rPr>
      <t xml:space="preserve"> </t>
    </r>
  </si>
  <si>
    <r>
      <t xml:space="preserve">Wydatki inwestycyjne jednostek budżetowych   </t>
    </r>
    <r>
      <rPr>
        <sz val="8"/>
        <color indexed="10"/>
        <rFont val="Times New Roman"/>
        <family val="1"/>
      </rPr>
      <t xml:space="preserve"> </t>
    </r>
  </si>
  <si>
    <r>
      <t>Zakup materiałów i wyposażenia</t>
    </r>
    <r>
      <rPr>
        <b/>
        <sz val="8"/>
        <rFont val="Times New Roman"/>
        <family val="1"/>
      </rPr>
      <t xml:space="preserve"> </t>
    </r>
  </si>
  <si>
    <t>Zakup usług remontowo-konserwatorskich dotyczących obiektów zabytkowych bedących w użytkowaniu jednostek budżetowych</t>
  </si>
  <si>
    <t>Sfinansowanie  zadłużenia</t>
  </si>
  <si>
    <t xml:space="preserve">Koszty postępowania  sądowego i prokuratorskiego </t>
  </si>
  <si>
    <t>Opłaty z tytułu zakupu usług telekomunikacyjnych świadczonych w stacjonarnej publicznej sieci telefonicznej</t>
  </si>
  <si>
    <t>Opłaty z tytułu  zakupu usług telekomunikacyjnych świadczonych w ruchomej publicznej sieci telefonicznej</t>
  </si>
  <si>
    <t xml:space="preserve">Dotacja przedmiotowa z budżetu dla samorządowego zakładu budżetowego </t>
  </si>
  <si>
    <t xml:space="preserve">Kultura fizyczna </t>
  </si>
  <si>
    <t xml:space="preserve">Dotacja celowa otrzymana  tytułu pomocy finansowej udzielanej między jednostkami samorządu terytorialnego na dofinansowanie własnych zadań bieżących  </t>
  </si>
  <si>
    <t xml:space="preserve">Wpływy z różnych dochodów </t>
  </si>
  <si>
    <t>Zadania w zakresie przeciwdziałania przemocy w rodzinie</t>
  </si>
  <si>
    <t>Zadania  inwestycje i spłata zadłużenia</t>
  </si>
  <si>
    <t>Szkoły artystyczne</t>
  </si>
  <si>
    <t>Plan  wydatków na   2013 rok</t>
  </si>
  <si>
    <t>Plan dochodów  na 2013 rok</t>
  </si>
  <si>
    <t>Środki otrzymane od pozostałychjednostek zaliczanych do sektora finansów publicznych na finansowanie lub dofinansowanie kosztów realizacji inwestycji i zakupów inwestycyjnych jednostek zaliczanych do sektora finansów publicznych</t>
  </si>
  <si>
    <t>6280</t>
  </si>
  <si>
    <t>Odsetki od samorządowych papierów wartościowych lub zaciągniętych przez jednostkę samorządu terytorialnego kredytów i  pożyczek</t>
  </si>
  <si>
    <t>Różne rozliczenia finansowe</t>
  </si>
  <si>
    <t>O840</t>
  </si>
  <si>
    <t>Wpływy ze sprzedaży wyrobów</t>
  </si>
  <si>
    <t>Komisje egzaminacyjne</t>
  </si>
  <si>
    <t>Stołówki szkolne i przedszkolne</t>
  </si>
  <si>
    <t>Dochody od osób prawnych, od osób fizycznych i od innych jednostek nieposiadających osobowości prawnej oraz wydatki związane z ich poborem</t>
  </si>
  <si>
    <t>Ochrona zdrowia</t>
  </si>
  <si>
    <t xml:space="preserve"> </t>
  </si>
  <si>
    <t>w złotych</t>
  </si>
  <si>
    <t>Dział</t>
  </si>
  <si>
    <t>Rozdz.</t>
  </si>
  <si>
    <t>Transport i łączność</t>
  </si>
  <si>
    <t>Lokalny transport zbiorowy</t>
  </si>
  <si>
    <t>Gospodarka mieszkaniowa</t>
  </si>
  <si>
    <t>Licea ogólnokształcące</t>
  </si>
  <si>
    <t>Szkoły zawodowe</t>
  </si>
  <si>
    <t>Opłaty na rzecz budżetów jednostek samorządu terytorialnego</t>
  </si>
  <si>
    <t>Szkolenia pracowników niebędących członkami korpusu służby cywilnej</t>
  </si>
  <si>
    <t>Wpłaty jednostek samorządu terytorialnego do budżetu państwa</t>
  </si>
  <si>
    <t>rezerwa  ogólna</t>
  </si>
  <si>
    <t>Dotacja podmiotowa z budżetu dla niepublicznej  jednostki systemu oświaty</t>
  </si>
  <si>
    <t>Pomoc społeczna</t>
  </si>
  <si>
    <t>Zakup usług obejmujących tłumaczenia</t>
  </si>
  <si>
    <t>Urzędy gmin (miast i miast na prawach powiatu)</t>
  </si>
  <si>
    <t>Urzędy naczelnych organów władzy państwowej, kontroli i ochrony prawa oraz sądownictwa</t>
  </si>
  <si>
    <t xml:space="preserve">Urzędy naczelnych organów władzy państwowej, kontroli i ochrony prawa </t>
  </si>
  <si>
    <t>Kary i odszkodowania wypłacane na rzecz osób prawnych i innych jednostek organizacyjnych</t>
  </si>
  <si>
    <t>Wydatki  inwestycyjne jednostek budżetowych</t>
  </si>
  <si>
    <t xml:space="preserve">Gospodarka gruntami i nieruchomościami   </t>
  </si>
  <si>
    <t xml:space="preserve">Zakup usług pozostałych </t>
  </si>
  <si>
    <t>Różne opłaty i składki</t>
  </si>
  <si>
    <t>Dotacje celowe z budżetu na finansowanie lub dofinansowanie kosztów realizacji inwestycji i zakupów inwestycyjnych innych jednostek sektora finansów publicznych</t>
  </si>
  <si>
    <t>Domy i ośrodki kultury, świetlice i kluby</t>
  </si>
  <si>
    <t>O10</t>
  </si>
  <si>
    <t>Rolnictwo i łowiectwo</t>
  </si>
  <si>
    <t>O1095</t>
  </si>
  <si>
    <t xml:space="preserve">§ </t>
  </si>
  <si>
    <t>NAZWA</t>
  </si>
  <si>
    <t>ogółem</t>
  </si>
  <si>
    <t>zadania z zakresu administracji rządowej</t>
  </si>
  <si>
    <t>Pozostałe odsetki</t>
  </si>
  <si>
    <t>Obrona narodowa</t>
  </si>
  <si>
    <t>Pozostałe wydatki obronne</t>
  </si>
  <si>
    <t>zarządzanie kryzysowe</t>
  </si>
  <si>
    <t>Rehabilitacja zawodowa i społeczna osób niepełnosprawnych</t>
  </si>
  <si>
    <t xml:space="preserve">Składki na ubezpieczenia zdrowotne </t>
  </si>
  <si>
    <t>Dotacja podmiotowa z budżetu dla jednostek niezaliczanych do sektora finansów publicznych</t>
  </si>
  <si>
    <t>Zarządzanie kryzysowe</t>
  </si>
  <si>
    <t>Izby wytrzeźwień</t>
  </si>
  <si>
    <t>Podatek od nieruchomości</t>
  </si>
  <si>
    <t>Zasiłki i pomoc w naturze oraz składki na ubezpieczenia emerytalne i rentowe</t>
  </si>
  <si>
    <t>Ośrodki pomocy społecznej</t>
  </si>
  <si>
    <t>Edukacyjna opieka wychowawcza</t>
  </si>
  <si>
    <t>Komendy powiatowe Państwowej Straży Pożarnej</t>
  </si>
  <si>
    <t>Pozostałe podatki na rzecz budżetów jednostek samorządu terytorialnego</t>
  </si>
  <si>
    <t>Gospodarka odpadami</t>
  </si>
  <si>
    <t>Utrzymanie zieleni w miastach i gminach</t>
  </si>
  <si>
    <t>Rodziny zastępcze</t>
  </si>
  <si>
    <t>Powiatowe urzędy pracy</t>
  </si>
  <si>
    <t>Dotacje celowe otrzymane z gminy  na zadania bieżące realizowane na podstawie porozumień (umów) między jednostkami samorządu terytorialnego</t>
  </si>
  <si>
    <t>Grzywny, mandaty i inne kary pieniężne od osób fizycznych</t>
  </si>
  <si>
    <t>Wpływy z podatku dochodowego od osób fizycznych</t>
  </si>
  <si>
    <t>O350</t>
  </si>
  <si>
    <t>Podatek od działalności gospodarczej osób fizycznych, opłacany w  formie karty podatkowej</t>
  </si>
  <si>
    <t>Pomoc  społeczna</t>
  </si>
  <si>
    <t xml:space="preserve">Placówki opiekuńczo-wychowawcze </t>
  </si>
  <si>
    <t>Zespoły do spraw orzekania o niepełnosprawności</t>
  </si>
  <si>
    <t xml:space="preserve">Edukacyjna opieka  wychowawcza  </t>
  </si>
  <si>
    <t>Specjalne  ośrodki szkolno-wychowawcze</t>
  </si>
  <si>
    <t xml:space="preserve">Kultura i ochrona dziedzictwa narodowego  </t>
  </si>
  <si>
    <t>Dotacja podmiotowa z budżetu dla samorządowej instytucji kultury</t>
  </si>
  <si>
    <t>RAZEM zadania powiatu</t>
  </si>
  <si>
    <t>Licea  profilowane</t>
  </si>
  <si>
    <t>Szkoły zawodowe specjalne</t>
  </si>
  <si>
    <t>Centra kształcenia ustawicznego i praktycznego oraz ośrodki dokształcania zawodowego</t>
  </si>
  <si>
    <t>Inne formy kształcenia osobno niewymienione</t>
  </si>
  <si>
    <t>Opłaty za administrowanie i czynsze za budynki,lokale i pomieszczenia garażowe</t>
  </si>
  <si>
    <t xml:space="preserve">Domy pomocy społecznej  </t>
  </si>
  <si>
    <t xml:space="preserve">Zakup usług obejmujących wykonanie ekspertyz, analiz i opinii </t>
  </si>
  <si>
    <t xml:space="preserve">Wydatki  inwestycyjne jednostek budżetowych  </t>
  </si>
  <si>
    <t>Lp.</t>
  </si>
  <si>
    <t>Wyszczególnienie</t>
  </si>
  <si>
    <t>Zasiłki stałe</t>
  </si>
  <si>
    <r>
      <t xml:space="preserve"> § 952</t>
    </r>
    <r>
      <rPr>
        <sz val="9"/>
        <rFont val="Times New Roman"/>
        <family val="1"/>
      </rPr>
      <t xml:space="preserve">  - Plan przychodów z zaciągniętych pożyczek i kredytów na rynku krajowym</t>
    </r>
  </si>
  <si>
    <r>
      <t>§ 992 -</t>
    </r>
    <r>
      <rPr>
        <sz val="9"/>
        <rFont val="Times New Roman"/>
        <family val="1"/>
      </rPr>
      <t xml:space="preserve"> Plan Spłat otrzymanych krajowych pożyczek i kredytów</t>
    </r>
  </si>
  <si>
    <t>Uposażenia żołnierzy zawodowych i nadterminowych oraz funkcjonariuszy</t>
  </si>
  <si>
    <t>Pozostałe należności żołnierzy zawodowych i nadterminowych  oraz funkcjonariuszy</t>
  </si>
  <si>
    <t xml:space="preserve">Wynagrodzenia bezosobowe </t>
  </si>
  <si>
    <t>§</t>
  </si>
  <si>
    <t>Dotacje celowe z budżetu jednostki samorządu terytorialnego, udzielone w trybie art.221 ustawy na finansowanie lub dofinansowanie zadań zleconych do realizacji organizacjom prowadzącym działalność pożytku publicznego</t>
  </si>
  <si>
    <t>Dotacje celowe z budżetu jednostki samorządu terytorialnego, udzielone w trybie art.221 ustawy, na finansowanie lub dofinansowanie zadań zleconych do realizacji organizacjom prowadzącym działalność pożytku publicznego</t>
  </si>
  <si>
    <t>Pomoc materialna dla uczniów</t>
  </si>
  <si>
    <t>Stypendia dla uczniów</t>
  </si>
  <si>
    <t>Podatek od towarów i usług (VAT)</t>
  </si>
  <si>
    <t xml:space="preserve">Instytucje kultury fizycznej  </t>
  </si>
  <si>
    <t>Wynagrodzenia osobowe członków korpusu służby cywilnej</t>
  </si>
  <si>
    <t xml:space="preserve">Dochody z najmu i dzierżawy składników majątkowych Skarbu Państwa,  jednostek samorządu terytorialnego lub innych jednostek zaliczanych do sektora finansów publicznych oraz innych umów o podobnym charakterze  </t>
  </si>
  <si>
    <t>O910</t>
  </si>
  <si>
    <t xml:space="preserve">Zakup usług obejmujących wykonanie ekspertyz, analiz i opinii  </t>
  </si>
  <si>
    <t xml:space="preserve">Opłaty na rzecz budżetów jednostek samorządu terytorialnego </t>
  </si>
  <si>
    <t>Odsetki od nieterminowych wpłat z tytułu podatków i opłat</t>
  </si>
  <si>
    <t>O920</t>
  </si>
  <si>
    <t>Dotacje celowe otrzymane z budżetu państwa na realizację zadań bieżących 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</si>
  <si>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</si>
  <si>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O570</t>
  </si>
  <si>
    <t>Kolonie i obozy oraz inne formy wypoczynku dzieci i młodzieży szkolnej, a także szkolenia młodzieży</t>
  </si>
  <si>
    <t>O360</t>
  </si>
  <si>
    <t>RAZEM</t>
  </si>
  <si>
    <t>OGÓŁEM</t>
  </si>
  <si>
    <t>Wpływy z podatku rolnego, podatku leśnego, podatku od spadków i darowizn, podatku od czynności cywilnoprawnych  oraz podatków i opłat lokalnych  od osób fizycznych</t>
  </si>
  <si>
    <t>Wpływy z opłat za  zezwolenia na sprzedaż napojów alkoholowych</t>
  </si>
  <si>
    <t>Składki na ubezpieczenia zdrowotne opłacane za osoby pobierające niektóre świadczenia z pomocy społecznej, niektóre świadczenia rodzinn, oraz za osoby uczestniczące w zajęciach w centrum integracji społecznej</t>
  </si>
  <si>
    <t>Świadczenia rodzinne, świadczenie z funduszu alimentacyjnego  oraz składki na ubezpieczenia emerytalne i rentowe z ubezpieczenia społecznego</t>
  </si>
  <si>
    <t>Wpływy z podatku rolnego, podatku leśnego, podatku od czynności cywilnoprawnych,  podatków i opłat lokalnych od osób prawnych i innych jednostek organizacyjnych</t>
  </si>
  <si>
    <t>O310</t>
  </si>
  <si>
    <t>O320</t>
  </si>
  <si>
    <t>Podatek rolny</t>
  </si>
  <si>
    <t>O330</t>
  </si>
  <si>
    <t>Podatek leśny</t>
  </si>
  <si>
    <t>O340</t>
  </si>
  <si>
    <t>Podatek od środków transportowych</t>
  </si>
  <si>
    <t>O500</t>
  </si>
  <si>
    <t>Podatek od czynności cywilnoprawnych</t>
  </si>
  <si>
    <t>Rekompensaty utraconych dochodów w podatkach i opłatach lokalnych</t>
  </si>
  <si>
    <t>Dotacja celowa z budżetu na finansowanie lub dofinansowanie zadań zleconych do realizacji pozostałym jednostkom niezaliczanym do sektora finansów publicznych</t>
  </si>
  <si>
    <t xml:space="preserve">Oświetlenie ulic, placów i dróg  </t>
  </si>
  <si>
    <t xml:space="preserve">Pozostała działalność  </t>
  </si>
  <si>
    <t xml:space="preserve">Wpłaty gmin i powiatów na rzecz innych jednostek samorządu terytorialnego oraz związków  gmin lub związków powiatów na dofinansowanie zadań bieżących </t>
  </si>
  <si>
    <t xml:space="preserve">Kultura i ochrona dziedzictwa narodowego      </t>
  </si>
  <si>
    <t>Wopływy z rozliczeń jednostek budżetowych z tytułu potrąceń</t>
  </si>
  <si>
    <t>Dotacje celowe otrzymane z budżetu państwa na inwestycyjne i zakupy inwestycyjne z zakresu administracji rządowej oraz inne zadania zlecone ustawami realizowane przez powiat</t>
  </si>
  <si>
    <t>Środki na inwestycje na drogach publicznych powiatowych i wojewódzkich oraz drogach powiatowych, wojewódzkich i krajowych w granicach miast na prawach powiatu</t>
  </si>
  <si>
    <t>Wpływy ze sprzedaży składników majątkowych</t>
  </si>
  <si>
    <t>Dotacje celowe z budżetu na finansowanie lub dofinansowanie kosztów realizacji inwestycji i zakupów inwestycyjnych jednostek niezaliczanych do sektora finansów publicznych</t>
  </si>
  <si>
    <t>Uposażenia i świadczenia pieniężne wypłacane przez okres roku żołnierzom i funkcjonariuszom zwolnionym ze służby</t>
  </si>
  <si>
    <t>Dotacja podmiotowa z budżetu dla  samorządowej instytucji kultury</t>
  </si>
  <si>
    <t>Ochrona  zabytków i opieka nad zabytkami</t>
  </si>
  <si>
    <t>Dotacje celowe z budżetu na finansowanie lub dofinansowanie prac remontowych i konserwatorskich obiektów zabytkowych przekazane jednostkom niezaliczanym do sektora finansów publicznych</t>
  </si>
  <si>
    <t>Straż Graniczna</t>
  </si>
  <si>
    <t>Plan dochodów na 2013 rok</t>
  </si>
  <si>
    <t>Gospodarka gruntami i nieruchomościami</t>
  </si>
  <si>
    <t>Pozostała działalność</t>
  </si>
  <si>
    <t>Administracja publiczna</t>
  </si>
  <si>
    <t>Bezpieczeństwo publiczne i ochrona przeciwpożarowa</t>
  </si>
  <si>
    <t>Różne rozliczenia</t>
  </si>
  <si>
    <t>Rezerwy ogólne i celowe</t>
  </si>
  <si>
    <t>Oświata i wychowanie</t>
  </si>
  <si>
    <t>Szkoły podstawowe</t>
  </si>
  <si>
    <t>Gimnazja</t>
  </si>
  <si>
    <t>Gospodarka komunalna i ochrona środowiska</t>
  </si>
  <si>
    <t>Działalność usługowa</t>
  </si>
  <si>
    <t xml:space="preserve">OGÓŁEM  </t>
  </si>
  <si>
    <t>Zakup usług obejmujących wykonanie ekspertyz, analiz i opinii</t>
  </si>
  <si>
    <r>
      <t xml:space="preserve">§  950- </t>
    </r>
    <r>
      <rPr>
        <sz val="9"/>
        <rFont val="Times New Roman"/>
        <family val="1"/>
      </rPr>
      <t>Wolne środki, o których mowa w art.217 ust. 2 pkt 6 ustawy</t>
    </r>
  </si>
  <si>
    <t>Wolne środki na rachunkach bankowych</t>
  </si>
  <si>
    <t>0580</t>
  </si>
  <si>
    <t>Grzywny i inne kary pieniężneod osób prawnych i innych jednostek organizacyjnych</t>
  </si>
  <si>
    <t>Wpływy ze zwrotów dotacji oraz płatności, w tym wykorzystanych niezgodnie z przeznaczeniem lub wykorzystanych z naruszeniem procedur, o których mowa w art.. 184 ustawy, pobranych nienależnie lub w nadmiernej wysokości</t>
  </si>
  <si>
    <t>Wpływy do wyjaśnienia</t>
  </si>
  <si>
    <t>2980</t>
  </si>
  <si>
    <t>Wpływy do rozliczenia</t>
  </si>
  <si>
    <t>8510</t>
  </si>
  <si>
    <t>Wpływy z różnych rozliczeń</t>
  </si>
  <si>
    <t>0740</t>
  </si>
  <si>
    <t>Wpływy z dywidend</t>
  </si>
  <si>
    <t xml:space="preserve">Wpływy ze sprzedaży składników majątkowych </t>
  </si>
  <si>
    <t>Wykonanie na 30 czerwca 2013 roku</t>
  </si>
  <si>
    <t xml:space="preserve">                             Rozchody</t>
  </si>
  <si>
    <t xml:space="preserve">         WYKONANIE  PLANU  PRZYCHODÓW  I  ROZCHODÓW    BUDŻETU   MIASTA  KONINA  </t>
  </si>
  <si>
    <t>UM</t>
  </si>
  <si>
    <t xml:space="preserve">                                                                       ZA I PÓŁROCZE 2013 ROKU</t>
  </si>
  <si>
    <t xml:space="preserve">                                                                 Przychody</t>
  </si>
  <si>
    <t>Koszty postępowania sądowego i prokuratorskiego</t>
  </si>
  <si>
    <t>RAZEM zadania gminy</t>
  </si>
  <si>
    <t xml:space="preserve">Drogi publiczne w miastach na prawach powiatu </t>
  </si>
  <si>
    <t xml:space="preserve">Turystyka   </t>
  </si>
  <si>
    <t xml:space="preserve">Gospodarka mieszkaniowa  </t>
  </si>
  <si>
    <t xml:space="preserve">Działalność usługowa </t>
  </si>
  <si>
    <t xml:space="preserve">Prace geodezyjne i kartograficzne (nieinwestycyjne)   </t>
  </si>
  <si>
    <t xml:space="preserve">Opracowania geodezyjne i kartograficzne  </t>
  </si>
  <si>
    <t xml:space="preserve">Starostwa powiatowe  </t>
  </si>
  <si>
    <t xml:space="preserve">Komendy powiatowe Policji  </t>
  </si>
  <si>
    <t>Wydatki osobowe niezaliczone do uposażeń wypłacane żołnierzom i funkcjonariuszom</t>
  </si>
  <si>
    <t>Obiekty sportowe</t>
  </si>
  <si>
    <t>Dodatkowe uposażenie roczne dla żołnierzy zawodowych oraz  nagrody roczne dla funkcjonariuszy</t>
  </si>
  <si>
    <t>Równoważniki pieniężne i ekwiwalenty dla żołnierzy i funkcjonariuszy</t>
  </si>
  <si>
    <t>Zadania powiatu</t>
  </si>
  <si>
    <t>Część równoważąca subwencji ogólnej dla powiatów</t>
  </si>
  <si>
    <t>Dokształcanie i doskonalenie nauczycieli</t>
  </si>
  <si>
    <t>Pozostałe zadania w zakresie polityki społecznej</t>
  </si>
  <si>
    <t>Biblioteki</t>
  </si>
  <si>
    <t xml:space="preserve">       Zadania gminy</t>
  </si>
  <si>
    <t>O1030</t>
  </si>
  <si>
    <t>Izby rolnicze</t>
  </si>
  <si>
    <t xml:space="preserve">Wpłaty gmin na rzecz izb rolniczych w wysokości 2% uzyskanych wpływów z podatku rolnego  </t>
  </si>
  <si>
    <t xml:space="preserve">Zakup materiałów i wyposażenia </t>
  </si>
  <si>
    <t>Zakup usług pozostałych</t>
  </si>
  <si>
    <t xml:space="preserve">Transport i łączność  </t>
  </si>
  <si>
    <t xml:space="preserve">Drogi publiczne gminne </t>
  </si>
  <si>
    <t>Zakup materiałów i wyposażenia</t>
  </si>
  <si>
    <t>Zakup usług remontowych</t>
  </si>
  <si>
    <t xml:space="preserve">Kary i odszkodowania wypłacane na rzecz osób fizycznych </t>
  </si>
  <si>
    <t>6410</t>
  </si>
  <si>
    <t>Wpłaty jednostek na państwowy fundusz celowy na finansowanie lub dofinansowanie zadań inwestycyjnych</t>
  </si>
  <si>
    <t>Zwalczanie narkomanii</t>
  </si>
  <si>
    <t xml:space="preserve">Oczyszczanie miast i wsi  </t>
  </si>
  <si>
    <t xml:space="preserve">Schroniska dla zwierząt  </t>
  </si>
  <si>
    <t>Wpływy i wydatki związane z gromadzeniem środków  z opłat i kar za korzystanie ze środowiska</t>
  </si>
  <si>
    <t xml:space="preserve">Wydatki  inwestycyjne jednostek budżetowych </t>
  </si>
  <si>
    <t>Straż gminna (miejska)</t>
  </si>
  <si>
    <t>Dotacje celowe przekazane  dla powiatu na zadania bieżące realizowane na podstawie porozumień (umów) między jednostkami samorządu terytorialnego</t>
  </si>
  <si>
    <t>Internaty i bursy szkolne</t>
  </si>
  <si>
    <t>Szkolne schroniska młodzieżowe</t>
  </si>
  <si>
    <t>Zadania gminy</t>
  </si>
  <si>
    <t>Urzędy wojewódzkie</t>
  </si>
  <si>
    <t>O690</t>
  </si>
  <si>
    <t>Wpływy z różnych opłat</t>
  </si>
  <si>
    <t>Ośrodki wsparcia</t>
  </si>
  <si>
    <t>O830</t>
  </si>
  <si>
    <t>Wpływy z usług</t>
  </si>
  <si>
    <t>O470</t>
  </si>
  <si>
    <t>O750</t>
  </si>
  <si>
    <t>Podatek dochodowy od osób fizycznych</t>
  </si>
  <si>
    <t>OO20</t>
  </si>
  <si>
    <t xml:space="preserve">Podatek dochodowy od osób prawnych </t>
  </si>
  <si>
    <t>Część oświatowa subwencji ogólnej dla jednostek samorządu terytorialnego</t>
  </si>
  <si>
    <t>Subwencje ogólne z budżetu państwa</t>
  </si>
  <si>
    <t>Część równoważąca subwencji ogólnej dla gmin</t>
  </si>
  <si>
    <t>Przedszkola</t>
  </si>
  <si>
    <t>Szpitale ogólne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</si>
  <si>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</si>
  <si>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art.184 ustawy, pobranych nienależnie lub w nadmiernej wysokości</t>
  </si>
  <si>
    <t xml:space="preserve">Wydatki na zakup i objęcie akcji, wniesienie wkładów do spółek prawa handlowego oraz  na uzupełnienie funduszy statutowych banków państwowych i innych instytucji finansowych   </t>
  </si>
  <si>
    <t>Środki na dofinansowanie własnych zadań bieżących gmin ( związków gmin), powiatów (związków powiatów), samorządów województw pozyskane z innych źródeł</t>
  </si>
  <si>
    <t>Kwalifikacja wojskowa</t>
  </si>
  <si>
    <t>Opłata na rzecz budżetu państwa</t>
  </si>
  <si>
    <t>Budowa kanalizacji sanitarnych i deszczowych</t>
  </si>
  <si>
    <t xml:space="preserve">Zakup usług pozostałych  </t>
  </si>
  <si>
    <t xml:space="preserve">Cmentarze  </t>
  </si>
  <si>
    <t xml:space="preserve">Urzędy wojewódzkie  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</si>
  <si>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</si>
  <si>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</si>
  <si>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</si>
  <si>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</si>
  <si>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</si>
  <si>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 </t>
  </si>
  <si>
    <t>Podróże służbowe krajowe</t>
  </si>
  <si>
    <t>Podróże służbowe zagraniczne</t>
  </si>
  <si>
    <t xml:space="preserve">Wydatki osobowe niezaliczone do wynagrodzeń  </t>
  </si>
  <si>
    <t>Wynagrodzenia bezosobowe</t>
  </si>
  <si>
    <t xml:space="preserve">Zakup materiałów i wyposażenia  </t>
  </si>
  <si>
    <t xml:space="preserve">Zakup energii </t>
  </si>
  <si>
    <t>Zakup usług dostępu do sieci Internet</t>
  </si>
  <si>
    <t xml:space="preserve">Podróże służbowe krajowe   </t>
  </si>
  <si>
    <t xml:space="preserve">Podróże służbowe zagraniczne  </t>
  </si>
  <si>
    <t>Promocja jednostek samorządu terytorialnego</t>
  </si>
  <si>
    <t xml:space="preserve">Ochotnicze straże pożarne </t>
  </si>
  <si>
    <t>Zakup energii</t>
  </si>
  <si>
    <t xml:space="preserve">Obrona cywilna </t>
  </si>
  <si>
    <t xml:space="preserve">Pozostała działalność </t>
  </si>
  <si>
    <t>Wspieranie rodziny</t>
  </si>
  <si>
    <t>Koszty postępowania  sądowego i prokuratorskiego</t>
  </si>
  <si>
    <t>Wydatki na zakupy inwestycyjne jednostek budżetowych</t>
  </si>
  <si>
    <t xml:space="preserve">Zakup usług remontowych </t>
  </si>
  <si>
    <t xml:space="preserve">Różne opłaty i składki </t>
  </si>
  <si>
    <t xml:space="preserve">Plany zagospodarowania przestrzennego    </t>
  </si>
  <si>
    <t>Różne wydatki na rzecz osób fizycznych</t>
  </si>
  <si>
    <t>Opracowania geodezyjne i  kartograficzne</t>
  </si>
  <si>
    <t>Jednostki specjalistycznego poradnictwa, mieszkania chronione i ośrodki interwencji kryzysowej</t>
  </si>
  <si>
    <t>Ośrodki dokumentacji geodezyjnej i kartograficznej</t>
  </si>
  <si>
    <t>Dotacje celowe otrzymane z budżetu państwa na realizację własnych zadań bieżących gmin (związków gmin)</t>
  </si>
  <si>
    <t xml:space="preserve">                                  ZA  I  PÓŁROCZE  2013  ROKU</t>
  </si>
  <si>
    <t xml:space="preserve">                                 WYKONANIE  WYDATKÓW  MAJĄTKOWYCH  REALIZOWANYCH </t>
  </si>
  <si>
    <t xml:space="preserve">                ZE  ŚRODKÓW  BUDŻETOWYCH  MIASTA  KONINA  ZA  I  PÓŁROCZE  2013  ROKU</t>
  </si>
  <si>
    <t>opracowano kompleksową dokumentację aplikacyjną do wniosku w ramach programu priorytetowego pn. System zielonych inwestycji (GIS - Green Investmen Scheme) SOWA-"Energooszczędne oświetlenie uliczne"</t>
  </si>
  <si>
    <t>tablica wyników; nagłośnienie; klimatyzatory; urządzenia do aromatoterapii</t>
  </si>
  <si>
    <r>
      <t>wybudowano jezdnię o szer. 6m i pow.3323,60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zatokę postojową (90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), wjazdy do posesji -404,35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 chodniki o nawierzchni z kostki brukowej -2013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wykonano oznakowanie pionowe i poziome, odwodnienie oraz oświetlenie uliczne (18 słupów) - realizacja finansowa w sierpniu b.r.</t>
    </r>
  </si>
  <si>
    <t xml:space="preserve"> wybudowano: ul. Tulipanową - dł.356,61 m i szer.6 m, ul. Krokusową - dł.57,80 m i szer.6 m, łącznik od ul.Tulipanowej do ul. Fikusowej - dł.57,80 m i szer.6 m; wykonano kanalizację deszczową - dł.392 m oraz oświetlenie uliczne  z lampami sodowymi (7 słupów) - realizacja finansowa w lipcu oraz sierpniu b.r.</t>
  </si>
  <si>
    <t>zakupiono i zamontowano 5 szt. parkomatów, realizacja finansowa w  lipcu b.r.</t>
  </si>
  <si>
    <r>
      <t>wykonano ściankę boulderową o pow. 82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- realizacja finansowa w  lipcu b.r.</t>
    </r>
  </si>
  <si>
    <t>opracowano koncepcję i studium wykonalności - realizacja finansowa w lipcu b.r.</t>
  </si>
  <si>
    <t xml:space="preserve">Dotacje celowe w ramach programów finansowanych z udziałem środków europejskich oraz środków o których mowa w  art. 5 ust. 1 pkt 3 oraz ust. 3 pkt 5 i 6 ustawy, lub płatności w ramach budżetu środków europejskich </t>
  </si>
  <si>
    <t>Wpływy z opłat za trwały zarząd, użytkowanie, służebność i użytkowanie wieczyste nieruchomości</t>
  </si>
  <si>
    <t>Zmiany w planie wydatków na realizację programów finansowanych z udziałem</t>
  </si>
  <si>
    <t>realizacja programu zapobiegania i przeciwdziałania przemocy w rodzinie "Bezpieczeństwo w rodzinie" i "Dzieciństwo bez przemocy" w ramach Niebieskich Kart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</si>
  <si>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</si>
  <si>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</si>
  <si>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Towarzystwa Przyjaciół Dzieci (2 półkolonie zimowe)</t>
  </si>
  <si>
    <t>Towarzystwa Inicjatyw Obywatelskich (2 półkolonie zimowe)</t>
  </si>
  <si>
    <t xml:space="preserve">Stowarzyszenia Aktywności Lokalnej "Młodzi - Aktywni"           (2 półkolonie zimowe)          </t>
  </si>
  <si>
    <t>Towarzystwa Inicjatyw Obywatelskich (2 półkolonie letnie)</t>
  </si>
  <si>
    <t>Towarzystwa Przyjaciół Dzieci (2 półkolonie letnie)</t>
  </si>
  <si>
    <t xml:space="preserve">Stowarzyszenia Aktywności Lokalnej "Młodzi - Aktywni"           (2 półkolonie letnie)          </t>
  </si>
  <si>
    <t>Stowarzyszenia Teraz Młodzież</t>
  </si>
  <si>
    <t>organizacja kolonii socjoterapeutycznych dla dzieci i młodzieży z rodzin dysfunkcyjnych</t>
  </si>
  <si>
    <t xml:space="preserve">Stowarzyszenia Aktywności Lokalnej "Młodzi - Aktywni"              </t>
  </si>
  <si>
    <t>prowadzenie środowiskowych ognisk wychowawczych</t>
  </si>
  <si>
    <t xml:space="preserve">Towarzystwa Przyjaciół Dzieci </t>
  </si>
  <si>
    <t>prowadzenie świetlic socjoterapeutycznych</t>
  </si>
  <si>
    <t xml:space="preserve">Towarzystwa Inicjatyw Obywatelskich </t>
  </si>
  <si>
    <t>pomoc żywnościowa dla rodzin dysfunkcyjnych</t>
  </si>
  <si>
    <t>Związku Stowarzyszeń Bank Żywności w Koninie</t>
  </si>
  <si>
    <t>olimpiada wiedzy nt. uzależnień</t>
  </si>
  <si>
    <t>świadczenie usług opiekuńczych w domu podopiecznego na terenie miasta Konina</t>
  </si>
  <si>
    <t>Zarządu Rejonowego Polskiego Czerwonego Krzyża</t>
  </si>
  <si>
    <t>prowadzenie noclegowni i schroniska dla bezdomnych</t>
  </si>
  <si>
    <t>Zarządu Rejonowego Polskiego Czerwonego Krzyża w Koninie</t>
  </si>
  <si>
    <t>prowadzenie Ośrodka Rehabilitacyjno-Edukacyjno-Wychowawczego i Punktu Rehabilitacyjnego w Koninie</t>
  </si>
  <si>
    <t xml:space="preserve">Polskiego Stowarzyszenia na Rzecz Osób z Upośledzeniem Umysłowym </t>
  </si>
  <si>
    <t>dotacja celowa dla prywatnych żłobków</t>
  </si>
  <si>
    <t>Niepublicznego Żłobka WAN KAR YEE</t>
  </si>
  <si>
    <t>Wspieranie realizacji zadań organizacji pozarządowych</t>
  </si>
  <si>
    <t>Stowarzyszenia Koniński Uniwersytet Trzeciego Wieku</t>
  </si>
  <si>
    <t>"Jesteś przedsiębiorczy! Zacznij działać już dziś w Koninie"  w ramach programu POKL (dotacja celowa)</t>
  </si>
  <si>
    <t>"Dobry pomysł na firmę wspomagamy przedsiębiorczość w Koninie" - w ramach programu POKL (dotacja celowa)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</si>
  <si>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</si>
  <si>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</si>
  <si>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organizacja ochrony przed bezdomnymi zwierzętami art. 3 ust. 2 pkt 5 ustawy z dnia 13 września 1996 r. o utrzymaniu czystości i porządku w gminach oraz art. 11 a ustawy o ochronie zwierząt z dnia 16 września 2011 r.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</si>
  <si>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</si>
  <si>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</si>
  <si>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remont kościoła, konserwacja ołtarzy bocznych pw. św. Bartłomieja w Koninie</t>
  </si>
  <si>
    <t>renowacja i konserwacja ołtarza barokowego w kościele pw. św. Marii Magdaleny w Klasztorze oo Franciszkanów w Koninie</t>
  </si>
  <si>
    <t>organizacja imprez kulturalnych dla mieszkańców m. Konina</t>
  </si>
  <si>
    <t xml:space="preserve">Kultura fizyczna  </t>
  </si>
  <si>
    <t>szkolenie uzdolnionych sportowo w: szermierce, kolarstwie, piłce nożnej kobiet, piłce nożnej mężczyzn, koszykówce, pięściarstwie, tenisie stołowym, szachach, tenisie ziemnym, piłce ręcznej, piłce siatkowej, judo, sportach szybowcowych i samolotowych i innych</t>
  </si>
  <si>
    <t>Konińskiego Klubu Szermierczego</t>
  </si>
  <si>
    <t>UKS "Dziewiątka"</t>
  </si>
  <si>
    <t>COPACABANA - pięściarstwo</t>
  </si>
  <si>
    <t>Aeroklub Koniński</t>
  </si>
  <si>
    <t>Konińskie Ludowe Towarzystwo Cyklistów</t>
  </si>
  <si>
    <t>Koniński Klub Piłkarstwa Kobiecego "Medyk"</t>
  </si>
  <si>
    <t>UKS Górnik</t>
  </si>
  <si>
    <t>Klub Sportowy "Górnik"</t>
  </si>
  <si>
    <t>MKS MOS - koszykówka kobiet i mężczyzn</t>
  </si>
  <si>
    <t>Klub Bokserski "Zagłębie" Konin - pięściarstwo</t>
  </si>
  <si>
    <t>Cukrowniczy Klub Sportowy "Sparta"</t>
  </si>
  <si>
    <t>Uczniowski Klub Sportowy "Smecz" - tenis stołowy, szachy</t>
  </si>
  <si>
    <t>Koniński Klub Tenisowy - tenis ziemny</t>
  </si>
  <si>
    <t>Stow. Sportu, Rekreacji i Rehabilitacji "Start"</t>
  </si>
  <si>
    <t>Konińskie Towarzystwo Piłki Siatkowej</t>
  </si>
  <si>
    <t>organizacja imprez sportowo-rekreacyjnych dla mieszkańców Konina</t>
  </si>
  <si>
    <t>Konińskie Towarzystwo Sportów Rekreacyjnych Sport Club Konin</t>
  </si>
  <si>
    <t>Cukrowniczy Klub Sportowy SPARTA Konin</t>
  </si>
  <si>
    <t>Towarzystwo Sportowo - Rekreacyjne HETMAN</t>
  </si>
  <si>
    <t>Koniński Okręgowy Związek Żeglarski</t>
  </si>
  <si>
    <t>Konińskie Towarzystwo Krzewienia Kultury Fizycznej</t>
  </si>
  <si>
    <t>UKS Smecz Konin - tenis stołowy</t>
  </si>
  <si>
    <t>KKS Centrum</t>
  </si>
  <si>
    <t>Koniński Klub Tenisowy</t>
  </si>
  <si>
    <t>TKKF "Korty"</t>
  </si>
  <si>
    <t>Klub Sportowy Copacabana</t>
  </si>
  <si>
    <t>organizacja imprez sportowo-rekreacyjnych dla osób niepełnosprawnych</t>
  </si>
  <si>
    <t>Oddział Regionalny Olimpiady Specjalne Polska</t>
  </si>
  <si>
    <t>Koniński Klub Amazonki</t>
  </si>
  <si>
    <t>Fundacja "Podaj dalej" - II Koniński Turniej koszykówki na wózkach</t>
  </si>
  <si>
    <t>Fundacja na rzecz Rozwoju Dzieci i Młodzieży "Otwarcie"</t>
  </si>
  <si>
    <t xml:space="preserve">Razem zadania powiatu </t>
  </si>
  <si>
    <t>Centrum Nauki i Biznesu „Żak</t>
  </si>
  <si>
    <t>Europejskie Centrum Kształcenia "PASCAL"</t>
  </si>
  <si>
    <t xml:space="preserve">Zespół Edukacji „WIEDZA”    </t>
  </si>
  <si>
    <t xml:space="preserve">Technikum Uzupełniające Michał Lewandowski  </t>
  </si>
  <si>
    <t>Zakład Doskonalenia Zawodowego Centrum Kształcenia</t>
  </si>
  <si>
    <t xml:space="preserve">COSINUS     </t>
  </si>
  <si>
    <t>Niepubliczne Policealne Studium Zawodowe Michał Lewandowski</t>
  </si>
  <si>
    <t xml:space="preserve">AP EDUKACJA            </t>
  </si>
  <si>
    <t>PLUS EDUKACJA</t>
  </si>
  <si>
    <t>Stowarzyszenie Edukacja na Odległość</t>
  </si>
  <si>
    <t>Cech Rzemiosł Róznych</t>
  </si>
  <si>
    <t>Centrum Szkoleniowe NET - Alicja Woźniak</t>
  </si>
  <si>
    <t>Instytut Postępowania Twórczego</t>
  </si>
  <si>
    <t xml:space="preserve">Elitarne Studium Służb Ochrony „DELTA”  </t>
  </si>
  <si>
    <t>Liceum Ogólnokształcące dla Dorosłych Michał Lewandowski</t>
  </si>
  <si>
    <t xml:space="preserve">  Liceum Ogólnokształcące w Konińskim Centrum Edukacyjnym</t>
  </si>
  <si>
    <t>prowadzenie warsztatów terapii zajęciowej, rehabilitacja zawodowa i społeczna</t>
  </si>
  <si>
    <t>Stowarzyszenia na Rzecz Pomocy Osobom Chorym Psychicznie</t>
  </si>
  <si>
    <t>Towarzystwa Przyjaciół Dzieci</t>
  </si>
  <si>
    <t>Fundacji Mielnica</t>
  </si>
  <si>
    <t>promocja turystyczna miasta Konina oraz udzielanie o nim informacji turystycznej</t>
  </si>
  <si>
    <t>LOT "Marina"</t>
  </si>
  <si>
    <t>organizacja imprez turystycznych dla mieszkańców Konina</t>
  </si>
  <si>
    <t>PTTK</t>
  </si>
  <si>
    <t>Spływ kajakowy (Fundacja Podaj Dalej)</t>
  </si>
  <si>
    <t>prowadzenie placówki opiekuńczo - wychowawczej typu rodzinnego -  Rodzinny Dom Dziecka</t>
  </si>
  <si>
    <t>Stowarzyszenia "Prom"</t>
  </si>
  <si>
    <t>działalność na rzecz rozwoju gospodarczego wspierajacego lokalny rynek pracy</t>
  </si>
  <si>
    <t>TABELA nr  9</t>
  </si>
  <si>
    <t xml:space="preserve">WYKONANIE DOTACJI DLA PODMIOTÓW ZALICZANYCH DO SEKTORA FINANSÓW </t>
  </si>
  <si>
    <t>Dotacje podmiotowe</t>
  </si>
  <si>
    <t>Koniński Dom Kultury</t>
  </si>
  <si>
    <t>Młodzieżowy Dom Kultury</t>
  </si>
  <si>
    <t>Dotacje przedmiotowe</t>
  </si>
  <si>
    <t>do kosztów utrzymania zbiorowej komunikacji miejskiej</t>
  </si>
  <si>
    <t>na realizacje zadania pn. "Aglomeracja konińska - współpraca JST kluczem do nowoczesnego rozwoju gospodarczego"</t>
  </si>
  <si>
    <t>Gospodarka komunalna  i ochrona środowiska</t>
  </si>
  <si>
    <t>dotacja dla KDK na wykonanie klimatyzacji pomieszczenia Strefy K oraz modernizacja central klimatyzacyjnych sali widowiskowej</t>
  </si>
  <si>
    <t>Miejska Biblioteka Publiczna</t>
  </si>
  <si>
    <t>koszty utrzymania dzieci  z miasta Konina umieszczonych w placówkach opiekuńczych na terenie kraju</t>
  </si>
  <si>
    <t>koszty utrzymania dzieci  z miasta Konina umieszczonych w rodzinach zastępczych na terenie kraju</t>
  </si>
  <si>
    <t>prowadzenie działalności Powiatowego Urzędu Pracy</t>
  </si>
  <si>
    <t>TABELA nr  10</t>
  </si>
  <si>
    <t xml:space="preserve">WYKONANIE  PRZYCHODÓW  I  WYDATKÓW SAMORZĄDOWEGO ZAKŁADU BUDŻETOWEGO </t>
  </si>
  <si>
    <t>PLAN</t>
  </si>
  <si>
    <t>W Y K O N A N I E</t>
  </si>
  <si>
    <t>stan środków na początek okresu sprawozdawczego</t>
  </si>
  <si>
    <t xml:space="preserve">w tym: </t>
  </si>
  <si>
    <t>stan środków na koniec okresu sprawozdawczego</t>
  </si>
  <si>
    <t>TREŚĆ</t>
  </si>
  <si>
    <t>PRZYCHODY</t>
  </si>
  <si>
    <t>kwota dotacji z budżetu miasta</t>
  </si>
  <si>
    <t>zakres dotacji</t>
  </si>
  <si>
    <t>WYDATKI</t>
  </si>
  <si>
    <t>wpłata do budżetu</t>
  </si>
  <si>
    <t>rozdział</t>
  </si>
  <si>
    <t xml:space="preserve">  w tym:</t>
  </si>
  <si>
    <t>1.</t>
  </si>
  <si>
    <t>Miejski Zakład Komunikacji</t>
  </si>
  <si>
    <t>a) dotacja przedmiotowa</t>
  </si>
  <si>
    <t>dotacja przedmiotowa do kosztów utrzymania zbiorowej komunikacji miejskiej</t>
  </si>
  <si>
    <t xml:space="preserve">       w tym:</t>
  </si>
  <si>
    <t>porozumienia                      międzygminne</t>
  </si>
  <si>
    <t>TABELA nr  11</t>
  </si>
  <si>
    <t>TABELA nr 5</t>
  </si>
  <si>
    <t xml:space="preserve">       WYKONANIE  DOCHODÓW  ZWIĄZANYCH  Z  REALIZACJĄ  ZADAŃ </t>
  </si>
  <si>
    <t xml:space="preserve">       Z  ZAKRESU  ADMINISTRACJI  RZĄDOWEJ  ORAZ  INNYCH  ZADAŃ </t>
  </si>
  <si>
    <t xml:space="preserve">       ZLECONYCH  USTAWAMI, KTÓRE  PODLEGAJĄ  PRZEKAZANIU </t>
  </si>
  <si>
    <t xml:space="preserve"> w złotych</t>
  </si>
  <si>
    <t>O980</t>
  </si>
  <si>
    <t>Wpływy z tytułu zwrotów wypłaconych świadczeń z funduszu alimentacyjnego</t>
  </si>
  <si>
    <t xml:space="preserve">       D O  BUDŻETU  PAŃSTWA  ZA  I  PÓŁROCZE 2013 ROKU</t>
  </si>
  <si>
    <t>% wykonania</t>
  </si>
  <si>
    <t>Dotacje celowe</t>
  </si>
  <si>
    <t>MOPR</t>
  </si>
  <si>
    <t xml:space="preserve">           Plan na 2013 rok</t>
  </si>
  <si>
    <t xml:space="preserve">           Wykonanie na 30.06.2013 rok</t>
  </si>
  <si>
    <t>Nazwa  zadania</t>
  </si>
  <si>
    <t>Zakres rzeczowy zadania</t>
  </si>
  <si>
    <t>Wykonany zakres rzeczowy zadania</t>
  </si>
  <si>
    <t>Termin realizacji</t>
  </si>
  <si>
    <t>środki  w ramach ustawy Prawo ochrony środowiska</t>
  </si>
  <si>
    <t>RAZEM GMINA</t>
  </si>
  <si>
    <t>Zakup i montaż wiat przystankowych</t>
  </si>
  <si>
    <t>wiaty przystankowe</t>
  </si>
  <si>
    <t>realizacja zadania w II półroczu</t>
  </si>
  <si>
    <t>Drogi publiczne gminne</t>
  </si>
  <si>
    <t>Budowa ulic na osiedlu Wilków (Leszczynowa, Borowa)</t>
  </si>
  <si>
    <t>2012/2013</t>
  </si>
  <si>
    <t>Budowa ulic na osiedlu Chorzeń (Tulipanowa i Krokusowa)</t>
  </si>
  <si>
    <t>budowa ulic wraz z oświetleniem i odwodnieniem</t>
  </si>
  <si>
    <t>Przebudowa ulicy Jana Matejki w Koninie</t>
  </si>
  <si>
    <t>przebudowa ulicy wraz z oświetleniem i odwodnieniem</t>
  </si>
  <si>
    <t>zawarto umowę z wykonawcą, z inspektorem nadzoru oraz umowę na zasilanie oświetlenia ulicznego</t>
  </si>
  <si>
    <t>Przebudowa ulicy Stodolnianej w Koninie</t>
  </si>
  <si>
    <t>zawarto umowę o przyłączenie do sieci elektroenergetycznej pompowni wód deszczowych</t>
  </si>
  <si>
    <t>2012/2014</t>
  </si>
  <si>
    <t>Budowa chodnika przy ul. Nowiny w kierunku cmentarza parafialnego</t>
  </si>
  <si>
    <t>budowa chodnika wraz z odwodnieniem i oświetleniem</t>
  </si>
  <si>
    <t>przeprowadzono procedurę przetargową na wybór wykonawcy robót</t>
  </si>
  <si>
    <t xml:space="preserve">Budowa przedłużenia ul. Makowej od Al. Astrów do torów kolejowych   </t>
  </si>
  <si>
    <t>wykonanie dokumentacji projektowej wraz z etapem przygotowania do realizacji</t>
  </si>
  <si>
    <t>zadanie w trakcie realizacji</t>
  </si>
  <si>
    <t>Opracowanie dokumentacji projektowo-kosztorysowej na budowę ulicy Wierzbowej (od ul. Europejskiej w kierunku wschodnim)</t>
  </si>
  <si>
    <t>wykonanie dokumentacji projektowo-kosztorysowej</t>
  </si>
  <si>
    <t>rozwiązano umowę z projektantem, wystąpiono do zarządcy drogi o zmianę warunków do projektowania</t>
  </si>
  <si>
    <t>Budowa i przebudowa ulicy Kapitańskiej w Koninie</t>
  </si>
  <si>
    <t>budowa i przebudowa ulicy wraz z oświetleniem i odwodnieniem</t>
  </si>
  <si>
    <t>Rozbudowa skrzyżowania ulic Stanisława Staszica, Romana Dmowskiego i Tadeusza Kościuszki na skrzyżowanie typu "rondo" w Koninie</t>
  </si>
  <si>
    <t>budowa ronda na skrzyżowaniu ulic, oświetlenie ronda, kanalizacja deszczowa</t>
  </si>
  <si>
    <t>wykonano aktualizację dokumentacji projektowej, zawarto umowę o przyłączenie do sieci elektroenergetycznej</t>
  </si>
  <si>
    <t>2013/2014</t>
  </si>
  <si>
    <t>Budowa parkingu przy ul. Sadowej 9</t>
  </si>
  <si>
    <t>opracowanie dokumentacji projektowo-kosztorysowej, realizacja zadania</t>
  </si>
  <si>
    <t>opracowano dokumentację projektowo-kosztorysową</t>
  </si>
  <si>
    <t>Budowa ulicy Drewnowskiego i ulicy Godlewskiego</t>
  </si>
  <si>
    <t>budowa ulicy wraz z odwodnieniem i oświetleniem</t>
  </si>
  <si>
    <t>zawarto umowę na usunięcie kolizji z siecią elektroenergetyczną, zawarto umowę z wykonawcą oraz z inspektorem nadzoru</t>
  </si>
  <si>
    <t>Opracowanie dokumentacji projektowo- kosztorysowej  kładki nad Kanałem Ulgi</t>
  </si>
  <si>
    <t>opracowanie dokumentacji projektowo-kosztorysowej</t>
  </si>
  <si>
    <t>zawarto umowę na wykonanie koncepcji wielowariantowej</t>
  </si>
  <si>
    <t>Opracowanie dokumentacji  projektowo –  kosztorysowej na budowę ulicy Brunatnej w Koninie - etap I</t>
  </si>
  <si>
    <t>zawarto umowę na opracowanie dokumentacji projektowo-kosztorysowej</t>
  </si>
  <si>
    <t>Budowa ulic: Jesionowej, Modrzewiowej, Lipowej, Klonowej i Cisowej  w Koninie</t>
  </si>
  <si>
    <t>Budowa - przedłużenie ulicy Solnej - odcinek od ul. Kaliskiej do ul. Świętojańskiej</t>
  </si>
  <si>
    <t xml:space="preserve">wystąpiono do zarządcy drogi o warunki techniczne do projektowania </t>
  </si>
  <si>
    <t>Budowa chodnika na ul. Działkowej w Koninie</t>
  </si>
  <si>
    <t>brak tytułu własności do dwóch działek uniemożliwia uzyskanie pozwolenia na budowę i zlecenie wykonania chodnika</t>
  </si>
  <si>
    <t>Budowa ulicy Leopolda Staffa w Koninie</t>
  </si>
  <si>
    <t>Opracowanie dokumentacji projektowo - kosztorysowej na budowę parkingu  przy ulicy Powstańców Styczniowych 1 -3 -5</t>
  </si>
  <si>
    <t xml:space="preserve">opracowanie dokumentacji projektowo-kosztorysowej, </t>
  </si>
  <si>
    <t>zadanie wprowadzono do planu 29.05.2013 r.</t>
  </si>
  <si>
    <t>Opracowanie dokumentacji  projektowo - kosztorysowej na budowę parkingu oraz drogi dojazdowej przy cmentarzu na ulicy Kolskiej</t>
  </si>
  <si>
    <t xml:space="preserve">Budowa ulic na osiedlu Przydziałki - etap II </t>
  </si>
  <si>
    <t>wykonano aktualizację dokumentacji projektowej</t>
  </si>
  <si>
    <t>Opracowanie dokumentacji projektowo-kosztorysowej ścieżki rowerowej wokół Wyspy Pociejewo</t>
  </si>
  <si>
    <t>wystąpiono o warunki techniczne do projektowania do WZMiUW o/Konin</t>
  </si>
  <si>
    <t>Opracowanie dokumentacji projektowo-kosztorysowej na budowę łącznika od ul. Przemysłowej do ul. Kleczewskiej</t>
  </si>
  <si>
    <t>Budowa ul. Paprotkowej, Azaliowej i Kameliowej w Koninie</t>
  </si>
  <si>
    <t>zadanie wprowadzono do planu 26.06.2013 r.</t>
  </si>
  <si>
    <t>Wykonanie dokumentacji projektowej  budowy ulic: Bluszczowa, Gerberowa, Begoniowa, Kaktusowa, Nasturcjowa, Daliowa, Piwoniowa  w Koninie</t>
  </si>
  <si>
    <t>Przebudowa chodnika ul. Żeglarska w Koninie</t>
  </si>
  <si>
    <t>przebudowa chodnika</t>
  </si>
  <si>
    <t>Opracowanie  dokumentacji projektowej ul. Laskówiecka w Koninie</t>
  </si>
  <si>
    <t>Dostawa i montaż parkomatów na terenie miasta Konina</t>
  </si>
  <si>
    <t>dostawa i montaż 7 szt. parkomatów</t>
  </si>
  <si>
    <t>Budowa ogrodzenia zespołu garaży przy ulicy Gajowej w Koninie</t>
  </si>
  <si>
    <t>budowa ogrodzenia</t>
  </si>
  <si>
    <t>Nabycie nieruchomości gruntowych</t>
  </si>
  <si>
    <t>a/ nabycie działek gruntu obrębach: Pawłówek, Przydziałki, Grójec, Łężyn, Nowy Dwór ;  b/ nabycie gruntów w związku z przebudową ulic: Europejskiej, Kolskiej, Warszawskiej                                                          c/ wykupy gruntów pod budowę przyszłych dróg na terenie całego miasta</t>
  </si>
  <si>
    <t xml:space="preserve">nabyto grunty w obrębach Łężyn, Przydziałki, Pawłówek, Wilków  z przeznaczeniem pod infrastrukturę techniczną i drogi </t>
  </si>
  <si>
    <t>2012-2016</t>
  </si>
  <si>
    <t>Modernizacja wewnętrznej instalacji elektrycznej w budynkach przy ul. Kanałowej 6, 7, 11</t>
  </si>
  <si>
    <t>opracowanie dokumentacji i realizacja</t>
  </si>
  <si>
    <t xml:space="preserve">opracowano dokumentację techniczną </t>
  </si>
  <si>
    <t>Budowa instalacji wewnętrznych ciepłej wody i centralnego ogrzewania z węzłem cieplnym w budynku przy ul. Zofii Urbanowskiej 4</t>
  </si>
  <si>
    <t xml:space="preserve">budowa instalacji wewnętrznych ciepłej wody i centralnego ogrzewania z węzłem cieplnym </t>
  </si>
  <si>
    <t>zapłacono opłatę przyłączeniową</t>
  </si>
  <si>
    <t>Budowa 4 domków mieszkalnych przy ul. Marii Dąbrowskiej w Koninie</t>
  </si>
  <si>
    <t>budowa 4 domków mieszkalnych (8 mieszkań socjalnych)</t>
  </si>
  <si>
    <t>Zakup i montaż dźwigów  osobowych (platform)   w budynkach przy ul. Kosmonautów 10 i  ul. 11 Listopada 9</t>
  </si>
  <si>
    <t xml:space="preserve">zakup i montaż dźwigów  osobowych </t>
  </si>
  <si>
    <t>Zakup i montaż odnawialnych źródeł energii w budynku przy ul. M Dąbrowskiej w Koninie</t>
  </si>
  <si>
    <t>zakup i montaż odnawialnych źródeł energii</t>
  </si>
  <si>
    <t xml:space="preserve">Rewitalizacja Starówki - budowa budynków mieszkalnych wielorodzinnych pomiędzy ulicą  Wodną  i Grunwaldzką w Koninie </t>
  </si>
  <si>
    <t>Opracowanie koncepcji  na rozbudowę cmentarza wraz z układem komunikacyjnym przy ul. Kolskiej w Koninie</t>
  </si>
  <si>
    <t>opracowanie koncepcji</t>
  </si>
  <si>
    <t>Rozbudowa miejskiej sieci szerokopasmowej KoMAN</t>
  </si>
  <si>
    <t xml:space="preserve">1. Projekt i budowa przyłączy dla MBP na ul. Dworcowej i dla Konińskiego Domu Kultury oraz rurociągu w Moście Briańskim.
2. Wypełnienie światłowodem rurociągu na trasie od ul. Powstańców Wielkopolskich do ul. Kleczewskiej
</t>
  </si>
  <si>
    <t>Podłączenie I Liceum Ogólnokształcącego i Filii MBP Starówka do sieci KoMAN</t>
  </si>
  <si>
    <t>podłączenie do sieci</t>
  </si>
  <si>
    <t>Zainstalowanie klimatyzacji w budynku Urzędu Miejskiego plac Wolności 1</t>
  </si>
  <si>
    <t>instalacja klimatyzacji</t>
  </si>
  <si>
    <t>Doposażenie techniczne Urzędu</t>
  </si>
  <si>
    <t xml:space="preserve">zakup drukarek, komputerów, MS Office MOLP, zakup rzutnika i laptopa </t>
  </si>
  <si>
    <t xml:space="preserve">zakupiono sprzęt komputerowy </t>
  </si>
  <si>
    <t>Adaptacja budynku przy ul. Benesza 1 w Koninie  na cele administracyjne</t>
  </si>
  <si>
    <t xml:space="preserve">adaptacja istniejącego budynku na cele administracji  </t>
  </si>
  <si>
    <t xml:space="preserve">zawarto umowę z wykonawcą robót </t>
  </si>
  <si>
    <t>2012-2014</t>
  </si>
  <si>
    <t>Adaptację budynku Sądu Rejonowego w Koninie na cele administracyjne</t>
  </si>
  <si>
    <t>Adaptacja budynku przy ul. 3 Maja 1 i 3 na Centrum Organizacji Pozarządowych</t>
  </si>
  <si>
    <t>adaptacja istniejącego budynku na potrzeby COP</t>
  </si>
  <si>
    <t xml:space="preserve">zawarto umowę z wykonawcą oraz z inspektorem nadzoru </t>
  </si>
  <si>
    <t>Ochotnicze Straże Pożarne</t>
  </si>
  <si>
    <t xml:space="preserve">Zakupy inwestycyjne </t>
  </si>
  <si>
    <t>zakup motopompy Niagara  dla OSP Cukrownia</t>
  </si>
  <si>
    <t xml:space="preserve">zakupiono motopompę Niagara  </t>
  </si>
  <si>
    <t>Obrona cywilna</t>
  </si>
  <si>
    <t>zakup i montaż 1 elektronicznej syreny alarmowej tubowej wraz z osprzętem (montaż 1 punktu alarmowego)</t>
  </si>
  <si>
    <t>Rozbudowa monitoringu miejskiego</t>
  </si>
  <si>
    <t>wykonanie projektu, wykonanie prac, wymiana rejestratora, zakup kamer i urządzeń</t>
  </si>
  <si>
    <t>Rezerwa celowa na inwestycje i zakupy inwestycyjne</t>
  </si>
  <si>
    <t>Budowa placu zabaw w ramach programu rządowego "Radosna Szkoła" przy Szkole Podstawowej Nr 1</t>
  </si>
  <si>
    <t>budowa dużego placu zabaw</t>
  </si>
  <si>
    <t>opracowano dokumentację projektową</t>
  </si>
  <si>
    <t>Budowa placu zabaw w ramach programu rządowego "Radosna Szkoła" przy Szkole Podstawowej Nr 3</t>
  </si>
  <si>
    <t>Budowa placu zabaw w ramach programu rządowego "Radosna Szkoła" przy Szkole Podstawowej Nr 9</t>
  </si>
  <si>
    <t>Budowa placu zabaw w ramach programu rządowego "Radosna Szkoła" przy Szkole Podstawowej Nr 12</t>
  </si>
  <si>
    <t xml:space="preserve">Opracowanie koncepcji i studium wykonalności na budowę sali gimnastycznej przy SP Nr 1
</t>
  </si>
  <si>
    <t xml:space="preserve">koncepcja i studium wykonalności </t>
  </si>
  <si>
    <t>Zakup i zamontowanie windy dla uczniów niepełnosprawnych w  SP Nr 15 w Koninie</t>
  </si>
  <si>
    <t>zakup i zamontowanie windy</t>
  </si>
  <si>
    <t>Zakup busa do przewozu dzieci niepełnosprawnych w Szkole Podstawowej Oddziałami Integracyjnymi Nr 9</t>
  </si>
  <si>
    <t>zakup busa</t>
  </si>
  <si>
    <t xml:space="preserve">Zakup sztandaru dla Szkoły Podstawowej Nr 12  w Koninie
</t>
  </si>
  <si>
    <t>zakup sztandaru</t>
  </si>
  <si>
    <t>zakupiono sztandar</t>
  </si>
  <si>
    <t>Zakup kserokopiarki dla Szkoły Podstawowej Nr 1</t>
  </si>
  <si>
    <t xml:space="preserve">zakup kserokopiarki </t>
  </si>
  <si>
    <t>Modernizacja i rozbudowa budynku przy ul. Kamiennej 28 w Koninie</t>
  </si>
  <si>
    <t>adaptacja budynku na potrzeby punktu przedszkolnego i świetlicy</t>
  </si>
  <si>
    <t>Modernizacja placu zabaw Przedszkola Nr 31</t>
  </si>
  <si>
    <t>modernizacja placu zabaw</t>
  </si>
  <si>
    <t>zmodernizowano plac zabaw</t>
  </si>
  <si>
    <t>Założenie systemu sygnalizacji włamania w Przedszkolu Nr 25 BAJKA</t>
  </si>
  <si>
    <t>założenie systemu sygnalizacji włamania</t>
  </si>
  <si>
    <t>Założenie monitoringu wizyjnego przy Przedszkolu Nr 31</t>
  </si>
  <si>
    <t xml:space="preserve">założenie monitoringu wizyjnego </t>
  </si>
  <si>
    <t>Termomodernizacja budynku Przedszkola Nr 10</t>
  </si>
  <si>
    <t>docieplenie ścian</t>
  </si>
  <si>
    <t>opracowano dokumentację techniczną i przetargową</t>
  </si>
  <si>
    <t>Budowa parkingu przy Przedszkolu Nr 7 w Koninie</t>
  </si>
  <si>
    <t>budowa parkingu</t>
  </si>
  <si>
    <t>zawarto umowę na usunięcie kolizji z siecią elektroenergetyczną, uzyskano zezwolenie na usunięcie drzew i krzewów</t>
  </si>
  <si>
    <t>Budowa windy schodowej dla osób niepełnosprawnych w Przedszkolu Nr 32</t>
  </si>
  <si>
    <t>budowa windy schodowej</t>
  </si>
  <si>
    <t>Budowa podjazdu dla osób niepełnosprawnych przy Przedszkolu Nr 32</t>
  </si>
  <si>
    <t>budowa podjazdu</t>
  </si>
  <si>
    <t>Wykonanie schodów wewnętrznych w Przedszkolu Nr 4 w Koninie</t>
  </si>
  <si>
    <t>wykonanie schodów</t>
  </si>
  <si>
    <t>Zakup obieraczki do ziemniaków dla Przedszkola Nr 4</t>
  </si>
  <si>
    <t xml:space="preserve">zakup obieraczki do ziemniaków </t>
  </si>
  <si>
    <t xml:space="preserve">zakupiono obieraczkę do ziemniaków </t>
  </si>
  <si>
    <t>Wykonanie ścianki boulderowej  dla Gimnazjum Nr 3 w Koninie</t>
  </si>
  <si>
    <t xml:space="preserve"> ścianka boulderowa</t>
  </si>
  <si>
    <t>Zakup kserokopiarki dla Gimnazjum Nr 2</t>
  </si>
  <si>
    <t>zakupiono kserokopiarkę</t>
  </si>
  <si>
    <t>Zakup kotła warzelnego dla SP Nr 15</t>
  </si>
  <si>
    <t xml:space="preserve">zakup kotła warzelnego </t>
  </si>
  <si>
    <t xml:space="preserve">zakupiono kocioł warzelny </t>
  </si>
  <si>
    <t>Zarządzanie energią w budynkach użyteczności publicznej w Koninie</t>
  </si>
  <si>
    <t xml:space="preserve">wymiana oświetlenia na energooszczędne </t>
  </si>
  <si>
    <t>wymieniono oświetlenie wewnętrzne na energooszczędne w 18 budynkach oświatowych,  w 7 węzłach cieplnych wykonano system zarządzania energią cieplną, wybór wykonawcy ociepleń i modernizacji instalacji w trakcie procedury przetargowej</t>
  </si>
  <si>
    <t>Dotacja celowa na dofinansowanie zakupu oprogramowania wraz z licencją w ramach informatyzacji Wojewódzkiego Szpitala Zespolonego w Koninie</t>
  </si>
  <si>
    <t xml:space="preserve">zakupu oprogramowania wraz z licencją </t>
  </si>
  <si>
    <t>Zakup sprzętu medycznego</t>
  </si>
  <si>
    <t>zakup sprzętu medycznego</t>
  </si>
  <si>
    <t xml:space="preserve">zakupiono defibrylator  </t>
  </si>
  <si>
    <t xml:space="preserve">opracowano dokumentację techniczną, przebudowano schody i wejście główne z przygotowaniem do podjazdu </t>
  </si>
  <si>
    <t>Zakup sprzętu do zabaw ruchowych na plac zabaw dla Przedszkola Nr 32</t>
  </si>
  <si>
    <t>sprzęt do zabaw ruchowych</t>
  </si>
  <si>
    <t>zakupiono sprzęt do zabaw ruchowych</t>
  </si>
  <si>
    <t>Zakup sprzętu do Sali Doświadczania Świata dla Przedszkola Nr 32</t>
  </si>
  <si>
    <t>sprzęt do Sali Doświadczania Świata</t>
  </si>
  <si>
    <t>zakupiono sprzęt do Sali Doświadczania Świata</t>
  </si>
  <si>
    <t>Zakup sprzętu rehabilitacyjnego dla Przedszkola Nr 32</t>
  </si>
  <si>
    <t xml:space="preserve">sprzęt rehabilitacyjny </t>
  </si>
  <si>
    <t>zakupiono sprzęt rehabilitacyjny</t>
  </si>
  <si>
    <t>Zakup tablicy interaktywnej dla Przedszkola Nr 14</t>
  </si>
  <si>
    <t>tablica interaktywna</t>
  </si>
  <si>
    <t>zakupiono tablicę interaktywną</t>
  </si>
  <si>
    <t>Zakup zestawu komputerowego dla Przedszkola Nr 14</t>
  </si>
  <si>
    <t>zestaw komputerowy</t>
  </si>
  <si>
    <t>zakupiono zestaw komputerowy</t>
  </si>
  <si>
    <t>Zakup laptopa dla Przedszkola Nr 10</t>
  </si>
  <si>
    <t>zakup laptopa</t>
  </si>
  <si>
    <t>Zakup wyposażenia placu zabaw dla Przedszkola Nr 10</t>
  </si>
  <si>
    <t xml:space="preserve">zakup wyposażenia placu zabaw </t>
  </si>
  <si>
    <t>Jesteś przedsiębiorczy! Zacznij działać już dziś w  Koninie - w ramach programu POKL (dotacja celowa)</t>
  </si>
  <si>
    <t>przekazanie dotacji inwestycyjnej na założenie działalności gospodarczej zgodnie z biznesplanem m.in. na zakup sprzętu komputerowego i oprogramowania, maszyn i urządzeń lub remont pomieszczeń</t>
  </si>
  <si>
    <t>Jesteś przedsiębiorczy! Zacznij działać już dziś w  Koninie  - w ramach programu POKL (dotacja celowa)</t>
  </si>
  <si>
    <t>Dobry pomysł na firmę - wspomagamy przedsiębiorczość w Koninie - w ramach programu POKL (dotacja celowa)</t>
  </si>
  <si>
    <t>rozwój przedsiębiorczości w mieście Koninie oraz poprawa sytuacji na rynku pracy -wsparcie 47 os. które rozpoczęły działalność gospodarczą</t>
  </si>
  <si>
    <t xml:space="preserve">Usuwanie wyrobów zawierających azbest z nieruchomości położonych na terenie miasta Konina </t>
  </si>
  <si>
    <t xml:space="preserve">usuwanie wyrobów zawierających azbest </t>
  </si>
  <si>
    <t xml:space="preserve">zawarto 7 umów dotacji , unieszkodliwiono 12,2 ton wyrobów zawierających azbest </t>
  </si>
  <si>
    <t>Oświetlenie ulic, placów i dróg</t>
  </si>
  <si>
    <t xml:space="preserve">Zakup i montaż ulicznych lamp solarnych </t>
  </si>
  <si>
    <t>zakup i montaż lamp solarnych ul. Beznazwy, Jeziorko os.Zatorze i ul. Spacerowa</t>
  </si>
  <si>
    <t xml:space="preserve">opracowano dokumentację projektowo-kosztorysową </t>
  </si>
  <si>
    <t xml:space="preserve">Budowa sygnalizacji świetlnej na skrzyżowaniu ul. Przemysłowej i ul. Gosławickiej  wraz z doświetleniem przejść dla pieszych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</si>
</sst>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00000"/>
    <numFmt numFmtId="178" formatCode="#,##0.00000000"/>
    <numFmt numFmtId="179" formatCode="#,##0.0000000"/>
    <numFmt numFmtId="180" formatCode="0.000000000"/>
    <numFmt numFmtId="181" formatCode="#,##0.00_ ;[Red]\-#,##0.00\ "/>
    <numFmt numFmtId="182" formatCode="0.0000000000"/>
  </numFmts>
  <fonts count="1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i/>
      <sz val="9"/>
      <color indexed="12"/>
      <name val="Times New Roman"/>
      <family val="1"/>
    </font>
    <font>
      <sz val="9"/>
      <name val="Arial"/>
      <family val="0"/>
    </font>
    <font>
      <b/>
      <sz val="14"/>
      <color indexed="12"/>
      <name val="Times New Roman"/>
      <family val="1"/>
    </font>
    <font>
      <sz val="6"/>
      <name val="Times New Roman"/>
      <family val="1"/>
    </font>
    <font>
      <sz val="8"/>
      <name val="Arial CE"/>
      <family val="2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10"/>
      <color indexed="10"/>
      <name val="Arial"/>
      <family val="2"/>
    </font>
    <font>
      <sz val="7"/>
      <name val="Arial CE"/>
      <family val="0"/>
    </font>
    <font>
      <b/>
      <sz val="8"/>
      <name val="Arial CE"/>
      <family val="0"/>
    </font>
    <font>
      <b/>
      <sz val="6"/>
      <name val="Arial CE"/>
      <family val="0"/>
    </font>
    <font>
      <b/>
      <sz val="5"/>
      <name val="Arial CE"/>
      <family val="0"/>
    </font>
    <font>
      <b/>
      <sz val="10"/>
      <name val="Arial CE"/>
      <family val="0"/>
    </font>
    <font>
      <i/>
      <sz val="6"/>
      <name val="Arial CE"/>
      <family val="0"/>
    </font>
    <font>
      <i/>
      <sz val="8"/>
      <name val="Arial CE"/>
      <family val="0"/>
    </font>
    <font>
      <b/>
      <sz val="7"/>
      <name val="Arial CE"/>
      <family val="0"/>
    </font>
    <font>
      <sz val="6"/>
      <name val="Arial CE"/>
      <family val="0"/>
    </font>
    <font>
      <b/>
      <i/>
      <sz val="12"/>
      <name val="Arial CE"/>
      <family val="0"/>
    </font>
    <font>
      <b/>
      <i/>
      <sz val="9"/>
      <name val="Times New Roman"/>
      <family val="1"/>
    </font>
    <font>
      <b/>
      <sz val="10"/>
      <color indexed="12"/>
      <name val="Arial"/>
      <family val="2"/>
    </font>
    <font>
      <i/>
      <sz val="10"/>
      <name val="Arial"/>
      <family val="0"/>
    </font>
    <font>
      <i/>
      <sz val="10"/>
      <color indexed="10"/>
      <name val="Arial"/>
      <family val="2"/>
    </font>
    <font>
      <vertAlign val="superscript"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sz val="9"/>
      <color indexed="63"/>
      <name val="Times New Roman"/>
      <family val="1"/>
    </font>
    <font>
      <sz val="8"/>
      <color indexed="8"/>
      <name val="Times New Roman"/>
      <family val="1"/>
    </font>
    <font>
      <b/>
      <sz val="9"/>
      <name val="Arial"/>
      <family val="0"/>
    </font>
    <font>
      <i/>
      <sz val="9"/>
      <name val="Arial"/>
      <family val="0"/>
    </font>
    <font>
      <i/>
      <sz val="8"/>
      <name val="Arial"/>
      <family val="0"/>
    </font>
    <font>
      <sz val="16"/>
      <name val="Times New Roman"/>
      <family val="1"/>
    </font>
    <font>
      <i/>
      <sz val="10"/>
      <name val="Times New Roman CE"/>
      <family val="0"/>
    </font>
    <font>
      <i/>
      <sz val="14"/>
      <name val="Times New Roman CE"/>
      <family val="0"/>
    </font>
    <font>
      <i/>
      <sz val="11"/>
      <name val="Times New Roman"/>
      <family val="1"/>
    </font>
    <font>
      <sz val="14"/>
      <name val="Arial CE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11"/>
      <name val="Arial CE"/>
      <family val="2"/>
    </font>
    <font>
      <i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26" borderId="1" applyNumberFormat="0" applyAlignment="0" applyProtection="0"/>
    <xf numFmtId="0" fontId="117" fillId="27" borderId="2" applyNumberFormat="0" applyAlignment="0" applyProtection="0"/>
    <xf numFmtId="0" fontId="11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9" fillId="0" borderId="3" applyNumberFormat="0" applyFill="0" applyAlignment="0" applyProtection="0"/>
    <xf numFmtId="0" fontId="120" fillId="29" borderId="4" applyNumberFormat="0" applyAlignment="0" applyProtection="0"/>
    <xf numFmtId="0" fontId="121" fillId="0" borderId="5" applyNumberFormat="0" applyFill="0" applyAlignment="0" applyProtection="0"/>
    <xf numFmtId="0" fontId="122" fillId="0" borderId="6" applyNumberFormat="0" applyFill="0" applyAlignment="0" applyProtection="0"/>
    <xf numFmtId="0" fontId="123" fillId="0" borderId="7" applyNumberFormat="0" applyFill="0" applyAlignment="0" applyProtection="0"/>
    <xf numFmtId="0" fontId="123" fillId="0" borderId="0" applyNumberFormat="0" applyFill="0" applyBorder="0" applyAlignment="0" applyProtection="0"/>
    <xf numFmtId="0" fontId="124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6" fillId="0" borderId="8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32" borderId="0" applyNumberFormat="0" applyBorder="0" applyAlignment="0" applyProtection="0"/>
  </cellStyleXfs>
  <cellXfs count="1204">
    <xf numFmtId="0" fontId="0" fillId="0" borderId="0" xfId="0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4" fontId="16" fillId="0" borderId="13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4" fontId="16" fillId="0" borderId="0" xfId="0" applyNumberFormat="1" applyFont="1" applyFill="1" applyAlignment="1">
      <alignment/>
    </xf>
    <xf numFmtId="0" fontId="13" fillId="0" borderId="12" xfId="0" applyFont="1" applyFill="1" applyBorder="1" applyAlignment="1">
      <alignment horizontal="left" vertical="center"/>
    </xf>
    <xf numFmtId="4" fontId="16" fillId="0" borderId="0" xfId="0" applyNumberFormat="1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4" fontId="16" fillId="0" borderId="18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left" vertical="center" wrapText="1"/>
    </xf>
    <xf numFmtId="4" fontId="10" fillId="0" borderId="12" xfId="0" applyNumberFormat="1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4" fontId="12" fillId="0" borderId="10" xfId="0" applyNumberFormat="1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/>
    </xf>
    <xf numFmtId="4" fontId="8" fillId="0" borderId="11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4" fontId="29" fillId="0" borderId="11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" fontId="16" fillId="0" borderId="13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16" fillId="0" borderId="0" xfId="53" applyFont="1">
      <alignment/>
      <protection/>
    </xf>
    <xf numFmtId="0" fontId="3" fillId="0" borderId="0" xfId="53" applyFont="1">
      <alignment/>
      <protection/>
    </xf>
    <xf numFmtId="0" fontId="20" fillId="0" borderId="0" xfId="53" applyFo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0" applyFont="1" applyAlignment="1">
      <alignment vertical="center"/>
    </xf>
    <xf numFmtId="0" fontId="12" fillId="0" borderId="11" xfId="53" applyFont="1" applyBorder="1" applyAlignment="1">
      <alignment horizontal="left" vertical="center" wrapText="1"/>
      <protection/>
    </xf>
    <xf numFmtId="4" fontId="13" fillId="0" borderId="0" xfId="53" applyNumberFormat="1" applyFont="1" applyBorder="1" applyAlignment="1">
      <alignment vertical="center" wrapText="1"/>
      <protection/>
    </xf>
    <xf numFmtId="4" fontId="13" fillId="0" borderId="0" xfId="53" applyNumberFormat="1" applyFont="1" applyAlignment="1">
      <alignment vertical="center"/>
      <protection/>
    </xf>
    <xf numFmtId="4" fontId="19" fillId="0" borderId="0" xfId="53" applyNumberFormat="1" applyFont="1" applyAlignment="1">
      <alignment vertical="center"/>
      <protection/>
    </xf>
    <xf numFmtId="4" fontId="16" fillId="0" borderId="0" xfId="53" applyNumberFormat="1" applyFont="1">
      <alignment/>
      <protection/>
    </xf>
    <xf numFmtId="0" fontId="13" fillId="0" borderId="11" xfId="53" applyFont="1" applyFill="1" applyBorder="1" applyAlignment="1">
      <alignment vertical="center" wrapText="1"/>
      <protection/>
    </xf>
    <xf numFmtId="4" fontId="13" fillId="0" borderId="0" xfId="53" applyNumberFormat="1" applyFont="1" applyFill="1" applyBorder="1" applyAlignment="1">
      <alignment vertical="center"/>
      <protection/>
    </xf>
    <xf numFmtId="4" fontId="10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10" fillId="0" borderId="0" xfId="0" applyFont="1" applyAlignment="1">
      <alignment/>
    </xf>
    <xf numFmtId="0" fontId="27" fillId="0" borderId="10" xfId="53" applyFont="1" applyBorder="1" applyAlignment="1">
      <alignment vertical="center" wrapText="1"/>
      <protection/>
    </xf>
    <xf numFmtId="4" fontId="32" fillId="0" borderId="0" xfId="53" applyNumberFormat="1" applyFont="1" applyBorder="1" applyAlignment="1">
      <alignment vertical="center"/>
      <protection/>
    </xf>
    <xf numFmtId="4" fontId="10" fillId="0" borderId="0" xfId="53" applyNumberFormat="1" applyFont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3" fontId="10" fillId="0" borderId="0" xfId="53" applyNumberFormat="1" applyFont="1" applyAlignment="1">
      <alignment vertical="center"/>
      <protection/>
    </xf>
    <xf numFmtId="4" fontId="37" fillId="0" borderId="0" xfId="53" applyNumberFormat="1" applyFont="1" applyAlignment="1">
      <alignment vertical="center"/>
      <protection/>
    </xf>
    <xf numFmtId="4" fontId="36" fillId="0" borderId="0" xfId="53" applyNumberFormat="1" applyFont="1" applyAlignment="1">
      <alignment vertical="center"/>
      <protection/>
    </xf>
    <xf numFmtId="4" fontId="3" fillId="0" borderId="0" xfId="53" applyNumberFormat="1" applyFont="1" applyAlignment="1">
      <alignment vertical="center"/>
      <protection/>
    </xf>
    <xf numFmtId="4" fontId="16" fillId="0" borderId="0" xfId="53" applyNumberFormat="1" applyFont="1" applyAlignment="1">
      <alignment vertical="center"/>
      <protection/>
    </xf>
    <xf numFmtId="0" fontId="20" fillId="0" borderId="10" xfId="53" applyFont="1" applyFill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4" fontId="32" fillId="0" borderId="0" xfId="53" applyNumberFormat="1" applyFont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4" fontId="24" fillId="0" borderId="0" xfId="0" applyNumberFormat="1" applyFont="1" applyFill="1" applyAlignment="1">
      <alignment vertical="center"/>
    </xf>
    <xf numFmtId="4" fontId="29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0" fillId="0" borderId="0" xfId="0" applyNumberFormat="1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4" fontId="2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" fontId="0" fillId="0" borderId="0" xfId="0" applyNumberFormat="1" applyFill="1" applyAlignment="1">
      <alignment/>
    </xf>
    <xf numFmtId="4" fontId="40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/>
    </xf>
    <xf numFmtId="4" fontId="20" fillId="0" borderId="0" xfId="53" applyNumberFormat="1" applyFont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vertical="center" wrapText="1"/>
    </xf>
    <xf numFmtId="0" fontId="9" fillId="0" borderId="13" xfId="53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4" fontId="19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4" fontId="8" fillId="0" borderId="18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15" fillId="0" borderId="0" xfId="0" applyNumberFormat="1" applyFont="1" applyFill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" fontId="31" fillId="0" borderId="11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" fontId="12" fillId="0" borderId="21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9" fillId="0" borderId="0" xfId="53" applyFont="1" applyAlignment="1">
      <alignment/>
      <protection/>
    </xf>
    <xf numFmtId="0" fontId="16" fillId="0" borderId="0" xfId="53" applyFont="1" applyAlignment="1">
      <alignment horizontal="right"/>
      <protection/>
    </xf>
    <xf numFmtId="0" fontId="9" fillId="0" borderId="12" xfId="53" applyFont="1" applyBorder="1" applyAlignment="1">
      <alignment horizontal="center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12" fillId="0" borderId="11" xfId="53" applyFont="1" applyFill="1" applyBorder="1" applyAlignment="1">
      <alignment vertical="center" wrapText="1"/>
      <protection/>
    </xf>
    <xf numFmtId="0" fontId="12" fillId="0" borderId="14" xfId="53" applyFont="1" applyBorder="1" applyAlignment="1">
      <alignment vertical="center" wrapText="1"/>
      <protection/>
    </xf>
    <xf numFmtId="0" fontId="3" fillId="0" borderId="16" xfId="53" applyFont="1" applyBorder="1" applyAlignment="1">
      <alignment vertical="center"/>
      <protection/>
    </xf>
    <xf numFmtId="4" fontId="10" fillId="0" borderId="10" xfId="0" applyNumberFormat="1" applyFont="1" applyFill="1" applyBorder="1" applyAlignment="1">
      <alignment horizontal="center" vertical="center" wrapText="1"/>
    </xf>
    <xf numFmtId="4" fontId="51" fillId="0" borderId="10" xfId="53" applyNumberFormat="1" applyFont="1" applyBorder="1" applyAlignment="1">
      <alignment vertical="center"/>
      <protection/>
    </xf>
    <xf numFmtId="4" fontId="14" fillId="0" borderId="10" xfId="53" applyNumberFormat="1" applyFont="1" applyFill="1" applyBorder="1" applyAlignment="1">
      <alignment vertical="center"/>
      <protection/>
    </xf>
    <xf numFmtId="4" fontId="52" fillId="0" borderId="10" xfId="53" applyNumberFormat="1" applyFont="1" applyBorder="1" applyAlignment="1">
      <alignment vertical="center"/>
      <protection/>
    </xf>
    <xf numFmtId="4" fontId="53" fillId="0" borderId="10" xfId="53" applyNumberFormat="1" applyFont="1" applyBorder="1" applyAlignment="1">
      <alignment vertical="center"/>
      <protection/>
    </xf>
    <xf numFmtId="4" fontId="52" fillId="0" borderId="10" xfId="53" applyNumberFormat="1" applyFont="1" applyFill="1" applyBorder="1" applyAlignment="1">
      <alignment vertical="center"/>
      <protection/>
    </xf>
    <xf numFmtId="4" fontId="52" fillId="0" borderId="11" xfId="53" applyNumberFormat="1" applyFont="1" applyFill="1" applyBorder="1" applyAlignment="1">
      <alignment vertical="center"/>
      <protection/>
    </xf>
    <xf numFmtId="4" fontId="52" fillId="0" borderId="11" xfId="53" applyNumberFormat="1" applyFont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9" fontId="17" fillId="0" borderId="18" xfId="0" applyNumberFormat="1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58" fillId="33" borderId="10" xfId="0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right" vertical="center"/>
    </xf>
    <xf numFmtId="4" fontId="59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 horizontal="right" vertical="center"/>
    </xf>
    <xf numFmtId="4" fontId="48" fillId="33" borderId="10" xfId="0" applyNumberFormat="1" applyFont="1" applyFill="1" applyBorder="1" applyAlignment="1">
      <alignment/>
    </xf>
    <xf numFmtId="4" fontId="66" fillId="33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right" vertical="center"/>
    </xf>
    <xf numFmtId="4" fontId="59" fillId="0" borderId="10" xfId="0" applyNumberFormat="1" applyFont="1" applyBorder="1" applyAlignment="1">
      <alignment/>
    </xf>
    <xf numFmtId="0" fontId="59" fillId="0" borderId="10" xfId="0" applyFont="1" applyBorder="1" applyAlignment="1">
      <alignment horizontal="right" vertical="center"/>
    </xf>
    <xf numFmtId="4" fontId="48" fillId="0" borderId="10" xfId="0" applyNumberFormat="1" applyFont="1" applyBorder="1" applyAlignment="1">
      <alignment/>
    </xf>
    <xf numFmtId="4" fontId="59" fillId="0" borderId="10" xfId="0" applyNumberFormat="1" applyFont="1" applyFill="1" applyBorder="1" applyAlignment="1">
      <alignment horizontal="right" vertical="center"/>
    </xf>
    <xf numFmtId="4" fontId="59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horizontal="right" vertical="center"/>
    </xf>
    <xf numFmtId="0" fontId="58" fillId="34" borderId="10" xfId="0" applyFont="1" applyFill="1" applyBorder="1" applyAlignment="1">
      <alignment horizontal="center" vertical="center"/>
    </xf>
    <xf numFmtId="4" fontId="59" fillId="34" borderId="10" xfId="0" applyNumberFormat="1" applyFont="1" applyFill="1" applyBorder="1" applyAlignment="1">
      <alignment horizontal="right" vertical="center"/>
    </xf>
    <xf numFmtId="4" fontId="59" fillId="34" borderId="10" xfId="0" applyNumberFormat="1" applyFont="1" applyFill="1" applyBorder="1" applyAlignment="1">
      <alignment/>
    </xf>
    <xf numFmtId="4" fontId="48" fillId="34" borderId="10" xfId="0" applyNumberFormat="1" applyFont="1" applyFill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9" fillId="0" borderId="10" xfId="0" applyNumberFormat="1" applyFont="1" applyFill="1" applyBorder="1" applyAlignment="1">
      <alignment horizontal="right" vertical="center" wrapText="1"/>
    </xf>
    <xf numFmtId="4" fontId="59" fillId="33" borderId="10" xfId="0" applyNumberFormat="1" applyFont="1" applyFill="1" applyBorder="1" applyAlignment="1">
      <alignment horizontal="right"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4" fontId="59" fillId="34" borderId="10" xfId="0" applyNumberFormat="1" applyFont="1" applyFill="1" applyBorder="1" applyAlignment="1">
      <alignment horizontal="right" vertical="center" wrapText="1"/>
    </xf>
    <xf numFmtId="0" fontId="59" fillId="34" borderId="10" xfId="0" applyFont="1" applyFill="1" applyBorder="1" applyAlignment="1">
      <alignment horizontal="center" vertical="center" wrapText="1"/>
    </xf>
    <xf numFmtId="4" fontId="59" fillId="35" borderId="1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63" fillId="0" borderId="0" xfId="0" applyFont="1" applyFill="1" applyAlignment="1">
      <alignment/>
    </xf>
    <xf numFmtId="4" fontId="48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0" fontId="67" fillId="0" borderId="0" xfId="0" applyFont="1" applyBorder="1" applyAlignment="1">
      <alignment/>
    </xf>
    <xf numFmtId="0" fontId="45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9" fillId="0" borderId="0" xfId="0" applyFont="1" applyFill="1" applyAlignment="1">
      <alignment vertical="center"/>
    </xf>
    <xf numFmtId="0" fontId="38" fillId="0" borderId="0" xfId="0" applyFont="1" applyFill="1" applyAlignment="1">
      <alignment wrapText="1"/>
    </xf>
    <xf numFmtId="0" fontId="46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0" fontId="6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" fontId="56" fillId="0" borderId="0" xfId="0" applyNumberFormat="1" applyFont="1" applyFill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13" fillId="0" borderId="23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69" fillId="0" borderId="0" xfId="0" applyNumberFormat="1" applyFont="1" applyFill="1" applyAlignment="1">
      <alignment/>
    </xf>
    <xf numFmtId="0" fontId="17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 wrapText="1"/>
    </xf>
    <xf numFmtId="0" fontId="70" fillId="0" borderId="0" xfId="0" applyFont="1" applyFill="1" applyAlignment="1">
      <alignment/>
    </xf>
    <xf numFmtId="4" fontId="71" fillId="0" borderId="0" xfId="0" applyNumberFormat="1" applyFont="1" applyFill="1" applyAlignment="1">
      <alignment/>
    </xf>
    <xf numFmtId="0" fontId="16" fillId="0" borderId="21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vertical="center" wrapText="1"/>
    </xf>
    <xf numFmtId="4" fontId="3" fillId="0" borderId="10" xfId="52" applyNumberFormat="1" applyFont="1" applyFill="1" applyBorder="1" applyAlignment="1">
      <alignment horizontal="left" vertical="center" wrapText="1"/>
      <protection/>
    </xf>
    <xf numFmtId="4" fontId="50" fillId="0" borderId="0" xfId="0" applyNumberFormat="1" applyFont="1" applyFill="1" applyAlignment="1">
      <alignment/>
    </xf>
    <xf numFmtId="0" fontId="8" fillId="0" borderId="2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vertical="center" wrapText="1"/>
    </xf>
    <xf numFmtId="4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10" fillId="0" borderId="24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4" fontId="16" fillId="0" borderId="23" xfId="0" applyNumberFormat="1" applyFont="1" applyFill="1" applyBorder="1" applyAlignment="1">
      <alignment vertical="center" wrapText="1"/>
    </xf>
    <xf numFmtId="4" fontId="3" fillId="0" borderId="23" xfId="0" applyNumberFormat="1" applyFont="1" applyFill="1" applyBorder="1" applyAlignment="1">
      <alignment vertical="center" wrapText="1"/>
    </xf>
    <xf numFmtId="49" fontId="10" fillId="0" borderId="0" xfId="52" applyNumberFormat="1" applyFont="1" applyFill="1" applyBorder="1" applyAlignment="1">
      <alignment horizontal="left" vertical="center" wrapText="1"/>
      <protection/>
    </xf>
    <xf numFmtId="4" fontId="12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left" vertical="center"/>
    </xf>
    <xf numFmtId="4" fontId="12" fillId="0" borderId="10" xfId="52" applyNumberFormat="1" applyFont="1" applyFill="1" applyBorder="1" applyAlignment="1">
      <alignment horizontal="left" vertical="center" wrapText="1"/>
      <protection/>
    </xf>
    <xf numFmtId="4" fontId="7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horizontal="left" vertical="center" wrapText="1"/>
    </xf>
    <xf numFmtId="4" fontId="74" fillId="0" borderId="0" xfId="0" applyNumberFormat="1" applyFont="1" applyFill="1" applyAlignment="1">
      <alignment horizontal="left" vertical="center"/>
    </xf>
    <xf numFmtId="4" fontId="6" fillId="0" borderId="15" xfId="0" applyNumberFormat="1" applyFont="1" applyFill="1" applyBorder="1" applyAlignment="1">
      <alignment horizontal="left" vertical="center"/>
    </xf>
    <xf numFmtId="4" fontId="8" fillId="0" borderId="15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/>
    </xf>
    <xf numFmtId="4" fontId="6" fillId="0" borderId="10" xfId="52" applyNumberFormat="1" applyFont="1" applyFill="1" applyBorder="1" applyAlignment="1">
      <alignment horizontal="left" vertical="center" wrapText="1"/>
      <protection/>
    </xf>
    <xf numFmtId="4" fontId="6" fillId="0" borderId="2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Fill="1" applyBorder="1" applyAlignment="1">
      <alignment horizontal="left" vertical="center" wrapText="1"/>
    </xf>
    <xf numFmtId="4" fontId="70" fillId="0" borderId="0" xfId="0" applyNumberFormat="1" applyFont="1" applyFill="1" applyAlignment="1">
      <alignment horizontal="left" vertical="center"/>
    </xf>
    <xf numFmtId="1" fontId="10" fillId="0" borderId="15" xfId="0" applyNumberFormat="1" applyFont="1" applyFill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vertical="center"/>
    </xf>
    <xf numFmtId="1" fontId="16" fillId="0" borderId="21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" fontId="75" fillId="0" borderId="0" xfId="0" applyNumberFormat="1" applyFont="1" applyFill="1" applyAlignment="1">
      <alignment horizontal="left" vertical="center" wrapText="1"/>
    </xf>
    <xf numFmtId="4" fontId="10" fillId="0" borderId="10" xfId="52" applyNumberFormat="1" applyFont="1" applyFill="1" applyBorder="1" applyAlignment="1">
      <alignment horizontal="left" vertical="center"/>
      <protection/>
    </xf>
    <xf numFmtId="4" fontId="10" fillId="0" borderId="10" xfId="52" applyNumberFormat="1" applyFont="1" applyFill="1" applyBorder="1" applyAlignment="1">
      <alignment horizontal="right" vertical="center"/>
      <protection/>
    </xf>
    <xf numFmtId="4" fontId="29" fillId="0" borderId="10" xfId="52" applyNumberFormat="1" applyFont="1" applyFill="1" applyBorder="1" applyAlignment="1">
      <alignment horizontal="right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4" fontId="12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11" fillId="0" borderId="23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vertical="center" wrapText="1"/>
    </xf>
    <xf numFmtId="0" fontId="10" fillId="0" borderId="16" xfId="52" applyFont="1" applyFill="1" applyBorder="1" applyAlignment="1">
      <alignment vertical="center" wrapText="1"/>
      <protection/>
    </xf>
    <xf numFmtId="0" fontId="3" fillId="0" borderId="16" xfId="52" applyFont="1" applyFill="1" applyBorder="1" applyAlignment="1">
      <alignment vertical="center" wrapText="1"/>
      <protection/>
    </xf>
    <xf numFmtId="4" fontId="16" fillId="0" borderId="16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12" fillId="0" borderId="2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2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4" fontId="10" fillId="0" borderId="12" xfId="52" applyNumberFormat="1" applyFont="1" applyFill="1" applyBorder="1" applyAlignment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10" fillId="0" borderId="10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4" fontId="16" fillId="0" borderId="12" xfId="52" applyNumberFormat="1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4" fontId="16" fillId="0" borderId="10" xfId="52" applyNumberFormat="1" applyFont="1" applyFill="1" applyBorder="1" applyAlignment="1">
      <alignment vertical="center"/>
      <protection/>
    </xf>
    <xf numFmtId="4" fontId="3" fillId="0" borderId="10" xfId="52" applyNumberFormat="1" applyFont="1" applyFill="1" applyBorder="1" applyAlignment="1">
      <alignment vertical="center" wrapText="1"/>
      <protection/>
    </xf>
    <xf numFmtId="0" fontId="25" fillId="0" borderId="12" xfId="55" applyFont="1" applyFill="1" applyBorder="1" applyAlignment="1">
      <alignment horizontal="left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4" fontId="3" fillId="0" borderId="12" xfId="52" applyNumberFormat="1" applyFont="1" applyFill="1" applyBorder="1" applyAlignment="1">
      <alignment vertical="center" wrapText="1"/>
      <protection/>
    </xf>
    <xf numFmtId="49" fontId="16" fillId="0" borderId="0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10" fillId="0" borderId="10" xfId="52" applyNumberFormat="1" applyFont="1" applyFill="1" applyBorder="1" applyAlignment="1">
      <alignment vertical="center" wrapText="1"/>
      <protection/>
    </xf>
    <xf numFmtId="0" fontId="25" fillId="0" borderId="18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3" fillId="0" borderId="18" xfId="52" applyFont="1" applyFill="1" applyBorder="1" applyAlignment="1">
      <alignment horizontal="left" vertical="center" wrapText="1"/>
      <protection/>
    </xf>
    <xf numFmtId="0" fontId="45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12" fillId="0" borderId="12" xfId="52" applyFont="1" applyFill="1" applyBorder="1" applyAlignment="1">
      <alignment vertical="center" wrapText="1"/>
      <protection/>
    </xf>
    <xf numFmtId="4" fontId="12" fillId="0" borderId="12" xfId="52" applyNumberFormat="1" applyFont="1" applyFill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52" applyFont="1" applyFill="1" applyBorder="1" applyAlignment="1">
      <alignment vertical="center" wrapText="1"/>
      <protection/>
    </xf>
    <xf numFmtId="4" fontId="6" fillId="0" borderId="12" xfId="52" applyNumberFormat="1" applyFont="1" applyFill="1" applyBorder="1" applyAlignment="1">
      <alignment vertical="center" wrapText="1"/>
      <protection/>
    </xf>
    <xf numFmtId="4" fontId="11" fillId="0" borderId="12" xfId="52" applyNumberFormat="1" applyFont="1" applyFill="1" applyBorder="1" applyAlignment="1">
      <alignment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79" fillId="0" borderId="0" xfId="0" applyFont="1" applyAlignment="1">
      <alignment wrapText="1"/>
    </xf>
    <xf numFmtId="0" fontId="7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0" fillId="0" borderId="10" xfId="52" applyFont="1" applyFill="1" applyBorder="1" applyAlignment="1">
      <alignment vertical="center"/>
      <protection/>
    </xf>
    <xf numFmtId="2" fontId="10" fillId="0" borderId="10" xfId="52" applyNumberFormat="1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4" fontId="12" fillId="0" borderId="10" xfId="52" applyNumberFormat="1" applyFont="1" applyFill="1" applyBorder="1" applyAlignment="1">
      <alignment vertical="center" wrapText="1"/>
      <protection/>
    </xf>
    <xf numFmtId="4" fontId="7" fillId="0" borderId="10" xfId="52" applyNumberFormat="1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vertical="center"/>
    </xf>
    <xf numFmtId="4" fontId="74" fillId="0" borderId="0" xfId="0" applyNumberFormat="1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vertical="center" wrapText="1"/>
      <protection/>
    </xf>
    <xf numFmtId="4" fontId="11" fillId="0" borderId="10" xfId="52" applyNumberFormat="1" applyFont="1" applyFill="1" applyBorder="1" applyAlignment="1">
      <alignment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4" fontId="70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" fontId="80" fillId="0" borderId="0" xfId="0" applyNumberFormat="1" applyFont="1" applyFill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8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47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7" fillId="0" borderId="0" xfId="0" applyFont="1" applyFill="1" applyAlignment="1">
      <alignment wrapText="1"/>
    </xf>
    <xf numFmtId="4" fontId="1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16" fillId="0" borderId="2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0" fontId="25" fillId="0" borderId="1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7" fillId="0" borderId="19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4" fontId="17" fillId="0" borderId="16" xfId="0" applyNumberFormat="1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20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 vertical="center" wrapText="1"/>
    </xf>
    <xf numFmtId="0" fontId="68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/>
    </xf>
    <xf numFmtId="4" fontId="81" fillId="0" borderId="0" xfId="0" applyNumberFormat="1" applyFont="1" applyFill="1" applyAlignment="1">
      <alignment/>
    </xf>
    <xf numFmtId="4" fontId="8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left" vertical="center" wrapText="1"/>
    </xf>
    <xf numFmtId="4" fontId="29" fillId="0" borderId="11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right"/>
    </xf>
    <xf numFmtId="4" fontId="20" fillId="0" borderId="18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" fontId="54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4" fontId="9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Border="1" applyAlignment="1">
      <alignment/>
    </xf>
    <xf numFmtId="4" fontId="25" fillId="0" borderId="16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/>
    </xf>
    <xf numFmtId="4" fontId="20" fillId="0" borderId="0" xfId="0" applyNumberFormat="1" applyFont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2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" fontId="20" fillId="0" borderId="18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/>
    </xf>
    <xf numFmtId="4" fontId="29" fillId="0" borderId="19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4" fontId="29" fillId="0" borderId="1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4" fontId="29" fillId="0" borderId="18" xfId="0" applyNumberFormat="1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 wrapText="1"/>
    </xf>
    <xf numFmtId="4" fontId="20" fillId="0" borderId="24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4" fontId="20" fillId="0" borderId="20" xfId="0" applyNumberFormat="1" applyFont="1" applyFill="1" applyBorder="1" applyAlignment="1">
      <alignment vertical="center"/>
    </xf>
    <xf numFmtId="4" fontId="23" fillId="0" borderId="1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" fontId="29" fillId="0" borderId="24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4" fontId="20" fillId="0" borderId="23" xfId="0" applyNumberFormat="1" applyFont="1" applyFill="1" applyBorder="1" applyAlignment="1">
      <alignment vertical="center"/>
    </xf>
    <xf numFmtId="4" fontId="23" fillId="0" borderId="11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/>
    </xf>
    <xf numFmtId="4" fontId="29" fillId="0" borderId="15" xfId="0" applyNumberFormat="1" applyFont="1" applyFill="1" applyBorder="1" applyAlignment="1">
      <alignment vertical="center"/>
    </xf>
    <xf numFmtId="4" fontId="29" fillId="0" borderId="23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20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4" fontId="29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2" fillId="0" borderId="19" xfId="54" applyFont="1" applyFill="1" applyBorder="1" applyAlignment="1">
      <alignment horizontal="left" vertical="center" wrapText="1"/>
      <protection/>
    </xf>
    <xf numFmtId="0" fontId="12" fillId="0" borderId="19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2" fillId="0" borderId="21" xfId="54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vertical="center" wrapText="1"/>
    </xf>
    <xf numFmtId="0" fontId="10" fillId="0" borderId="0" xfId="54" applyFont="1" applyFill="1" applyBorder="1" applyAlignment="1">
      <alignment horizontal="left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0" fontId="12" fillId="0" borderId="18" xfId="54" applyFont="1" applyFill="1" applyBorder="1" applyAlignment="1">
      <alignment horizontal="left" vertical="center" wrapText="1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4" fontId="23" fillId="0" borderId="21" xfId="0" applyNumberFormat="1" applyFont="1" applyFill="1" applyBorder="1" applyAlignment="1">
      <alignment vertical="center"/>
    </xf>
    <xf numFmtId="0" fontId="10" fillId="0" borderId="23" xfId="54" applyFont="1" applyFill="1" applyBorder="1" applyAlignment="1">
      <alignment horizontal="left" vertical="center" wrapText="1"/>
      <protection/>
    </xf>
    <xf numFmtId="4" fontId="23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6" fillId="0" borderId="2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right" vertical="center"/>
    </xf>
    <xf numFmtId="4" fontId="29" fillId="0" borderId="24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9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right" vertical="center"/>
    </xf>
    <xf numFmtId="4" fontId="29" fillId="0" borderId="14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0" fillId="0" borderId="24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4" fontId="26" fillId="0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2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/>
    </xf>
    <xf numFmtId="0" fontId="29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6" fillId="0" borderId="2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vertical="center" wrapText="1"/>
    </xf>
    <xf numFmtId="4" fontId="26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4" fontId="56" fillId="0" borderId="20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16" fillId="0" borderId="1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vertical="center"/>
    </xf>
    <xf numFmtId="4" fontId="56" fillId="0" borderId="23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/>
    </xf>
    <xf numFmtId="0" fontId="54" fillId="0" borderId="15" xfId="0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vertical="center"/>
    </xf>
    <xf numFmtId="4" fontId="26" fillId="0" borderId="20" xfId="0" applyNumberFormat="1" applyFont="1" applyFill="1" applyBorder="1" applyAlignment="1">
      <alignment vertical="center"/>
    </xf>
    <xf numFmtId="4" fontId="26" fillId="0" borderId="21" xfId="0" applyNumberFormat="1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horizontal="right" vertical="center"/>
    </xf>
    <xf numFmtId="4" fontId="29" fillId="0" borderId="11" xfId="0" applyNumberFormat="1" applyFont="1" applyFill="1" applyBorder="1" applyAlignment="1">
      <alignment/>
    </xf>
    <xf numFmtId="4" fontId="29" fillId="0" borderId="23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4" fontId="29" fillId="0" borderId="15" xfId="0" applyNumberFormat="1" applyFont="1" applyFill="1" applyBorder="1" applyAlignment="1">
      <alignment/>
    </xf>
    <xf numFmtId="4" fontId="48" fillId="0" borderId="0" xfId="0" applyNumberFormat="1" applyFont="1" applyFill="1" applyAlignment="1">
      <alignment horizontal="right" vertical="center"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4" fontId="87" fillId="0" borderId="0" xfId="0" applyNumberFormat="1" applyFont="1" applyFill="1" applyAlignment="1">
      <alignment/>
    </xf>
    <xf numFmtId="0" fontId="86" fillId="0" borderId="0" xfId="0" applyFont="1" applyAlignment="1">
      <alignment/>
    </xf>
    <xf numFmtId="4" fontId="8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8" fillId="0" borderId="0" xfId="0" applyFont="1" applyFill="1" applyAlignment="1">
      <alignment horizontal="left"/>
    </xf>
    <xf numFmtId="0" fontId="89" fillId="0" borderId="0" xfId="0" applyFont="1" applyFill="1" applyAlignment="1">
      <alignment horizontal="left"/>
    </xf>
    <xf numFmtId="0" fontId="85" fillId="0" borderId="0" xfId="0" applyFont="1" applyFill="1" applyAlignment="1">
      <alignment horizontal="center"/>
    </xf>
    <xf numFmtId="0" fontId="85" fillId="0" borderId="0" xfId="0" applyFont="1" applyFill="1" applyAlignment="1">
      <alignment wrapText="1"/>
    </xf>
    <xf numFmtId="4" fontId="85" fillId="0" borderId="0" xfId="0" applyNumberFormat="1" applyFont="1" applyFill="1" applyBorder="1" applyAlignment="1">
      <alignment horizontal="right" vertical="center"/>
    </xf>
    <xf numFmtId="4" fontId="90" fillId="0" borderId="0" xfId="0" applyNumberFormat="1" applyFont="1" applyFill="1" applyBorder="1" applyAlignment="1">
      <alignment horizontal="right"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 wrapText="1"/>
    </xf>
    <xf numFmtId="4" fontId="91" fillId="0" borderId="16" xfId="0" applyNumberFormat="1" applyFont="1" applyFill="1" applyBorder="1" applyAlignment="1">
      <alignment horizontal="center" vertical="center" wrapText="1"/>
    </xf>
    <xf numFmtId="4" fontId="91" fillId="0" borderId="10" xfId="0" applyNumberFormat="1" applyFont="1" applyFill="1" applyBorder="1" applyAlignment="1">
      <alignment horizontal="center" vertical="center" wrapText="1"/>
    </xf>
    <xf numFmtId="4" fontId="85" fillId="0" borderId="0" xfId="0" applyNumberFormat="1" applyFont="1" applyFill="1" applyBorder="1" applyAlignment="1">
      <alignment horizontal="center" vertical="center" wrapText="1"/>
    </xf>
    <xf numFmtId="4" fontId="92" fillId="0" borderId="10" xfId="0" applyNumberFormat="1" applyFont="1" applyFill="1" applyBorder="1" applyAlignment="1">
      <alignment vertical="center" wrapText="1"/>
    </xf>
    <xf numFmtId="4" fontId="91" fillId="0" borderId="18" xfId="0" applyNumberFormat="1" applyFont="1" applyFill="1" applyBorder="1" applyAlignment="1">
      <alignment vertical="center" wrapText="1"/>
    </xf>
    <xf numFmtId="3" fontId="92" fillId="0" borderId="0" xfId="0" applyNumberFormat="1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center"/>
    </xf>
    <xf numFmtId="4" fontId="92" fillId="0" borderId="12" xfId="0" applyNumberFormat="1" applyFont="1" applyFill="1" applyBorder="1" applyAlignment="1">
      <alignment vertical="center" wrapText="1"/>
    </xf>
    <xf numFmtId="0" fontId="92" fillId="0" borderId="18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/>
    </xf>
    <xf numFmtId="0" fontId="93" fillId="0" borderId="16" xfId="0" applyFont="1" applyFill="1" applyBorder="1" applyAlignment="1">
      <alignment horizontal="left" vertical="center"/>
    </xf>
    <xf numFmtId="4" fontId="93" fillId="0" borderId="10" xfId="0" applyNumberFormat="1" applyFont="1" applyFill="1" applyBorder="1" applyAlignment="1">
      <alignment vertical="center" wrapText="1"/>
    </xf>
    <xf numFmtId="4" fontId="93" fillId="0" borderId="12" xfId="0" applyNumberFormat="1" applyFont="1" applyFill="1" applyBorder="1" applyAlignment="1">
      <alignment vertical="center" wrapText="1"/>
    </xf>
    <xf numFmtId="4" fontId="91" fillId="0" borderId="15" xfId="0" applyNumberFormat="1" applyFont="1" applyFill="1" applyBorder="1" applyAlignment="1">
      <alignment vertical="center" wrapText="1"/>
    </xf>
    <xf numFmtId="0" fontId="92" fillId="0" borderId="11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horizontal="left" vertical="center"/>
    </xf>
    <xf numFmtId="0" fontId="91" fillId="0" borderId="16" xfId="0" applyFont="1" applyFill="1" applyBorder="1" applyAlignment="1">
      <alignment horizontal="left" vertical="center"/>
    </xf>
    <xf numFmtId="4" fontId="91" fillId="0" borderId="10" xfId="0" applyNumberFormat="1" applyFont="1" applyFill="1" applyBorder="1" applyAlignment="1">
      <alignment vertical="center" wrapText="1"/>
    </xf>
    <xf numFmtId="4" fontId="91" fillId="0" borderId="12" xfId="0" applyNumberFormat="1" applyFont="1" applyFill="1" applyBorder="1" applyAlignment="1">
      <alignment vertical="center" wrapText="1"/>
    </xf>
    <xf numFmtId="4" fontId="91" fillId="0" borderId="11" xfId="0" applyNumberFormat="1" applyFont="1" applyFill="1" applyBorder="1" applyAlignment="1">
      <alignment vertical="center" wrapText="1"/>
    </xf>
    <xf numFmtId="0" fontId="92" fillId="0" borderId="18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left" vertical="center" wrapText="1"/>
    </xf>
    <xf numFmtId="4" fontId="92" fillId="0" borderId="10" xfId="0" applyNumberFormat="1" applyFont="1" applyFill="1" applyBorder="1" applyAlignment="1">
      <alignment vertical="center"/>
    </xf>
    <xf numFmtId="3" fontId="92" fillId="0" borderId="0" xfId="0" applyNumberFormat="1" applyFont="1" applyFill="1" applyBorder="1" applyAlignment="1">
      <alignment vertical="center"/>
    </xf>
    <xf numFmtId="4" fontId="86" fillId="0" borderId="0" xfId="0" applyNumberFormat="1" applyFont="1" applyFill="1" applyAlignment="1">
      <alignment/>
    </xf>
    <xf numFmtId="0" fontId="93" fillId="0" borderId="18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 wrapText="1"/>
    </xf>
    <xf numFmtId="4" fontId="93" fillId="0" borderId="10" xfId="0" applyNumberFormat="1" applyFont="1" applyFill="1" applyBorder="1" applyAlignment="1">
      <alignment vertical="center"/>
    </xf>
    <xf numFmtId="4" fontId="93" fillId="0" borderId="12" xfId="0" applyNumberFormat="1" applyFont="1" applyFill="1" applyBorder="1" applyAlignment="1">
      <alignment vertical="center"/>
    </xf>
    <xf numFmtId="3" fontId="93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1" fillId="0" borderId="0" xfId="0" applyFont="1" applyAlignment="1">
      <alignment/>
    </xf>
    <xf numFmtId="0" fontId="91" fillId="0" borderId="15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 wrapText="1"/>
    </xf>
    <xf numFmtId="4" fontId="91" fillId="0" borderId="10" xfId="0" applyNumberFormat="1" applyFont="1" applyFill="1" applyBorder="1" applyAlignment="1">
      <alignment vertical="center"/>
    </xf>
    <xf numFmtId="4" fontId="91" fillId="0" borderId="12" xfId="0" applyNumberFormat="1" applyFont="1" applyFill="1" applyBorder="1" applyAlignment="1">
      <alignment vertical="center"/>
    </xf>
    <xf numFmtId="3" fontId="91" fillId="0" borderId="0" xfId="0" applyNumberFormat="1" applyFont="1" applyFill="1" applyBorder="1" applyAlignment="1">
      <alignment vertical="center"/>
    </xf>
    <xf numFmtId="0" fontId="86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Alignment="1">
      <alignment/>
    </xf>
    <xf numFmtId="0" fontId="93" fillId="0" borderId="11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21" xfId="0" applyFont="1" applyFill="1" applyBorder="1" applyAlignment="1">
      <alignment horizontal="center" vertical="center"/>
    </xf>
    <xf numFmtId="4" fontId="91" fillId="0" borderId="10" xfId="0" applyNumberFormat="1" applyFont="1" applyFill="1" applyBorder="1" applyAlignment="1">
      <alignment vertical="center"/>
    </xf>
    <xf numFmtId="4" fontId="91" fillId="0" borderId="12" xfId="0" applyNumberFormat="1" applyFont="1" applyFill="1" applyBorder="1" applyAlignment="1">
      <alignment vertical="center"/>
    </xf>
    <xf numFmtId="0" fontId="91" fillId="0" borderId="10" xfId="0" applyFont="1" applyFill="1" applyBorder="1" applyAlignment="1">
      <alignment vertical="center" wrapText="1"/>
    </xf>
    <xf numFmtId="0" fontId="91" fillId="0" borderId="18" xfId="0" applyFont="1" applyFill="1" applyBorder="1" applyAlignment="1">
      <alignment horizontal="left" vertical="center" wrapText="1"/>
    </xf>
    <xf numFmtId="0" fontId="81" fillId="0" borderId="15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3" fontId="90" fillId="0" borderId="0" xfId="0" applyNumberFormat="1" applyFont="1" applyFill="1" applyBorder="1" applyAlignment="1">
      <alignment vertical="center"/>
    </xf>
    <xf numFmtId="0" fontId="86" fillId="0" borderId="20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3" fontId="85" fillId="0" borderId="0" xfId="0" applyNumberFormat="1" applyFont="1" applyFill="1" applyBorder="1" applyAlignment="1">
      <alignment vertical="center"/>
    </xf>
    <xf numFmtId="0" fontId="91" fillId="0" borderId="15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vertical="center" wrapText="1"/>
    </xf>
    <xf numFmtId="0" fontId="81" fillId="0" borderId="18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4" fontId="86" fillId="0" borderId="0" xfId="0" applyNumberFormat="1" applyFont="1" applyFill="1" applyAlignment="1">
      <alignment/>
    </xf>
    <xf numFmtId="3" fontId="85" fillId="0" borderId="0" xfId="0" applyNumberFormat="1" applyFont="1" applyFill="1" applyBorder="1" applyAlignment="1">
      <alignment vertical="center"/>
    </xf>
    <xf numFmtId="4" fontId="93" fillId="0" borderId="10" xfId="0" applyNumberFormat="1" applyFont="1" applyFill="1" applyBorder="1" applyAlignment="1">
      <alignment vertical="center"/>
    </xf>
    <xf numFmtId="4" fontId="93" fillId="0" borderId="12" xfId="0" applyNumberFormat="1" applyFont="1" applyFill="1" applyBorder="1" applyAlignment="1">
      <alignment vertical="center"/>
    </xf>
    <xf numFmtId="4" fontId="85" fillId="0" borderId="0" xfId="0" applyNumberFormat="1" applyFont="1" applyFill="1" applyAlignment="1">
      <alignment/>
    </xf>
    <xf numFmtId="0" fontId="81" fillId="0" borderId="20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4" fontId="95" fillId="0" borderId="0" xfId="0" applyNumberFormat="1" applyFont="1" applyFill="1" applyAlignment="1">
      <alignment horizontal="left" vertical="center"/>
    </xf>
    <xf numFmtId="4" fontId="0" fillId="0" borderId="0" xfId="0" applyNumberFormat="1" applyFont="1" applyAlignment="1">
      <alignment/>
    </xf>
    <xf numFmtId="49" fontId="13" fillId="0" borderId="20" xfId="0" applyNumberFormat="1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4" fontId="17" fillId="0" borderId="18" xfId="0" applyNumberFormat="1" applyFont="1" applyFill="1" applyBorder="1" applyAlignment="1">
      <alignment vertical="center" wrapText="1"/>
    </xf>
    <xf numFmtId="4" fontId="12" fillId="0" borderId="18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9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76" fillId="0" borderId="18" xfId="0" applyFont="1" applyBorder="1" applyAlignment="1">
      <alignment vertical="center" wrapText="1"/>
    </xf>
    <xf numFmtId="0" fontId="16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92" fillId="0" borderId="12" xfId="0" applyFont="1" applyFill="1" applyBorder="1" applyAlignment="1">
      <alignment horizontal="left" vertical="center"/>
    </xf>
    <xf numFmtId="0" fontId="92" fillId="0" borderId="13" xfId="0" applyFont="1" applyFill="1" applyBorder="1" applyAlignment="1">
      <alignment horizontal="left" vertical="center"/>
    </xf>
    <xf numFmtId="0" fontId="92" fillId="0" borderId="16" xfId="0" applyFont="1" applyFill="1" applyBorder="1" applyAlignment="1">
      <alignment horizontal="left" vertical="center"/>
    </xf>
    <xf numFmtId="0" fontId="94" fillId="0" borderId="12" xfId="0" applyFont="1" applyFill="1" applyBorder="1" applyAlignment="1">
      <alignment horizontal="left" vertical="center"/>
    </xf>
    <xf numFmtId="0" fontId="94" fillId="0" borderId="13" xfId="0" applyFont="1" applyFill="1" applyBorder="1" applyAlignment="1">
      <alignment horizontal="left" vertical="center"/>
    </xf>
    <xf numFmtId="0" fontId="94" fillId="0" borderId="16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3" fillId="0" borderId="24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6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" fontId="62" fillId="35" borderId="12" xfId="0" applyNumberFormat="1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Tabela nr 7" xfId="53"/>
    <cellStyle name="Normalny_tabela nr 8" xfId="54"/>
    <cellStyle name="Normalny_Uch.RMK marzec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6"/>
  <sheetViews>
    <sheetView zoomScale="140" zoomScaleNormal="140" zoomScalePageLayoutView="0" workbookViewId="0" topLeftCell="A1">
      <selection activeCell="J200" sqref="J200"/>
    </sheetView>
  </sheetViews>
  <sheetFormatPr defaultColWidth="9.140625" defaultRowHeight="12.75"/>
  <cols>
    <col min="1" max="1" width="3.8515625" style="180" customWidth="1"/>
    <col min="2" max="2" width="5.8515625" style="93" customWidth="1"/>
    <col min="3" max="3" width="4.57421875" style="180" customWidth="1"/>
    <col min="4" max="4" width="30.28125" style="61" customWidth="1"/>
    <col min="5" max="5" width="14.28125" style="53" customWidth="1"/>
    <col min="6" max="6" width="11.8515625" style="108" customWidth="1"/>
    <col min="7" max="7" width="14.28125" style="53" customWidth="1"/>
    <col min="8" max="8" width="11.8515625" style="108" customWidth="1"/>
    <col min="9" max="9" width="5.421875" style="40" customWidth="1"/>
    <col min="10" max="10" width="11.57421875" style="40" customWidth="1"/>
    <col min="11" max="11" width="17.57421875" style="40" customWidth="1"/>
    <col min="12" max="12" width="13.421875" style="40" customWidth="1"/>
    <col min="13" max="13" width="17.140625" style="40" customWidth="1"/>
    <col min="14" max="16384" width="9.140625" style="40" customWidth="1"/>
  </cols>
  <sheetData>
    <row r="1" spans="5:7" ht="20.25">
      <c r="E1" s="282"/>
      <c r="G1" s="282" t="s">
        <v>361</v>
      </c>
    </row>
    <row r="2" spans="5:7" ht="13.5" customHeight="1">
      <c r="E2" s="137"/>
      <c r="G2" s="137"/>
    </row>
    <row r="5" spans="2:4" ht="18.75">
      <c r="B5" s="139" t="s">
        <v>381</v>
      </c>
      <c r="C5" s="181"/>
      <c r="D5" s="336"/>
    </row>
    <row r="6" spans="2:4" ht="18.75">
      <c r="B6" s="139" t="s">
        <v>674</v>
      </c>
      <c r="C6" s="181"/>
      <c r="D6" s="336"/>
    </row>
    <row r="7" spans="2:4" ht="18.75">
      <c r="B7" s="139"/>
      <c r="C7" s="181"/>
      <c r="D7" s="336"/>
    </row>
    <row r="8" spans="1:8" ht="12.75">
      <c r="A8" s="182"/>
      <c r="B8" s="142"/>
      <c r="C8" s="182"/>
      <c r="D8" s="286"/>
      <c r="F8" s="152"/>
      <c r="H8" s="152" t="s">
        <v>411</v>
      </c>
    </row>
    <row r="9" spans="1:9" ht="27" customHeight="1">
      <c r="A9" s="1129" t="s">
        <v>412</v>
      </c>
      <c r="B9" s="1132" t="s">
        <v>413</v>
      </c>
      <c r="C9" s="1129" t="s">
        <v>439</v>
      </c>
      <c r="D9" s="1135" t="s">
        <v>440</v>
      </c>
      <c r="E9" s="1127" t="s">
        <v>399</v>
      </c>
      <c r="F9" s="1128"/>
      <c r="G9" s="1127" t="s">
        <v>362</v>
      </c>
      <c r="H9" s="1128"/>
      <c r="I9" s="333"/>
    </row>
    <row r="10" spans="1:9" ht="13.5" customHeight="1">
      <c r="A10" s="1130"/>
      <c r="B10" s="1133"/>
      <c r="C10" s="1130"/>
      <c r="D10" s="1136"/>
      <c r="E10" s="143" t="s">
        <v>410</v>
      </c>
      <c r="F10" s="94" t="s">
        <v>320</v>
      </c>
      <c r="G10" s="143" t="s">
        <v>410</v>
      </c>
      <c r="H10" s="94" t="s">
        <v>320</v>
      </c>
      <c r="I10" s="89" t="s">
        <v>379</v>
      </c>
    </row>
    <row r="11" spans="1:9" ht="30" customHeight="1">
      <c r="A11" s="1131"/>
      <c r="B11" s="1134"/>
      <c r="C11" s="1131"/>
      <c r="D11" s="1137"/>
      <c r="E11" s="240" t="s">
        <v>441</v>
      </c>
      <c r="F11" s="239" t="s">
        <v>442</v>
      </c>
      <c r="G11" s="240" t="s">
        <v>441</v>
      </c>
      <c r="H11" s="239" t="s">
        <v>442</v>
      </c>
      <c r="I11" s="98" t="s">
        <v>380</v>
      </c>
    </row>
    <row r="12" spans="1:9" ht="23.25" customHeight="1">
      <c r="A12" s="316" t="s">
        <v>616</v>
      </c>
      <c r="B12" s="5"/>
      <c r="C12" s="184"/>
      <c r="D12" s="338"/>
      <c r="E12" s="44"/>
      <c r="F12" s="334"/>
      <c r="G12" s="44"/>
      <c r="H12" s="334"/>
      <c r="I12" s="335"/>
    </row>
    <row r="13" spans="1:9" s="57" customFormat="1" ht="23.25" customHeight="1">
      <c r="A13" s="348" t="s">
        <v>363</v>
      </c>
      <c r="B13" s="11"/>
      <c r="C13" s="177"/>
      <c r="D13" s="301" t="s">
        <v>437</v>
      </c>
      <c r="E13" s="36">
        <f aca="true" t="shared" si="0" ref="E13:H14">E14</f>
        <v>53278.5</v>
      </c>
      <c r="F13" s="36">
        <f t="shared" si="0"/>
        <v>53278.5</v>
      </c>
      <c r="G13" s="36">
        <f t="shared" si="0"/>
        <v>53278.09</v>
      </c>
      <c r="H13" s="36">
        <f t="shared" si="0"/>
        <v>53278.09</v>
      </c>
      <c r="I13" s="398">
        <f>G13/E13*100</f>
        <v>99.99923045881546</v>
      </c>
    </row>
    <row r="14" spans="1:9" s="56" customFormat="1" ht="18" customHeight="1">
      <c r="A14" s="331"/>
      <c r="B14" s="179" t="s">
        <v>364</v>
      </c>
      <c r="C14" s="185"/>
      <c r="D14" s="304" t="s">
        <v>544</v>
      </c>
      <c r="E14" s="106">
        <f t="shared" si="0"/>
        <v>53278.5</v>
      </c>
      <c r="F14" s="106">
        <f t="shared" si="0"/>
        <v>53278.5</v>
      </c>
      <c r="G14" s="106">
        <f t="shared" si="0"/>
        <v>53278.09</v>
      </c>
      <c r="H14" s="106">
        <f t="shared" si="0"/>
        <v>53278.09</v>
      </c>
      <c r="I14" s="398">
        <f aca="true" t="shared" si="1" ref="I14:I76">G14/E14*100</f>
        <v>99.99923045881546</v>
      </c>
    </row>
    <row r="15" spans="1:9" ht="45" customHeight="1">
      <c r="A15" s="330"/>
      <c r="B15" s="9"/>
      <c r="C15" s="186">
        <v>2010</v>
      </c>
      <c r="D15" s="276" t="s">
        <v>505</v>
      </c>
      <c r="E15" s="55">
        <v>53278.5</v>
      </c>
      <c r="F15" s="116">
        <v>53278.5</v>
      </c>
      <c r="G15" s="55">
        <v>53278.09</v>
      </c>
      <c r="H15" s="116">
        <v>53278.09</v>
      </c>
      <c r="I15" s="398">
        <f t="shared" si="1"/>
        <v>99.99923045881546</v>
      </c>
    </row>
    <row r="16" spans="1:9" ht="19.5" customHeight="1">
      <c r="A16" s="187">
        <v>600</v>
      </c>
      <c r="B16" s="7"/>
      <c r="C16" s="187"/>
      <c r="D16" s="339" t="s">
        <v>414</v>
      </c>
      <c r="E16" s="163">
        <f>E17</f>
        <v>1092382.14</v>
      </c>
      <c r="F16" s="151"/>
      <c r="G16" s="163">
        <f>G17</f>
        <v>537188.43</v>
      </c>
      <c r="H16" s="151"/>
      <c r="I16" s="398">
        <f t="shared" si="1"/>
        <v>49.17587081751447</v>
      </c>
    </row>
    <row r="17" spans="1:9" s="56" customFormat="1" ht="22.5" customHeight="1">
      <c r="A17" s="319"/>
      <c r="B17" s="24">
        <v>60004</v>
      </c>
      <c r="C17" s="185"/>
      <c r="D17" s="340" t="s">
        <v>415</v>
      </c>
      <c r="E17" s="107">
        <f>SUM(E18:E18)</f>
        <v>1092382.14</v>
      </c>
      <c r="F17" s="157"/>
      <c r="G17" s="107">
        <f>SUM(G18:G18)</f>
        <v>537188.43</v>
      </c>
      <c r="H17" s="157"/>
      <c r="I17" s="398">
        <f t="shared" si="1"/>
        <v>49.17587081751447</v>
      </c>
    </row>
    <row r="18" spans="1:9" ht="48" customHeight="1">
      <c r="A18" s="320"/>
      <c r="B18" s="10"/>
      <c r="C18" s="186">
        <v>2310</v>
      </c>
      <c r="D18" s="276" t="s">
        <v>462</v>
      </c>
      <c r="E18" s="55">
        <v>1092382.14</v>
      </c>
      <c r="F18" s="169"/>
      <c r="G18" s="55">
        <v>537188.43</v>
      </c>
      <c r="H18" s="169"/>
      <c r="I18" s="398">
        <f t="shared" si="1"/>
        <v>49.17587081751447</v>
      </c>
    </row>
    <row r="19" spans="1:9" ht="20.25" customHeight="1">
      <c r="A19" s="177">
        <v>700</v>
      </c>
      <c r="B19" s="12"/>
      <c r="C19" s="177"/>
      <c r="D19" s="289" t="s">
        <v>416</v>
      </c>
      <c r="E19" s="36">
        <f>E20+E29</f>
        <v>24760875.96</v>
      </c>
      <c r="F19" s="116"/>
      <c r="G19" s="36">
        <f>G20+G29</f>
        <v>8409949.72</v>
      </c>
      <c r="H19" s="116"/>
      <c r="I19" s="398">
        <f t="shared" si="1"/>
        <v>33.96466964087163</v>
      </c>
    </row>
    <row r="20" spans="1:9" s="56" customFormat="1" ht="21" customHeight="1">
      <c r="A20" s="319"/>
      <c r="B20" s="24">
        <v>70005</v>
      </c>
      <c r="C20" s="185"/>
      <c r="D20" s="340" t="s">
        <v>543</v>
      </c>
      <c r="E20" s="106">
        <f>SUM(E21:E28)</f>
        <v>24660875.96</v>
      </c>
      <c r="F20" s="157"/>
      <c r="G20" s="106">
        <f>SUM(G21:G28)</f>
        <v>8387717.58</v>
      </c>
      <c r="H20" s="157"/>
      <c r="I20" s="398">
        <f t="shared" si="1"/>
        <v>34.0122451189686</v>
      </c>
    </row>
    <row r="21" spans="1:9" ht="39" customHeight="1">
      <c r="A21" s="320"/>
      <c r="B21" s="10"/>
      <c r="C21" s="186" t="s">
        <v>623</v>
      </c>
      <c r="D21" s="276" t="s">
        <v>685</v>
      </c>
      <c r="E21" s="55">
        <f>1550000+200000</f>
        <v>1750000</v>
      </c>
      <c r="F21" s="151"/>
      <c r="G21" s="55">
        <v>1384276.45</v>
      </c>
      <c r="H21" s="151"/>
      <c r="I21" s="398">
        <f t="shared" si="1"/>
        <v>79.10151142857143</v>
      </c>
    </row>
    <row r="22" spans="1:9" ht="18" customHeight="1">
      <c r="A22" s="320"/>
      <c r="B22" s="10"/>
      <c r="C22" s="186" t="s">
        <v>618</v>
      </c>
      <c r="D22" s="276" t="s">
        <v>619</v>
      </c>
      <c r="E22" s="55">
        <v>150000</v>
      </c>
      <c r="F22" s="151"/>
      <c r="G22" s="55">
        <v>85670.69</v>
      </c>
      <c r="H22" s="151"/>
      <c r="I22" s="398">
        <f t="shared" si="1"/>
        <v>57.11379333333334</v>
      </c>
    </row>
    <row r="23" spans="1:9" ht="62.25" customHeight="1">
      <c r="A23" s="320"/>
      <c r="B23" s="10"/>
      <c r="C23" s="186" t="s">
        <v>624</v>
      </c>
      <c r="D23" s="276" t="s">
        <v>499</v>
      </c>
      <c r="E23" s="55">
        <v>11537000</v>
      </c>
      <c r="F23" s="151"/>
      <c r="G23" s="55">
        <v>5210252.21</v>
      </c>
      <c r="H23" s="151"/>
      <c r="I23" s="398">
        <f t="shared" si="1"/>
        <v>45.16123957701309</v>
      </c>
    </row>
    <row r="24" spans="1:9" ht="40.5" customHeight="1">
      <c r="A24" s="320"/>
      <c r="B24" s="10"/>
      <c r="C24" s="186" t="s">
        <v>351</v>
      </c>
      <c r="D24" s="276" t="s">
        <v>352</v>
      </c>
      <c r="E24" s="55">
        <v>225000</v>
      </c>
      <c r="F24" s="151"/>
      <c r="G24" s="55">
        <v>84130.37</v>
      </c>
      <c r="H24" s="151"/>
      <c r="I24" s="398">
        <f t="shared" si="1"/>
        <v>37.39127555555555</v>
      </c>
    </row>
    <row r="25" spans="1:9" ht="36.75" customHeight="1">
      <c r="A25" s="320"/>
      <c r="B25" s="10"/>
      <c r="C25" s="186" t="s">
        <v>353</v>
      </c>
      <c r="D25" s="276" t="s">
        <v>354</v>
      </c>
      <c r="E25" s="55">
        <f>3000000+7000000+166200</f>
        <v>10166200</v>
      </c>
      <c r="F25" s="151"/>
      <c r="G25" s="55">
        <v>741410.33</v>
      </c>
      <c r="H25" s="151"/>
      <c r="I25" s="398">
        <f t="shared" si="1"/>
        <v>7.292895378804272</v>
      </c>
    </row>
    <row r="26" spans="1:9" ht="18" customHeight="1">
      <c r="A26" s="320"/>
      <c r="B26" s="10"/>
      <c r="C26" s="186" t="s">
        <v>504</v>
      </c>
      <c r="D26" s="276" t="s">
        <v>443</v>
      </c>
      <c r="E26" s="55">
        <v>170000</v>
      </c>
      <c r="F26" s="151"/>
      <c r="G26" s="55">
        <v>126506.13</v>
      </c>
      <c r="H26" s="151"/>
      <c r="I26" s="398">
        <f t="shared" si="1"/>
        <v>74.41537058823529</v>
      </c>
    </row>
    <row r="27" spans="1:9" ht="21" customHeight="1">
      <c r="A27" s="320"/>
      <c r="B27" s="10"/>
      <c r="C27" s="186" t="s">
        <v>355</v>
      </c>
      <c r="D27" s="276" t="s">
        <v>394</v>
      </c>
      <c r="E27" s="55">
        <v>70000</v>
      </c>
      <c r="F27" s="151"/>
      <c r="G27" s="55">
        <v>162705.44</v>
      </c>
      <c r="H27" s="151"/>
      <c r="I27" s="398">
        <f t="shared" si="1"/>
        <v>232.43634285714285</v>
      </c>
    </row>
    <row r="28" spans="1:9" ht="45.75" customHeight="1">
      <c r="A28" s="320"/>
      <c r="B28" s="10"/>
      <c r="C28" s="186" t="s">
        <v>365</v>
      </c>
      <c r="D28" s="276" t="s">
        <v>366</v>
      </c>
      <c r="E28" s="55">
        <v>592675.96</v>
      </c>
      <c r="F28" s="151"/>
      <c r="G28" s="55">
        <v>592765.96</v>
      </c>
      <c r="H28" s="151"/>
      <c r="I28" s="398">
        <f t="shared" si="1"/>
        <v>100.01518536368508</v>
      </c>
    </row>
    <row r="29" spans="1:9" s="56" customFormat="1" ht="24.75" customHeight="1">
      <c r="A29" s="319"/>
      <c r="B29" s="25">
        <v>70095</v>
      </c>
      <c r="C29" s="185"/>
      <c r="D29" s="340" t="s">
        <v>544</v>
      </c>
      <c r="E29" s="106">
        <f>SUM(E30:E33)</f>
        <v>100000</v>
      </c>
      <c r="F29" s="166"/>
      <c r="G29" s="106">
        <f>SUM(G30:G33)</f>
        <v>22232.14</v>
      </c>
      <c r="H29" s="166"/>
      <c r="I29" s="398">
        <f t="shared" si="1"/>
        <v>22.23214</v>
      </c>
    </row>
    <row r="30" spans="1:9" s="56" customFormat="1" ht="24.75" customHeight="1">
      <c r="A30" s="319"/>
      <c r="B30" s="30"/>
      <c r="C30" s="186" t="s">
        <v>507</v>
      </c>
      <c r="D30" s="276" t="s">
        <v>463</v>
      </c>
      <c r="E30" s="106"/>
      <c r="F30" s="166"/>
      <c r="G30" s="106">
        <v>1051.65</v>
      </c>
      <c r="H30" s="166"/>
      <c r="I30" s="398"/>
    </row>
    <row r="31" spans="1:9" s="56" customFormat="1" ht="21" customHeight="1">
      <c r="A31" s="319"/>
      <c r="B31" s="30"/>
      <c r="C31" s="186" t="s">
        <v>618</v>
      </c>
      <c r="D31" s="276" t="s">
        <v>619</v>
      </c>
      <c r="E31" s="55">
        <v>30000</v>
      </c>
      <c r="F31" s="166"/>
      <c r="G31" s="55">
        <v>9066.7</v>
      </c>
      <c r="H31" s="166"/>
      <c r="I31" s="398">
        <f t="shared" si="1"/>
        <v>30.222333333333335</v>
      </c>
    </row>
    <row r="32" spans="1:9" s="56" customFormat="1" ht="20.25" customHeight="1">
      <c r="A32" s="319"/>
      <c r="B32" s="30"/>
      <c r="C32" s="186" t="s">
        <v>504</v>
      </c>
      <c r="D32" s="276" t="s">
        <v>443</v>
      </c>
      <c r="E32" s="55">
        <v>35000</v>
      </c>
      <c r="F32" s="166"/>
      <c r="G32" s="55">
        <v>2798.65</v>
      </c>
      <c r="H32" s="166"/>
      <c r="I32" s="398">
        <f t="shared" si="1"/>
        <v>7.996142857142857</v>
      </c>
    </row>
    <row r="33" spans="1:9" s="56" customFormat="1" ht="17.25" customHeight="1">
      <c r="A33" s="319"/>
      <c r="B33" s="30"/>
      <c r="C33" s="183" t="s">
        <v>355</v>
      </c>
      <c r="D33" s="276" t="s">
        <v>394</v>
      </c>
      <c r="E33" s="55">
        <v>35000</v>
      </c>
      <c r="F33" s="166"/>
      <c r="G33" s="55">
        <v>9315.14</v>
      </c>
      <c r="H33" s="166"/>
      <c r="I33" s="398">
        <f t="shared" si="1"/>
        <v>26.614685714285713</v>
      </c>
    </row>
    <row r="34" spans="1:9" s="57" customFormat="1" ht="17.25" customHeight="1">
      <c r="A34" s="177" t="s">
        <v>367</v>
      </c>
      <c r="B34" s="15"/>
      <c r="C34" s="177"/>
      <c r="D34" s="289" t="s">
        <v>553</v>
      </c>
      <c r="E34" s="36">
        <f>E35</f>
        <v>32000</v>
      </c>
      <c r="F34" s="332"/>
      <c r="G34" s="36">
        <f>G35</f>
        <v>32000</v>
      </c>
      <c r="H34" s="332"/>
      <c r="I34" s="398">
        <f t="shared" si="1"/>
        <v>100</v>
      </c>
    </row>
    <row r="35" spans="1:9" s="56" customFormat="1" ht="19.5" customHeight="1">
      <c r="A35" s="319"/>
      <c r="B35" s="25">
        <v>71035</v>
      </c>
      <c r="C35" s="188"/>
      <c r="D35" s="276" t="s">
        <v>369</v>
      </c>
      <c r="E35" s="55">
        <f>E36</f>
        <v>32000</v>
      </c>
      <c r="F35" s="166"/>
      <c r="G35" s="55">
        <f>G36</f>
        <v>32000</v>
      </c>
      <c r="H35" s="166"/>
      <c r="I35" s="398">
        <f t="shared" si="1"/>
        <v>100</v>
      </c>
    </row>
    <row r="36" spans="1:9" s="56" customFormat="1" ht="48" customHeight="1">
      <c r="A36" s="319"/>
      <c r="B36" s="30"/>
      <c r="C36" s="186" t="s">
        <v>368</v>
      </c>
      <c r="D36" s="276" t="s">
        <v>370</v>
      </c>
      <c r="E36" s="55">
        <v>32000</v>
      </c>
      <c r="F36" s="166"/>
      <c r="G36" s="55">
        <v>32000</v>
      </c>
      <c r="H36" s="166"/>
      <c r="I36" s="398">
        <f t="shared" si="1"/>
        <v>100</v>
      </c>
    </row>
    <row r="37" spans="1:9" ht="27" customHeight="1">
      <c r="A37" s="177">
        <v>750</v>
      </c>
      <c r="B37" s="12"/>
      <c r="C37" s="177"/>
      <c r="D37" s="289" t="s">
        <v>545</v>
      </c>
      <c r="E37" s="36">
        <f>E38+E41</f>
        <v>982624.48</v>
      </c>
      <c r="F37" s="36">
        <f>F38+F41</f>
        <v>485100</v>
      </c>
      <c r="G37" s="36">
        <f>G38+G41</f>
        <v>472023.79000000004</v>
      </c>
      <c r="H37" s="36">
        <f>H38+H41</f>
        <v>243504</v>
      </c>
      <c r="I37" s="398">
        <f t="shared" si="1"/>
        <v>48.03704768275263</v>
      </c>
    </row>
    <row r="38" spans="1:9" s="56" customFormat="1" ht="21" customHeight="1">
      <c r="A38" s="319"/>
      <c r="B38" s="25">
        <v>75011</v>
      </c>
      <c r="C38" s="185"/>
      <c r="D38" s="340" t="s">
        <v>617</v>
      </c>
      <c r="E38" s="106">
        <f>SUM(E39:E40)</f>
        <v>485100</v>
      </c>
      <c r="F38" s="106">
        <f>SUM(F39:F40)</f>
        <v>485100</v>
      </c>
      <c r="G38" s="106">
        <f>SUM(G39:G40)</f>
        <v>243562.9</v>
      </c>
      <c r="H38" s="106">
        <f>SUM(H39:H40)</f>
        <v>243504</v>
      </c>
      <c r="I38" s="398">
        <f t="shared" si="1"/>
        <v>50.208802308802305</v>
      </c>
    </row>
    <row r="39" spans="1:9" ht="46.5" customHeight="1">
      <c r="A39" s="320"/>
      <c r="B39" s="10"/>
      <c r="C39" s="186">
        <v>2010</v>
      </c>
      <c r="D39" s="276" t="s">
        <v>505</v>
      </c>
      <c r="E39" s="55">
        <v>485100</v>
      </c>
      <c r="F39" s="103">
        <v>485100</v>
      </c>
      <c r="G39" s="55">
        <v>243504</v>
      </c>
      <c r="H39" s="103">
        <v>243504</v>
      </c>
      <c r="I39" s="398">
        <f t="shared" si="1"/>
        <v>50.19666048237477</v>
      </c>
    </row>
    <row r="40" spans="1:9" ht="46.5" customHeight="1">
      <c r="A40" s="320"/>
      <c r="B40" s="10"/>
      <c r="C40" s="186">
        <v>2360</v>
      </c>
      <c r="D40" s="276" t="s">
        <v>506</v>
      </c>
      <c r="E40" s="55"/>
      <c r="F40" s="104"/>
      <c r="G40" s="55">
        <v>58.9</v>
      </c>
      <c r="H40" s="104"/>
      <c r="I40" s="398"/>
    </row>
    <row r="41" spans="1:9" s="56" customFormat="1" ht="25.5" customHeight="1">
      <c r="A41" s="319"/>
      <c r="B41" s="24">
        <v>75023</v>
      </c>
      <c r="C41" s="185"/>
      <c r="D41" s="340" t="s">
        <v>426</v>
      </c>
      <c r="E41" s="106">
        <f>SUM(E42:E47)</f>
        <v>497524.48</v>
      </c>
      <c r="F41" s="157"/>
      <c r="G41" s="106">
        <f>SUM(G42:G47)</f>
        <v>228460.89</v>
      </c>
      <c r="H41" s="157"/>
      <c r="I41" s="398">
        <f t="shared" si="1"/>
        <v>45.919527417022785</v>
      </c>
    </row>
    <row r="42" spans="1:9" s="56" customFormat="1" ht="25.5" customHeight="1">
      <c r="A42" s="319"/>
      <c r="B42" s="30"/>
      <c r="C42" s="186" t="s">
        <v>507</v>
      </c>
      <c r="D42" s="276" t="s">
        <v>463</v>
      </c>
      <c r="E42" s="106"/>
      <c r="F42" s="166"/>
      <c r="G42" s="55">
        <v>647.15</v>
      </c>
      <c r="H42" s="166"/>
      <c r="I42" s="398"/>
    </row>
    <row r="43" spans="1:9" ht="19.5" customHeight="1">
      <c r="A43" s="320"/>
      <c r="B43" s="10"/>
      <c r="C43" s="186" t="s">
        <v>618</v>
      </c>
      <c r="D43" s="276" t="s">
        <v>619</v>
      </c>
      <c r="E43" s="55">
        <v>65024.48</v>
      </c>
      <c r="F43" s="151"/>
      <c r="G43" s="55">
        <v>40613.13</v>
      </c>
      <c r="H43" s="151"/>
      <c r="I43" s="398">
        <f t="shared" si="1"/>
        <v>62.45821573659642</v>
      </c>
    </row>
    <row r="44" spans="1:9" ht="60" customHeight="1">
      <c r="A44" s="320"/>
      <c r="B44" s="10"/>
      <c r="C44" s="186" t="s">
        <v>624</v>
      </c>
      <c r="D44" s="276" t="s">
        <v>499</v>
      </c>
      <c r="E44" s="55">
        <v>415000</v>
      </c>
      <c r="F44" s="151"/>
      <c r="G44" s="55">
        <v>162064.92</v>
      </c>
      <c r="H44" s="151"/>
      <c r="I44" s="398">
        <f t="shared" si="1"/>
        <v>39.051787951807235</v>
      </c>
    </row>
    <row r="45" spans="1:9" ht="21.75" customHeight="1">
      <c r="A45" s="320"/>
      <c r="B45" s="10"/>
      <c r="C45" s="186" t="s">
        <v>621</v>
      </c>
      <c r="D45" s="276" t="s">
        <v>622</v>
      </c>
      <c r="E45" s="55">
        <v>4500</v>
      </c>
      <c r="F45" s="151"/>
      <c r="G45" s="55">
        <v>3364.69</v>
      </c>
      <c r="H45" s="151"/>
      <c r="I45" s="398">
        <f t="shared" si="1"/>
        <v>74.77088888888889</v>
      </c>
    </row>
    <row r="46" spans="1:9" ht="21.75" customHeight="1">
      <c r="A46" s="320"/>
      <c r="B46" s="10"/>
      <c r="C46" s="183" t="s">
        <v>504</v>
      </c>
      <c r="D46" s="276" t="s">
        <v>443</v>
      </c>
      <c r="E46" s="55">
        <v>3000</v>
      </c>
      <c r="F46" s="151"/>
      <c r="G46" s="55">
        <v>241.89</v>
      </c>
      <c r="H46" s="151"/>
      <c r="I46" s="398">
        <f t="shared" si="1"/>
        <v>8.062999999999999</v>
      </c>
    </row>
    <row r="47" spans="1:9" ht="21.75" customHeight="1">
      <c r="A47" s="320"/>
      <c r="B47" s="10"/>
      <c r="C47" s="186" t="s">
        <v>355</v>
      </c>
      <c r="D47" s="276" t="s">
        <v>356</v>
      </c>
      <c r="E47" s="55">
        <v>10000</v>
      </c>
      <c r="F47" s="151"/>
      <c r="G47" s="55">
        <v>21529.11</v>
      </c>
      <c r="H47" s="151"/>
      <c r="I47" s="398">
        <f t="shared" si="1"/>
        <v>215.2911</v>
      </c>
    </row>
    <row r="48" spans="1:9" ht="33.75" customHeight="1">
      <c r="A48" s="177">
        <v>751</v>
      </c>
      <c r="B48" s="12"/>
      <c r="C48" s="177"/>
      <c r="D48" s="289" t="s">
        <v>427</v>
      </c>
      <c r="E48" s="70">
        <f aca="true" t="shared" si="2" ref="E48:H49">E49</f>
        <v>13500</v>
      </c>
      <c r="F48" s="70">
        <f t="shared" si="2"/>
        <v>13500</v>
      </c>
      <c r="G48" s="70">
        <f t="shared" si="2"/>
        <v>6750</v>
      </c>
      <c r="H48" s="70">
        <f t="shared" si="2"/>
        <v>6750</v>
      </c>
      <c r="I48" s="398">
        <f t="shared" si="1"/>
        <v>50</v>
      </c>
    </row>
    <row r="49" spans="1:9" s="56" customFormat="1" ht="30.75" customHeight="1">
      <c r="A49" s="319"/>
      <c r="B49" s="24">
        <v>75101</v>
      </c>
      <c r="C49" s="185"/>
      <c r="D49" s="340" t="s">
        <v>428</v>
      </c>
      <c r="E49" s="107">
        <f t="shared" si="2"/>
        <v>13500</v>
      </c>
      <c r="F49" s="164">
        <f t="shared" si="2"/>
        <v>13500</v>
      </c>
      <c r="G49" s="107">
        <f t="shared" si="2"/>
        <v>6750</v>
      </c>
      <c r="H49" s="164">
        <f t="shared" si="2"/>
        <v>6750</v>
      </c>
      <c r="I49" s="398">
        <f t="shared" si="1"/>
        <v>50</v>
      </c>
    </row>
    <row r="50" spans="1:9" ht="47.25" customHeight="1">
      <c r="A50" s="320"/>
      <c r="B50" s="10"/>
      <c r="C50" s="186">
        <v>2010</v>
      </c>
      <c r="D50" s="276" t="s">
        <v>505</v>
      </c>
      <c r="E50" s="167">
        <v>13500</v>
      </c>
      <c r="F50" s="151">
        <v>13500</v>
      </c>
      <c r="G50" s="167">
        <v>6750</v>
      </c>
      <c r="H50" s="151">
        <v>6750</v>
      </c>
      <c r="I50" s="398">
        <f t="shared" si="1"/>
        <v>50</v>
      </c>
    </row>
    <row r="51" spans="1:9" ht="25.5" customHeight="1">
      <c r="A51" s="321">
        <v>754</v>
      </c>
      <c r="B51" s="63"/>
      <c r="C51" s="19"/>
      <c r="D51" s="292" t="s">
        <v>546</v>
      </c>
      <c r="E51" s="36">
        <f>E52</f>
        <v>500000</v>
      </c>
      <c r="F51" s="103"/>
      <c r="G51" s="36">
        <f>G52</f>
        <v>241541.86</v>
      </c>
      <c r="H51" s="103"/>
      <c r="I51" s="398">
        <f t="shared" si="1"/>
        <v>48.308372</v>
      </c>
    </row>
    <row r="52" spans="1:9" s="56" customFormat="1" ht="21.75" customHeight="1">
      <c r="A52" s="319"/>
      <c r="B52" s="111">
        <v>75416</v>
      </c>
      <c r="C52" s="185"/>
      <c r="D52" s="340" t="s">
        <v>612</v>
      </c>
      <c r="E52" s="106">
        <f>E53+E54</f>
        <v>500000</v>
      </c>
      <c r="F52" s="148"/>
      <c r="G52" s="106">
        <f>G53+G54</f>
        <v>241541.86</v>
      </c>
      <c r="H52" s="148"/>
      <c r="I52" s="398">
        <f t="shared" si="1"/>
        <v>48.308372</v>
      </c>
    </row>
    <row r="53" spans="1:9" ht="22.5" customHeight="1">
      <c r="A53" s="320"/>
      <c r="B53" s="10"/>
      <c r="C53" s="186" t="s">
        <v>507</v>
      </c>
      <c r="D53" s="276" t="s">
        <v>463</v>
      </c>
      <c r="E53" s="55">
        <v>500000</v>
      </c>
      <c r="F53" s="103"/>
      <c r="G53" s="55">
        <v>241541.75</v>
      </c>
      <c r="H53" s="103"/>
      <c r="I53" s="398">
        <f t="shared" si="1"/>
        <v>48.30835</v>
      </c>
    </row>
    <row r="54" spans="1:9" ht="22.5" customHeight="1">
      <c r="A54" s="320"/>
      <c r="B54" s="10"/>
      <c r="C54" s="186" t="s">
        <v>618</v>
      </c>
      <c r="D54" s="276" t="s">
        <v>619</v>
      </c>
      <c r="E54" s="55"/>
      <c r="F54" s="103"/>
      <c r="G54" s="55">
        <v>0.11</v>
      </c>
      <c r="H54" s="103"/>
      <c r="I54" s="398"/>
    </row>
    <row r="55" spans="1:9" ht="47.25" customHeight="1">
      <c r="A55" s="177">
        <v>756</v>
      </c>
      <c r="B55" s="12"/>
      <c r="C55" s="177"/>
      <c r="D55" s="289" t="s">
        <v>408</v>
      </c>
      <c r="E55" s="36">
        <f>E56+E59+E68+E80+E87+E89</f>
        <v>146324270</v>
      </c>
      <c r="F55" s="103"/>
      <c r="G55" s="36">
        <f>G56+G59+G68+G80+G87+G89</f>
        <v>63458793.36</v>
      </c>
      <c r="H55" s="103"/>
      <c r="I55" s="398">
        <f t="shared" si="1"/>
        <v>43.36860410101482</v>
      </c>
    </row>
    <row r="56" spans="1:9" s="56" customFormat="1" ht="24.75" customHeight="1">
      <c r="A56" s="319"/>
      <c r="B56" s="25">
        <v>75601</v>
      </c>
      <c r="C56" s="185"/>
      <c r="D56" s="340" t="s">
        <v>464</v>
      </c>
      <c r="E56" s="106">
        <f>SUM(E57:E58)</f>
        <v>188500</v>
      </c>
      <c r="F56" s="166"/>
      <c r="G56" s="106">
        <f>SUM(G57:G58)</f>
        <v>80587.45</v>
      </c>
      <c r="H56" s="166"/>
      <c r="I56" s="398">
        <f t="shared" si="1"/>
        <v>42.751962864721484</v>
      </c>
    </row>
    <row r="57" spans="1:9" ht="28.5" customHeight="1">
      <c r="A57" s="320"/>
      <c r="B57" s="10"/>
      <c r="C57" s="186" t="s">
        <v>465</v>
      </c>
      <c r="D57" s="276" t="s">
        <v>466</v>
      </c>
      <c r="E57" s="55">
        <v>185000</v>
      </c>
      <c r="F57" s="151"/>
      <c r="G57" s="55">
        <v>79943.11</v>
      </c>
      <c r="H57" s="151"/>
      <c r="I57" s="398">
        <f t="shared" si="1"/>
        <v>43.212491891891894</v>
      </c>
    </row>
    <row r="58" spans="1:9" ht="22.5" customHeight="1">
      <c r="A58" s="320"/>
      <c r="B58" s="10"/>
      <c r="C58" s="186" t="s">
        <v>500</v>
      </c>
      <c r="D58" s="276" t="s">
        <v>503</v>
      </c>
      <c r="E58" s="101">
        <v>3500</v>
      </c>
      <c r="F58" s="151"/>
      <c r="G58" s="101">
        <v>644.34</v>
      </c>
      <c r="H58" s="151"/>
      <c r="I58" s="398">
        <f t="shared" si="1"/>
        <v>18.409714285714287</v>
      </c>
    </row>
    <row r="59" spans="1:9" s="56" customFormat="1" ht="51" customHeight="1">
      <c r="A59" s="319"/>
      <c r="B59" s="24">
        <v>75615</v>
      </c>
      <c r="C59" s="185"/>
      <c r="D59" s="340" t="s">
        <v>516</v>
      </c>
      <c r="E59" s="106">
        <f>SUM(E60:E67)</f>
        <v>56964800</v>
      </c>
      <c r="F59" s="166"/>
      <c r="G59" s="106">
        <f>SUM(G60:G67)</f>
        <v>28993690.8</v>
      </c>
      <c r="H59" s="166"/>
      <c r="I59" s="398">
        <f t="shared" si="1"/>
        <v>50.89755568350982</v>
      </c>
    </row>
    <row r="60" spans="1:9" ht="15.75" customHeight="1">
      <c r="A60" s="320"/>
      <c r="B60" s="10"/>
      <c r="C60" s="186" t="s">
        <v>517</v>
      </c>
      <c r="D60" s="276" t="s">
        <v>452</v>
      </c>
      <c r="E60" s="55">
        <v>53000000</v>
      </c>
      <c r="F60" s="151"/>
      <c r="G60" s="55">
        <v>28008018.45</v>
      </c>
      <c r="H60" s="151"/>
      <c r="I60" s="398">
        <f t="shared" si="1"/>
        <v>52.84531783018868</v>
      </c>
    </row>
    <row r="61" spans="1:11" ht="16.5" customHeight="1">
      <c r="A61" s="320"/>
      <c r="B61" s="10"/>
      <c r="C61" s="186" t="s">
        <v>518</v>
      </c>
      <c r="D61" s="276" t="s">
        <v>519</v>
      </c>
      <c r="E61" s="55">
        <v>43500</v>
      </c>
      <c r="F61" s="151"/>
      <c r="G61" s="55">
        <v>19195</v>
      </c>
      <c r="H61" s="151"/>
      <c r="I61" s="398">
        <f t="shared" si="1"/>
        <v>44.12643678160919</v>
      </c>
      <c r="K61" s="53"/>
    </row>
    <row r="62" spans="1:9" ht="15.75" customHeight="1">
      <c r="A62" s="320"/>
      <c r="B62" s="10"/>
      <c r="C62" s="186" t="s">
        <v>520</v>
      </c>
      <c r="D62" s="276" t="s">
        <v>521</v>
      </c>
      <c r="E62" s="55">
        <v>8300</v>
      </c>
      <c r="F62" s="151"/>
      <c r="G62" s="55">
        <v>4013</v>
      </c>
      <c r="H62" s="151"/>
      <c r="I62" s="398">
        <f t="shared" si="1"/>
        <v>48.34939759036145</v>
      </c>
    </row>
    <row r="63" spans="1:9" ht="18.75" customHeight="1">
      <c r="A63" s="320"/>
      <c r="B63" s="10"/>
      <c r="C63" s="186" t="s">
        <v>522</v>
      </c>
      <c r="D63" s="276" t="s">
        <v>523</v>
      </c>
      <c r="E63" s="55">
        <v>800000</v>
      </c>
      <c r="F63" s="151"/>
      <c r="G63" s="55">
        <v>226726.09</v>
      </c>
      <c r="H63" s="151"/>
      <c r="I63" s="398">
        <f t="shared" si="1"/>
        <v>28.34076125</v>
      </c>
    </row>
    <row r="64" spans="1:9" ht="21" customHeight="1">
      <c r="A64" s="320"/>
      <c r="B64" s="10"/>
      <c r="C64" s="186" t="s">
        <v>524</v>
      </c>
      <c r="D64" s="276" t="s">
        <v>525</v>
      </c>
      <c r="E64" s="55">
        <v>2800000</v>
      </c>
      <c r="F64" s="151"/>
      <c r="G64" s="55">
        <v>177906.02</v>
      </c>
      <c r="H64" s="151"/>
      <c r="I64" s="398">
        <f t="shared" si="1"/>
        <v>6.3537864285714285</v>
      </c>
    </row>
    <row r="65" spans="1:9" ht="18" customHeight="1">
      <c r="A65" s="320"/>
      <c r="B65" s="10"/>
      <c r="C65" s="186" t="s">
        <v>618</v>
      </c>
      <c r="D65" s="276" t="s">
        <v>619</v>
      </c>
      <c r="E65" s="55">
        <v>1000</v>
      </c>
      <c r="F65" s="151"/>
      <c r="G65" s="55">
        <v>457.6</v>
      </c>
      <c r="H65" s="151"/>
      <c r="I65" s="398">
        <f t="shared" si="1"/>
        <v>45.76</v>
      </c>
    </row>
    <row r="66" spans="1:9" ht="21" customHeight="1">
      <c r="A66" s="320"/>
      <c r="B66" s="10"/>
      <c r="C66" s="186" t="s">
        <v>500</v>
      </c>
      <c r="D66" s="276" t="s">
        <v>503</v>
      </c>
      <c r="E66" s="55">
        <f>130000+10000</f>
        <v>140000</v>
      </c>
      <c r="F66" s="151"/>
      <c r="G66" s="55">
        <v>460256.64</v>
      </c>
      <c r="H66" s="151"/>
      <c r="I66" s="398">
        <f t="shared" si="1"/>
        <v>328.75474285714284</v>
      </c>
    </row>
    <row r="67" spans="1:9" ht="26.25" customHeight="1">
      <c r="A67" s="320"/>
      <c r="B67" s="10"/>
      <c r="C67" s="186">
        <v>2680</v>
      </c>
      <c r="D67" s="276" t="s">
        <v>526</v>
      </c>
      <c r="E67" s="55">
        <v>172000</v>
      </c>
      <c r="F67" s="151"/>
      <c r="G67" s="55">
        <v>97118</v>
      </c>
      <c r="H67" s="151"/>
      <c r="I67" s="398">
        <f t="shared" si="1"/>
        <v>56.4639534883721</v>
      </c>
    </row>
    <row r="68" spans="1:9" s="56" customFormat="1" ht="45.75" customHeight="1">
      <c r="A68" s="319"/>
      <c r="B68" s="25">
        <v>75616</v>
      </c>
      <c r="C68" s="185"/>
      <c r="D68" s="340" t="s">
        <v>512</v>
      </c>
      <c r="E68" s="106">
        <f>SUM(E69:E79)</f>
        <v>13832950</v>
      </c>
      <c r="F68" s="166"/>
      <c r="G68" s="106">
        <f>SUM(G69:G79)</f>
        <v>7190848.89</v>
      </c>
      <c r="H68" s="166"/>
      <c r="I68" s="398">
        <f t="shared" si="1"/>
        <v>51.98348067476568</v>
      </c>
    </row>
    <row r="69" spans="1:9" ht="18" customHeight="1">
      <c r="A69" s="320"/>
      <c r="B69" s="10"/>
      <c r="C69" s="186" t="s">
        <v>517</v>
      </c>
      <c r="D69" s="276" t="s">
        <v>452</v>
      </c>
      <c r="E69" s="55">
        <v>8060000</v>
      </c>
      <c r="F69" s="151"/>
      <c r="G69" s="55">
        <v>5006081.64</v>
      </c>
      <c r="H69" s="151"/>
      <c r="I69" s="398">
        <f t="shared" si="1"/>
        <v>62.110194044665015</v>
      </c>
    </row>
    <row r="70" spans="1:9" ht="18" customHeight="1">
      <c r="A70" s="320"/>
      <c r="B70" s="10"/>
      <c r="C70" s="186" t="s">
        <v>518</v>
      </c>
      <c r="D70" s="276" t="s">
        <v>519</v>
      </c>
      <c r="E70" s="55">
        <v>171500</v>
      </c>
      <c r="F70" s="151"/>
      <c r="G70" s="55">
        <v>78713.88</v>
      </c>
      <c r="H70" s="151"/>
      <c r="I70" s="398">
        <f t="shared" si="1"/>
        <v>45.89730612244898</v>
      </c>
    </row>
    <row r="71" spans="1:9" ht="18.75" customHeight="1">
      <c r="A71" s="320"/>
      <c r="B71" s="10"/>
      <c r="C71" s="186" t="s">
        <v>520</v>
      </c>
      <c r="D71" s="276" t="s">
        <v>521</v>
      </c>
      <c r="E71" s="55">
        <v>1450</v>
      </c>
      <c r="F71" s="151"/>
      <c r="G71" s="55">
        <v>544.26</v>
      </c>
      <c r="H71" s="151"/>
      <c r="I71" s="398">
        <f t="shared" si="1"/>
        <v>37.535172413793106</v>
      </c>
    </row>
    <row r="72" spans="1:9" ht="16.5" customHeight="1">
      <c r="A72" s="320"/>
      <c r="B72" s="10"/>
      <c r="C72" s="186" t="s">
        <v>522</v>
      </c>
      <c r="D72" s="276" t="s">
        <v>523</v>
      </c>
      <c r="E72" s="55">
        <v>730000</v>
      </c>
      <c r="F72" s="151"/>
      <c r="G72" s="55">
        <v>293724.67</v>
      </c>
      <c r="H72" s="151"/>
      <c r="I72" s="398">
        <f t="shared" si="1"/>
        <v>40.23625616438356</v>
      </c>
    </row>
    <row r="73" spans="1:9" ht="16.5" customHeight="1">
      <c r="A73" s="320"/>
      <c r="B73" s="10"/>
      <c r="C73" s="186" t="s">
        <v>509</v>
      </c>
      <c r="D73" s="276" t="s">
        <v>308</v>
      </c>
      <c r="E73" s="55">
        <v>400000</v>
      </c>
      <c r="F73" s="151"/>
      <c r="G73" s="55">
        <v>214711.76</v>
      </c>
      <c r="H73" s="151"/>
      <c r="I73" s="398">
        <f t="shared" si="1"/>
        <v>53.67794</v>
      </c>
    </row>
    <row r="74" spans="1:9" ht="16.5" customHeight="1">
      <c r="A74" s="320"/>
      <c r="B74" s="10"/>
      <c r="C74" s="186" t="s">
        <v>342</v>
      </c>
      <c r="D74" s="276" t="s">
        <v>343</v>
      </c>
      <c r="E74" s="55">
        <v>50000</v>
      </c>
      <c r="F74" s="151"/>
      <c r="G74" s="55">
        <v>33865</v>
      </c>
      <c r="H74" s="151"/>
      <c r="I74" s="398">
        <f t="shared" si="1"/>
        <v>67.73</v>
      </c>
    </row>
    <row r="75" spans="1:9" ht="16.5" customHeight="1">
      <c r="A75" s="320"/>
      <c r="B75" s="10"/>
      <c r="C75" s="186" t="s">
        <v>309</v>
      </c>
      <c r="D75" s="276" t="s">
        <v>310</v>
      </c>
      <c r="E75" s="55">
        <f>950000+280000</f>
        <v>1230000</v>
      </c>
      <c r="F75" s="151"/>
      <c r="G75" s="55">
        <v>392476.37</v>
      </c>
      <c r="H75" s="151"/>
      <c r="I75" s="398">
        <f t="shared" si="1"/>
        <v>31.908647967479673</v>
      </c>
    </row>
    <row r="76" spans="1:9" ht="18.75" customHeight="1">
      <c r="A76" s="320"/>
      <c r="B76" s="10"/>
      <c r="C76" s="186" t="s">
        <v>524</v>
      </c>
      <c r="D76" s="276" t="s">
        <v>525</v>
      </c>
      <c r="E76" s="55">
        <v>3000000</v>
      </c>
      <c r="F76" s="151"/>
      <c r="G76" s="55">
        <v>1099785.04</v>
      </c>
      <c r="H76" s="151"/>
      <c r="I76" s="398">
        <f t="shared" si="1"/>
        <v>36.65950133333333</v>
      </c>
    </row>
    <row r="77" spans="1:9" ht="25.5" customHeight="1">
      <c r="A77" s="320"/>
      <c r="B77" s="10"/>
      <c r="C77" s="186" t="s">
        <v>507</v>
      </c>
      <c r="D77" s="276" t="s">
        <v>463</v>
      </c>
      <c r="E77" s="55"/>
      <c r="F77" s="151"/>
      <c r="G77" s="55">
        <v>530.9</v>
      </c>
      <c r="H77" s="151"/>
      <c r="I77" s="398"/>
    </row>
    <row r="78" spans="1:9" ht="18" customHeight="1">
      <c r="A78" s="320"/>
      <c r="B78" s="10"/>
      <c r="C78" s="186" t="s">
        <v>618</v>
      </c>
      <c r="D78" s="276" t="s">
        <v>619</v>
      </c>
      <c r="E78" s="55">
        <v>20000</v>
      </c>
      <c r="F78" s="151"/>
      <c r="G78" s="55">
        <v>8697.94</v>
      </c>
      <c r="H78" s="151"/>
      <c r="I78" s="398">
        <f aca="true" t="shared" si="3" ref="I78:I141">G78/E78*100</f>
        <v>43.489700000000006</v>
      </c>
    </row>
    <row r="79" spans="1:9" ht="21.75" customHeight="1">
      <c r="A79" s="320"/>
      <c r="B79" s="10"/>
      <c r="C79" s="186" t="s">
        <v>500</v>
      </c>
      <c r="D79" s="276" t="s">
        <v>503</v>
      </c>
      <c r="E79" s="55">
        <v>170000</v>
      </c>
      <c r="F79" s="151"/>
      <c r="G79" s="55">
        <v>61717.43</v>
      </c>
      <c r="H79" s="151"/>
      <c r="I79" s="398">
        <f t="shared" si="3"/>
        <v>36.304370588235294</v>
      </c>
    </row>
    <row r="80" spans="1:9" s="56" customFormat="1" ht="37.5" customHeight="1">
      <c r="A80" s="319"/>
      <c r="B80" s="24">
        <v>75618</v>
      </c>
      <c r="C80" s="185" t="s">
        <v>410</v>
      </c>
      <c r="D80" s="340" t="s">
        <v>311</v>
      </c>
      <c r="E80" s="106">
        <f>SUM(E81:E86)</f>
        <v>11763000</v>
      </c>
      <c r="F80" s="166"/>
      <c r="G80" s="106">
        <f>SUM(G81:G86)</f>
        <v>2307067.7399999998</v>
      </c>
      <c r="H80" s="166"/>
      <c r="I80" s="398">
        <f t="shared" si="3"/>
        <v>19.61291966335118</v>
      </c>
    </row>
    <row r="81" spans="1:9" ht="20.25" customHeight="1">
      <c r="A81" s="320"/>
      <c r="B81" s="10"/>
      <c r="C81" s="186" t="s">
        <v>312</v>
      </c>
      <c r="D81" s="276" t="s">
        <v>313</v>
      </c>
      <c r="E81" s="55">
        <v>1800000</v>
      </c>
      <c r="F81" s="151"/>
      <c r="G81" s="55">
        <v>874922.4</v>
      </c>
      <c r="H81" s="151"/>
      <c r="I81" s="398">
        <f t="shared" si="3"/>
        <v>48.6068</v>
      </c>
    </row>
    <row r="82" spans="1:9" ht="23.25" customHeight="1">
      <c r="A82" s="320"/>
      <c r="B82" s="10"/>
      <c r="C82" s="183" t="s">
        <v>314</v>
      </c>
      <c r="D82" s="341" t="s">
        <v>513</v>
      </c>
      <c r="E82" s="55">
        <v>1600000</v>
      </c>
      <c r="F82" s="151"/>
      <c r="G82" s="55">
        <v>1227442.65</v>
      </c>
      <c r="H82" s="151"/>
      <c r="I82" s="398">
        <f t="shared" si="3"/>
        <v>76.715165625</v>
      </c>
    </row>
    <row r="83" spans="1:9" ht="36.75" customHeight="1">
      <c r="A83" s="320"/>
      <c r="B83" s="10"/>
      <c r="C83" s="186" t="s">
        <v>315</v>
      </c>
      <c r="D83" s="276" t="s">
        <v>316</v>
      </c>
      <c r="E83" s="55">
        <f>8000000+362000</f>
        <v>8362000</v>
      </c>
      <c r="F83" s="151"/>
      <c r="G83" s="55">
        <v>201977.38</v>
      </c>
      <c r="H83" s="151"/>
      <c r="I83" s="398">
        <f t="shared" si="3"/>
        <v>2.415419516861995</v>
      </c>
    </row>
    <row r="84" spans="1:9" ht="25.5" customHeight="1">
      <c r="A84" s="320"/>
      <c r="B84" s="10"/>
      <c r="C84" s="186" t="s">
        <v>558</v>
      </c>
      <c r="D84" s="276" t="s">
        <v>559</v>
      </c>
      <c r="E84" s="55"/>
      <c r="F84" s="151"/>
      <c r="G84" s="55">
        <v>2657.85</v>
      </c>
      <c r="H84" s="151"/>
      <c r="I84" s="398"/>
    </row>
    <row r="85" spans="1:9" ht="21.75" customHeight="1">
      <c r="A85" s="320"/>
      <c r="B85" s="10"/>
      <c r="C85" s="186" t="s">
        <v>618</v>
      </c>
      <c r="D85" s="276" t="s">
        <v>619</v>
      </c>
      <c r="E85" s="55">
        <v>500</v>
      </c>
      <c r="F85" s="151"/>
      <c r="G85" s="55">
        <v>26.4</v>
      </c>
      <c r="H85" s="151"/>
      <c r="I85" s="398">
        <f t="shared" si="3"/>
        <v>5.28</v>
      </c>
    </row>
    <row r="86" spans="1:9" ht="19.5" customHeight="1">
      <c r="A86" s="320"/>
      <c r="B86" s="10"/>
      <c r="C86" s="183" t="s">
        <v>504</v>
      </c>
      <c r="D86" s="276" t="s">
        <v>443</v>
      </c>
      <c r="E86" s="55">
        <v>500</v>
      </c>
      <c r="F86" s="151"/>
      <c r="G86" s="55">
        <v>41.06</v>
      </c>
      <c r="H86" s="151"/>
      <c r="I86" s="398">
        <f t="shared" si="3"/>
        <v>8.212</v>
      </c>
    </row>
    <row r="87" spans="1:9" s="56" customFormat="1" ht="24" customHeight="1">
      <c r="A87" s="319"/>
      <c r="B87" s="25">
        <v>75620</v>
      </c>
      <c r="C87" s="189"/>
      <c r="D87" s="340" t="s">
        <v>532</v>
      </c>
      <c r="E87" s="106"/>
      <c r="F87" s="166"/>
      <c r="G87" s="106">
        <f>G88</f>
        <v>40</v>
      </c>
      <c r="H87" s="166"/>
      <c r="I87" s="398"/>
    </row>
    <row r="88" spans="1:9" ht="19.5" customHeight="1">
      <c r="A88" s="320"/>
      <c r="B88" s="10"/>
      <c r="C88" s="186" t="s">
        <v>524</v>
      </c>
      <c r="D88" s="276" t="s">
        <v>525</v>
      </c>
      <c r="E88" s="55"/>
      <c r="F88" s="151"/>
      <c r="G88" s="55">
        <v>40</v>
      </c>
      <c r="H88" s="151"/>
      <c r="I88" s="398"/>
    </row>
    <row r="89" spans="1:9" s="56" customFormat="1" ht="27.75" customHeight="1">
      <c r="A89" s="319"/>
      <c r="B89" s="24">
        <v>75621</v>
      </c>
      <c r="C89" s="185"/>
      <c r="D89" s="340" t="s">
        <v>317</v>
      </c>
      <c r="E89" s="106">
        <f>SUM(E90:E91)</f>
        <v>63575020</v>
      </c>
      <c r="F89" s="166"/>
      <c r="G89" s="106">
        <f>SUM(G90:G91)</f>
        <v>24886558.48</v>
      </c>
      <c r="H89" s="166"/>
      <c r="I89" s="398">
        <f t="shared" si="3"/>
        <v>39.145183878825364</v>
      </c>
    </row>
    <row r="90" spans="1:9" ht="21.75" customHeight="1">
      <c r="A90" s="320"/>
      <c r="B90" s="10"/>
      <c r="C90" s="186" t="s">
        <v>318</v>
      </c>
      <c r="D90" s="276" t="s">
        <v>625</v>
      </c>
      <c r="E90" s="55">
        <v>56975020</v>
      </c>
      <c r="F90" s="151"/>
      <c r="G90" s="55">
        <v>23771172</v>
      </c>
      <c r="H90" s="151"/>
      <c r="I90" s="398">
        <f t="shared" si="3"/>
        <v>41.72209505148046</v>
      </c>
    </row>
    <row r="91" spans="1:9" ht="20.25" customHeight="1">
      <c r="A91" s="320"/>
      <c r="B91" s="10"/>
      <c r="C91" s="186" t="s">
        <v>626</v>
      </c>
      <c r="D91" s="276" t="s">
        <v>627</v>
      </c>
      <c r="E91" s="55">
        <v>6600000</v>
      </c>
      <c r="F91" s="151"/>
      <c r="G91" s="55">
        <v>1115386.48</v>
      </c>
      <c r="H91" s="151"/>
      <c r="I91" s="398">
        <f t="shared" si="3"/>
        <v>16.89979515151515</v>
      </c>
    </row>
    <row r="92" spans="1:9" ht="21" customHeight="1">
      <c r="A92" s="177">
        <v>758</v>
      </c>
      <c r="B92" s="12"/>
      <c r="C92" s="177"/>
      <c r="D92" s="289" t="s">
        <v>547</v>
      </c>
      <c r="E92" s="36">
        <f>E93+E95+E101+E103+E105</f>
        <v>51720385.18</v>
      </c>
      <c r="F92" s="103"/>
      <c r="G92" s="36">
        <f>G93+G95+G101+G103+G105</f>
        <v>33470746.000000004</v>
      </c>
      <c r="H92" s="103"/>
      <c r="I92" s="398">
        <f t="shared" si="3"/>
        <v>64.71480419860247</v>
      </c>
    </row>
    <row r="93" spans="1:9" s="56" customFormat="1" ht="29.25" customHeight="1">
      <c r="A93" s="319"/>
      <c r="B93" s="24">
        <v>75801</v>
      </c>
      <c r="C93" s="185"/>
      <c r="D93" s="340" t="s">
        <v>628</v>
      </c>
      <c r="E93" s="106">
        <f>E94</f>
        <v>43740285</v>
      </c>
      <c r="F93" s="157"/>
      <c r="G93" s="106">
        <f>G94</f>
        <v>26917096</v>
      </c>
      <c r="H93" s="157"/>
      <c r="I93" s="398">
        <f t="shared" si="3"/>
        <v>61.538455910838266</v>
      </c>
    </row>
    <row r="94" spans="1:9" ht="22.5" customHeight="1">
      <c r="A94" s="320"/>
      <c r="B94" s="10"/>
      <c r="C94" s="186">
        <v>2920</v>
      </c>
      <c r="D94" s="276" t="s">
        <v>629</v>
      </c>
      <c r="E94" s="167">
        <v>43740285</v>
      </c>
      <c r="F94" s="151"/>
      <c r="G94" s="167">
        <v>26917096</v>
      </c>
      <c r="H94" s="151"/>
      <c r="I94" s="398">
        <f t="shared" si="3"/>
        <v>61.538455910838266</v>
      </c>
    </row>
    <row r="95" spans="1:9" s="56" customFormat="1" ht="21" customHeight="1">
      <c r="A95" s="319"/>
      <c r="B95" s="24">
        <v>75814</v>
      </c>
      <c r="C95" s="185"/>
      <c r="D95" s="340" t="s">
        <v>403</v>
      </c>
      <c r="E95" s="106">
        <f>SUM(E96:E100)</f>
        <v>7263706.18</v>
      </c>
      <c r="F95" s="166"/>
      <c r="G95" s="106">
        <f>SUM(G96:G100)</f>
        <v>6444233.49</v>
      </c>
      <c r="H95" s="166"/>
      <c r="I95" s="398">
        <f t="shared" si="3"/>
        <v>88.71825663520988</v>
      </c>
    </row>
    <row r="96" spans="1:9" ht="20.25" customHeight="1">
      <c r="A96" s="320"/>
      <c r="B96" s="10"/>
      <c r="C96" s="183" t="s">
        <v>504</v>
      </c>
      <c r="D96" s="276" t="s">
        <v>443</v>
      </c>
      <c r="E96" s="55">
        <v>750000</v>
      </c>
      <c r="F96" s="151"/>
      <c r="G96" s="55">
        <v>624820.06</v>
      </c>
      <c r="H96" s="151"/>
      <c r="I96" s="398">
        <f t="shared" si="3"/>
        <v>83.30934133333334</v>
      </c>
    </row>
    <row r="97" spans="1:9" ht="19.5" customHeight="1">
      <c r="A97" s="320"/>
      <c r="B97" s="10"/>
      <c r="C97" s="183" t="s">
        <v>355</v>
      </c>
      <c r="D97" s="276" t="s">
        <v>356</v>
      </c>
      <c r="E97" s="55">
        <v>832200</v>
      </c>
      <c r="F97" s="151"/>
      <c r="G97" s="55">
        <v>502376.95</v>
      </c>
      <c r="H97" s="151"/>
      <c r="I97" s="398">
        <f t="shared" si="3"/>
        <v>60.367333573660176</v>
      </c>
    </row>
    <row r="98" spans="1:9" ht="84.75" customHeight="1">
      <c r="A98" s="320"/>
      <c r="B98" s="10"/>
      <c r="C98" s="183">
        <v>2910</v>
      </c>
      <c r="D98" s="393" t="s">
        <v>560</v>
      </c>
      <c r="E98" s="55"/>
      <c r="F98" s="151"/>
      <c r="G98" s="55">
        <v>257317.86</v>
      </c>
      <c r="H98" s="151"/>
      <c r="I98" s="398"/>
    </row>
    <row r="99" spans="1:9" ht="39.75" customHeight="1">
      <c r="A99" s="320"/>
      <c r="B99" s="10"/>
      <c r="C99" s="183" t="s">
        <v>371</v>
      </c>
      <c r="D99" s="276" t="s">
        <v>372</v>
      </c>
      <c r="E99" s="55">
        <v>563591.48</v>
      </c>
      <c r="F99" s="151"/>
      <c r="G99" s="55">
        <v>563591.48</v>
      </c>
      <c r="H99" s="151"/>
      <c r="I99" s="398">
        <f t="shared" si="3"/>
        <v>100</v>
      </c>
    </row>
    <row r="100" spans="1:9" ht="36" customHeight="1">
      <c r="A100" s="320"/>
      <c r="B100" s="10"/>
      <c r="C100" s="183">
        <v>6680</v>
      </c>
      <c r="D100" s="276" t="s">
        <v>372</v>
      </c>
      <c r="E100" s="55">
        <v>5117914.7</v>
      </c>
      <c r="F100" s="151"/>
      <c r="G100" s="55">
        <v>4496127.14</v>
      </c>
      <c r="H100" s="151"/>
      <c r="I100" s="398">
        <f t="shared" si="3"/>
        <v>87.8507635150699</v>
      </c>
    </row>
    <row r="101" spans="1:9" ht="23.25" customHeight="1">
      <c r="A101" s="320"/>
      <c r="B101" s="25">
        <v>75815</v>
      </c>
      <c r="C101" s="189"/>
      <c r="D101" s="394" t="s">
        <v>561</v>
      </c>
      <c r="E101" s="106">
        <f>E102</f>
        <v>0</v>
      </c>
      <c r="F101" s="166"/>
      <c r="G101" s="106">
        <f>G102</f>
        <v>-540785.4</v>
      </c>
      <c r="H101" s="151"/>
      <c r="I101" s="398"/>
    </row>
    <row r="102" spans="1:9" ht="21.75" customHeight="1">
      <c r="A102" s="320"/>
      <c r="B102" s="10"/>
      <c r="C102" s="186" t="s">
        <v>562</v>
      </c>
      <c r="D102" s="393" t="s">
        <v>561</v>
      </c>
      <c r="E102" s="55"/>
      <c r="F102" s="151"/>
      <c r="G102" s="55">
        <v>-540785.4</v>
      </c>
      <c r="H102" s="151"/>
      <c r="I102" s="398"/>
    </row>
    <row r="103" spans="1:9" ht="25.5" customHeight="1">
      <c r="A103" s="320"/>
      <c r="B103" s="25">
        <v>75816</v>
      </c>
      <c r="C103" s="189"/>
      <c r="D103" s="394" t="s">
        <v>563</v>
      </c>
      <c r="E103" s="106">
        <f>E104</f>
        <v>0</v>
      </c>
      <c r="F103" s="166"/>
      <c r="G103" s="106">
        <f>G104</f>
        <v>292001.91</v>
      </c>
      <c r="H103" s="151"/>
      <c r="I103" s="398"/>
    </row>
    <row r="104" spans="1:9" ht="24" customHeight="1">
      <c r="A104" s="320"/>
      <c r="B104" s="10"/>
      <c r="C104" s="183" t="s">
        <v>564</v>
      </c>
      <c r="D104" s="393" t="s">
        <v>565</v>
      </c>
      <c r="E104" s="55"/>
      <c r="F104" s="151"/>
      <c r="G104" s="55">
        <v>292001.91</v>
      </c>
      <c r="H104" s="151"/>
      <c r="I104" s="398"/>
    </row>
    <row r="105" spans="1:9" s="56" customFormat="1" ht="30" customHeight="1">
      <c r="A105" s="319"/>
      <c r="B105" s="24">
        <v>75831</v>
      </c>
      <c r="C105" s="189"/>
      <c r="D105" s="340" t="s">
        <v>630</v>
      </c>
      <c r="E105" s="106">
        <f>E106</f>
        <v>716394</v>
      </c>
      <c r="F105" s="166"/>
      <c r="G105" s="106">
        <f>G106</f>
        <v>358200</v>
      </c>
      <c r="H105" s="166"/>
      <c r="I105" s="398">
        <f t="shared" si="3"/>
        <v>50.00041876397625</v>
      </c>
    </row>
    <row r="106" spans="1:9" ht="22.5" customHeight="1">
      <c r="A106" s="320"/>
      <c r="B106" s="10"/>
      <c r="C106" s="186">
        <v>2920</v>
      </c>
      <c r="D106" s="276" t="s">
        <v>629</v>
      </c>
      <c r="E106" s="101">
        <v>716394</v>
      </c>
      <c r="F106" s="151"/>
      <c r="G106" s="101">
        <v>358200</v>
      </c>
      <c r="H106" s="151"/>
      <c r="I106" s="398">
        <f t="shared" si="3"/>
        <v>50.00041876397625</v>
      </c>
    </row>
    <row r="107" spans="1:9" ht="20.25" customHeight="1">
      <c r="A107" s="177">
        <v>801</v>
      </c>
      <c r="B107" s="15"/>
      <c r="C107" s="177"/>
      <c r="D107" s="289" t="s">
        <v>549</v>
      </c>
      <c r="E107" s="36">
        <f>E108+E115+E123+E129+E133</f>
        <v>9220632.5</v>
      </c>
      <c r="F107" s="103"/>
      <c r="G107" s="36">
        <f>G108+G115+G123+G129+G133</f>
        <v>3683585.57</v>
      </c>
      <c r="H107" s="103"/>
      <c r="I107" s="398">
        <f t="shared" si="3"/>
        <v>39.94938058750308</v>
      </c>
    </row>
    <row r="108" spans="1:9" s="56" customFormat="1" ht="21" customHeight="1">
      <c r="A108" s="319"/>
      <c r="B108" s="25">
        <v>80101</v>
      </c>
      <c r="C108" s="179"/>
      <c r="D108" s="340" t="s">
        <v>550</v>
      </c>
      <c r="E108" s="156">
        <f>SUM(E109:E114)</f>
        <v>875780</v>
      </c>
      <c r="F108" s="166"/>
      <c r="G108" s="156">
        <f>SUM(G109:G114)</f>
        <v>502760.06</v>
      </c>
      <c r="H108" s="166"/>
      <c r="I108" s="398">
        <f t="shared" si="3"/>
        <v>57.4071182260385</v>
      </c>
    </row>
    <row r="109" spans="1:9" s="56" customFormat="1" ht="21" customHeight="1">
      <c r="A109" s="322"/>
      <c r="B109" s="35"/>
      <c r="C109" s="186" t="s">
        <v>618</v>
      </c>
      <c r="D109" s="276" t="s">
        <v>619</v>
      </c>
      <c r="E109" s="101">
        <v>200</v>
      </c>
      <c r="F109" s="151"/>
      <c r="G109" s="101">
        <v>267</v>
      </c>
      <c r="H109" s="151"/>
      <c r="I109" s="398">
        <f t="shared" si="3"/>
        <v>133.5</v>
      </c>
    </row>
    <row r="110" spans="1:9" ht="59.25" customHeight="1">
      <c r="A110" s="323"/>
      <c r="B110" s="8"/>
      <c r="C110" s="190" t="s">
        <v>624</v>
      </c>
      <c r="D110" s="276" t="s">
        <v>499</v>
      </c>
      <c r="E110" s="55">
        <v>380000</v>
      </c>
      <c r="F110" s="151"/>
      <c r="G110" s="55">
        <v>248804.56</v>
      </c>
      <c r="H110" s="151"/>
      <c r="I110" s="398">
        <f t="shared" si="3"/>
        <v>65.47488421052631</v>
      </c>
    </row>
    <row r="111" spans="1:9" ht="20.25" customHeight="1">
      <c r="A111" s="323"/>
      <c r="B111" s="8"/>
      <c r="C111" s="190" t="s">
        <v>504</v>
      </c>
      <c r="D111" s="276" t="s">
        <v>443</v>
      </c>
      <c r="E111" s="55"/>
      <c r="F111" s="151"/>
      <c r="G111" s="55">
        <v>260.52</v>
      </c>
      <c r="H111" s="151"/>
      <c r="I111" s="398"/>
    </row>
    <row r="112" spans="1:9" ht="24.75" customHeight="1">
      <c r="A112" s="323"/>
      <c r="B112" s="8"/>
      <c r="C112" s="188" t="s">
        <v>135</v>
      </c>
      <c r="D112" s="276" t="s">
        <v>136</v>
      </c>
      <c r="E112" s="55">
        <v>20500</v>
      </c>
      <c r="F112" s="151"/>
      <c r="G112" s="55">
        <v>4000</v>
      </c>
      <c r="H112" s="151"/>
      <c r="I112" s="398">
        <f t="shared" si="3"/>
        <v>19.51219512195122</v>
      </c>
    </row>
    <row r="113" spans="1:9" ht="18.75" customHeight="1">
      <c r="A113" s="323"/>
      <c r="B113" s="8"/>
      <c r="C113" s="186" t="s">
        <v>355</v>
      </c>
      <c r="D113" s="276" t="s">
        <v>356</v>
      </c>
      <c r="E113" s="55">
        <v>13280</v>
      </c>
      <c r="F113" s="151"/>
      <c r="G113" s="55">
        <v>18527.98</v>
      </c>
      <c r="H113" s="151"/>
      <c r="I113" s="398">
        <f t="shared" si="3"/>
        <v>139.517921686747</v>
      </c>
    </row>
    <row r="114" spans="1:9" ht="37.5" customHeight="1">
      <c r="A114" s="323"/>
      <c r="B114" s="8"/>
      <c r="C114" s="190">
        <v>6330</v>
      </c>
      <c r="D114" s="276" t="s">
        <v>373</v>
      </c>
      <c r="E114" s="55">
        <v>461800</v>
      </c>
      <c r="F114" s="151"/>
      <c r="G114" s="55">
        <v>230900</v>
      </c>
      <c r="H114" s="151"/>
      <c r="I114" s="398">
        <f t="shared" si="3"/>
        <v>50</v>
      </c>
    </row>
    <row r="115" spans="1:9" s="56" customFormat="1" ht="21.75" customHeight="1">
      <c r="A115" s="322"/>
      <c r="B115" s="25">
        <v>80104</v>
      </c>
      <c r="C115" s="179"/>
      <c r="D115" s="340" t="s">
        <v>631</v>
      </c>
      <c r="E115" s="106">
        <f>SUM(E116:E122)</f>
        <v>3817774</v>
      </c>
      <c r="F115" s="166"/>
      <c r="G115" s="106">
        <f>SUM(G116:G122)</f>
        <v>2227737.27</v>
      </c>
      <c r="H115" s="166"/>
      <c r="I115" s="398">
        <f t="shared" si="3"/>
        <v>58.3517324493278</v>
      </c>
    </row>
    <row r="116" spans="1:9" s="56" customFormat="1" ht="21.75" customHeight="1">
      <c r="A116" s="322"/>
      <c r="B116" s="35"/>
      <c r="C116" s="186" t="s">
        <v>618</v>
      </c>
      <c r="D116" s="276" t="s">
        <v>619</v>
      </c>
      <c r="E116" s="55"/>
      <c r="F116" s="151"/>
      <c r="G116" s="55">
        <v>24.6</v>
      </c>
      <c r="H116" s="166"/>
      <c r="I116" s="398"/>
    </row>
    <row r="117" spans="1:9" ht="58.5" customHeight="1">
      <c r="A117" s="323"/>
      <c r="B117" s="8"/>
      <c r="C117" s="186" t="s">
        <v>624</v>
      </c>
      <c r="D117" s="276" t="s">
        <v>499</v>
      </c>
      <c r="E117" s="55">
        <v>202821</v>
      </c>
      <c r="F117" s="151"/>
      <c r="G117" s="55">
        <v>136607.44</v>
      </c>
      <c r="H117" s="151"/>
      <c r="I117" s="398">
        <f t="shared" si="3"/>
        <v>67.35369611627988</v>
      </c>
    </row>
    <row r="118" spans="1:9" ht="18.75" customHeight="1">
      <c r="A118" s="323"/>
      <c r="B118" s="8"/>
      <c r="C118" s="190" t="s">
        <v>621</v>
      </c>
      <c r="D118" s="276" t="s">
        <v>622</v>
      </c>
      <c r="E118" s="55">
        <v>3162153</v>
      </c>
      <c r="F118" s="151"/>
      <c r="G118" s="55">
        <v>1829486.24</v>
      </c>
      <c r="H118" s="151"/>
      <c r="I118" s="398">
        <f t="shared" si="3"/>
        <v>57.855715393910415</v>
      </c>
    </row>
    <row r="119" spans="1:9" ht="18.75" customHeight="1">
      <c r="A119" s="323"/>
      <c r="B119" s="8"/>
      <c r="C119" s="190" t="s">
        <v>504</v>
      </c>
      <c r="D119" s="276" t="s">
        <v>443</v>
      </c>
      <c r="E119" s="55">
        <v>5344</v>
      </c>
      <c r="F119" s="151"/>
      <c r="G119" s="55">
        <v>1917.42</v>
      </c>
      <c r="H119" s="151"/>
      <c r="I119" s="398">
        <f t="shared" si="3"/>
        <v>35.87986526946108</v>
      </c>
    </row>
    <row r="120" spans="1:9" ht="18.75" customHeight="1">
      <c r="A120" s="323"/>
      <c r="B120" s="8"/>
      <c r="C120" s="191" t="s">
        <v>355</v>
      </c>
      <c r="D120" s="276" t="s">
        <v>356</v>
      </c>
      <c r="E120" s="55">
        <v>17456</v>
      </c>
      <c r="F120" s="151"/>
      <c r="G120" s="55">
        <v>8491.01</v>
      </c>
      <c r="H120" s="151"/>
      <c r="I120" s="398">
        <f t="shared" si="3"/>
        <v>48.64235792850596</v>
      </c>
    </row>
    <row r="121" spans="1:9" ht="48.75" customHeight="1">
      <c r="A121" s="323"/>
      <c r="B121" s="8"/>
      <c r="C121" s="190">
        <v>2310</v>
      </c>
      <c r="D121" s="276" t="s">
        <v>462</v>
      </c>
      <c r="E121" s="55">
        <v>420000</v>
      </c>
      <c r="F121" s="151"/>
      <c r="G121" s="55">
        <v>251210.56</v>
      </c>
      <c r="H121" s="151"/>
      <c r="I121" s="398">
        <f t="shared" si="3"/>
        <v>59.812038095238094</v>
      </c>
    </row>
    <row r="122" spans="1:9" ht="44.25" customHeight="1">
      <c r="A122" s="323"/>
      <c r="B122" s="8"/>
      <c r="C122" s="186">
        <v>2701</v>
      </c>
      <c r="D122" s="276" t="s">
        <v>636</v>
      </c>
      <c r="E122" s="55">
        <v>10000</v>
      </c>
      <c r="F122" s="151"/>
      <c r="G122" s="55">
        <v>0</v>
      </c>
      <c r="H122" s="151"/>
      <c r="I122" s="398"/>
    </row>
    <row r="123" spans="1:9" s="56" customFormat="1" ht="21" customHeight="1">
      <c r="A123" s="322"/>
      <c r="B123" s="25">
        <v>80110</v>
      </c>
      <c r="C123" s="179"/>
      <c r="D123" s="340" t="s">
        <v>551</v>
      </c>
      <c r="E123" s="106">
        <f>SUM(E124:E128)</f>
        <v>112750</v>
      </c>
      <c r="F123" s="166"/>
      <c r="G123" s="106">
        <f>SUM(G124:G128)</f>
        <v>53840.53</v>
      </c>
      <c r="H123" s="166"/>
      <c r="I123" s="398">
        <f t="shared" si="3"/>
        <v>47.75213303769401</v>
      </c>
    </row>
    <row r="124" spans="1:9" s="56" customFormat="1" ht="21" customHeight="1">
      <c r="A124" s="322"/>
      <c r="B124" s="35"/>
      <c r="C124" s="186" t="s">
        <v>618</v>
      </c>
      <c r="D124" s="276" t="s">
        <v>619</v>
      </c>
      <c r="E124" s="55">
        <v>500</v>
      </c>
      <c r="F124" s="166"/>
      <c r="G124" s="55">
        <v>240</v>
      </c>
      <c r="H124" s="166"/>
      <c r="I124" s="398">
        <f t="shared" si="3"/>
        <v>48</v>
      </c>
    </row>
    <row r="125" spans="1:9" ht="58.5" customHeight="1">
      <c r="A125" s="323"/>
      <c r="B125" s="8"/>
      <c r="C125" s="186" t="s">
        <v>624</v>
      </c>
      <c r="D125" s="276" t="s">
        <v>499</v>
      </c>
      <c r="E125" s="55">
        <v>87200</v>
      </c>
      <c r="F125" s="151"/>
      <c r="G125" s="55">
        <v>34841.72</v>
      </c>
      <c r="H125" s="151"/>
      <c r="I125" s="398">
        <f t="shared" si="3"/>
        <v>39.95610091743119</v>
      </c>
    </row>
    <row r="126" spans="1:9" ht="19.5" customHeight="1">
      <c r="A126" s="323"/>
      <c r="B126" s="8"/>
      <c r="C126" s="190" t="s">
        <v>504</v>
      </c>
      <c r="D126" s="276" t="s">
        <v>443</v>
      </c>
      <c r="E126" s="55">
        <v>750</v>
      </c>
      <c r="F126" s="151"/>
      <c r="G126" s="55">
        <v>1.07</v>
      </c>
      <c r="H126" s="151"/>
      <c r="I126" s="398">
        <f t="shared" si="3"/>
        <v>0.1426666666666667</v>
      </c>
    </row>
    <row r="127" spans="1:9" ht="24" customHeight="1">
      <c r="A127" s="323"/>
      <c r="B127" s="8"/>
      <c r="C127" s="188" t="s">
        <v>135</v>
      </c>
      <c r="D127" s="276" t="s">
        <v>136</v>
      </c>
      <c r="E127" s="55">
        <v>12100</v>
      </c>
      <c r="F127" s="151"/>
      <c r="G127" s="55">
        <v>12100</v>
      </c>
      <c r="H127" s="151"/>
      <c r="I127" s="398">
        <f t="shared" si="3"/>
        <v>100</v>
      </c>
    </row>
    <row r="128" spans="1:9" ht="21" customHeight="1">
      <c r="A128" s="323"/>
      <c r="B128" s="8"/>
      <c r="C128" s="191" t="s">
        <v>355</v>
      </c>
      <c r="D128" s="276" t="s">
        <v>356</v>
      </c>
      <c r="E128" s="55">
        <v>12200</v>
      </c>
      <c r="F128" s="151"/>
      <c r="G128" s="55">
        <v>6657.74</v>
      </c>
      <c r="H128" s="151"/>
      <c r="I128" s="398">
        <f t="shared" si="3"/>
        <v>54.57163934426229</v>
      </c>
    </row>
    <row r="129" spans="1:9" s="56" customFormat="1" ht="21" customHeight="1">
      <c r="A129" s="322"/>
      <c r="B129" s="25">
        <v>80148</v>
      </c>
      <c r="C129" s="192"/>
      <c r="D129" s="293" t="s">
        <v>407</v>
      </c>
      <c r="E129" s="106">
        <f>SUM(E130:E132)</f>
        <v>1560128.5</v>
      </c>
      <c r="F129" s="166"/>
      <c r="G129" s="106">
        <f>SUM(G130:G132)</f>
        <v>899247.71</v>
      </c>
      <c r="H129" s="166"/>
      <c r="I129" s="398">
        <f t="shared" si="3"/>
        <v>57.639336118787654</v>
      </c>
    </row>
    <row r="130" spans="1:9" ht="18.75" customHeight="1">
      <c r="A130" s="323"/>
      <c r="B130" s="8"/>
      <c r="C130" s="190" t="s">
        <v>621</v>
      </c>
      <c r="D130" s="276" t="s">
        <v>622</v>
      </c>
      <c r="E130" s="55">
        <v>1404101.5</v>
      </c>
      <c r="F130" s="151"/>
      <c r="G130" s="55">
        <v>782897.62</v>
      </c>
      <c r="H130" s="151"/>
      <c r="I130" s="398">
        <f t="shared" si="3"/>
        <v>55.75790781506893</v>
      </c>
    </row>
    <row r="131" spans="1:9" ht="19.5" customHeight="1">
      <c r="A131" s="323"/>
      <c r="B131" s="8"/>
      <c r="C131" s="190" t="s">
        <v>504</v>
      </c>
      <c r="D131" s="276" t="s">
        <v>443</v>
      </c>
      <c r="E131" s="55"/>
      <c r="F131" s="151"/>
      <c r="G131" s="55">
        <v>62.69</v>
      </c>
      <c r="H131" s="151"/>
      <c r="I131" s="398"/>
    </row>
    <row r="132" spans="1:9" ht="16.5" customHeight="1">
      <c r="A132" s="323"/>
      <c r="B132" s="8"/>
      <c r="C132" s="191" t="s">
        <v>355</v>
      </c>
      <c r="D132" s="276" t="s">
        <v>356</v>
      </c>
      <c r="E132" s="55">
        <v>156027</v>
      </c>
      <c r="F132" s="151"/>
      <c r="G132" s="55">
        <v>116287.4</v>
      </c>
      <c r="H132" s="151"/>
      <c r="I132" s="398">
        <f t="shared" si="3"/>
        <v>74.53030565222686</v>
      </c>
    </row>
    <row r="133" spans="1:9" s="56" customFormat="1" ht="21" customHeight="1">
      <c r="A133" s="322"/>
      <c r="B133" s="25">
        <v>80195</v>
      </c>
      <c r="C133" s="192"/>
      <c r="D133" s="340" t="s">
        <v>544</v>
      </c>
      <c r="E133" s="106">
        <f>E134</f>
        <v>2854200</v>
      </c>
      <c r="F133" s="166"/>
      <c r="G133" s="106">
        <f>G134</f>
        <v>0</v>
      </c>
      <c r="H133" s="166"/>
      <c r="I133" s="398"/>
    </row>
    <row r="134" spans="1:9" ht="71.25" customHeight="1">
      <c r="A134" s="323"/>
      <c r="B134" s="2"/>
      <c r="C134" s="191" t="s">
        <v>401</v>
      </c>
      <c r="D134" s="276" t="s">
        <v>400</v>
      </c>
      <c r="E134" s="55">
        <f>641600+2212600</f>
        <v>2854200</v>
      </c>
      <c r="F134" s="151"/>
      <c r="G134" s="55">
        <v>0</v>
      </c>
      <c r="H134" s="151"/>
      <c r="I134" s="398"/>
    </row>
    <row r="135" spans="1:9" ht="20.25" customHeight="1">
      <c r="A135" s="177">
        <v>851</v>
      </c>
      <c r="B135" s="7"/>
      <c r="C135" s="177"/>
      <c r="D135" s="289" t="s">
        <v>409</v>
      </c>
      <c r="E135" s="36">
        <f>E136</f>
        <v>436080</v>
      </c>
      <c r="F135" s="103"/>
      <c r="G135" s="36">
        <f>G136</f>
        <v>192558.3</v>
      </c>
      <c r="H135" s="103"/>
      <c r="I135" s="398">
        <f t="shared" si="3"/>
        <v>44.15664556962025</v>
      </c>
    </row>
    <row r="136" spans="1:11" s="56" customFormat="1" ht="21.75" customHeight="1">
      <c r="A136" s="319"/>
      <c r="B136" s="28">
        <v>85158</v>
      </c>
      <c r="C136" s="185"/>
      <c r="D136" s="340" t="s">
        <v>451</v>
      </c>
      <c r="E136" s="156">
        <f>SUM(E137:E140)</f>
        <v>436080</v>
      </c>
      <c r="F136" s="166"/>
      <c r="G136" s="156">
        <f>SUM(G137:G140)</f>
        <v>192558.3</v>
      </c>
      <c r="H136" s="166"/>
      <c r="I136" s="398">
        <f t="shared" si="3"/>
        <v>44.15664556962025</v>
      </c>
      <c r="K136" s="407"/>
    </row>
    <row r="137" spans="1:9" ht="18.75" customHeight="1">
      <c r="A137" s="320"/>
      <c r="B137" s="16"/>
      <c r="C137" s="190" t="s">
        <v>621</v>
      </c>
      <c r="D137" s="276" t="s">
        <v>622</v>
      </c>
      <c r="E137" s="55">
        <v>325290</v>
      </c>
      <c r="F137" s="151"/>
      <c r="G137" s="55">
        <v>95909.74</v>
      </c>
      <c r="H137" s="151"/>
      <c r="I137" s="398">
        <f t="shared" si="3"/>
        <v>29.48438009161056</v>
      </c>
    </row>
    <row r="138" spans="1:9" ht="17.25" customHeight="1">
      <c r="A138" s="320"/>
      <c r="B138" s="18"/>
      <c r="C138" s="190" t="s">
        <v>504</v>
      </c>
      <c r="D138" s="276" t="s">
        <v>443</v>
      </c>
      <c r="E138" s="55">
        <v>300</v>
      </c>
      <c r="F138" s="151"/>
      <c r="G138" s="55">
        <v>9.64</v>
      </c>
      <c r="H138" s="151"/>
      <c r="I138" s="398">
        <f t="shared" si="3"/>
        <v>3.2133333333333334</v>
      </c>
    </row>
    <row r="139" spans="1:9" ht="18.75" customHeight="1">
      <c r="A139" s="320"/>
      <c r="B139" s="18"/>
      <c r="C139" s="191" t="s">
        <v>355</v>
      </c>
      <c r="D139" s="276" t="s">
        <v>356</v>
      </c>
      <c r="E139" s="55">
        <v>10490</v>
      </c>
      <c r="F139" s="151"/>
      <c r="G139" s="55">
        <v>3193.92</v>
      </c>
      <c r="H139" s="151"/>
      <c r="I139" s="398">
        <f t="shared" si="3"/>
        <v>30.44728312678742</v>
      </c>
    </row>
    <row r="140" spans="1:9" ht="48" customHeight="1">
      <c r="A140" s="320"/>
      <c r="B140" s="18"/>
      <c r="C140" s="191">
        <v>2710</v>
      </c>
      <c r="D140" s="342" t="s">
        <v>393</v>
      </c>
      <c r="E140" s="55">
        <v>100000</v>
      </c>
      <c r="F140" s="151"/>
      <c r="G140" s="55">
        <v>93445</v>
      </c>
      <c r="H140" s="151"/>
      <c r="I140" s="398">
        <f t="shared" si="3"/>
        <v>93.445</v>
      </c>
    </row>
    <row r="141" spans="1:9" ht="22.5" customHeight="1">
      <c r="A141" s="177">
        <v>852</v>
      </c>
      <c r="B141" s="12"/>
      <c r="C141" s="177"/>
      <c r="D141" s="289" t="s">
        <v>424</v>
      </c>
      <c r="E141" s="36">
        <f>E142+E145+E147+E150+E153+E156+E158+E162+E165+E170</f>
        <v>28157263</v>
      </c>
      <c r="F141" s="178">
        <f>F142+F145+F147+F150+F153+F156+F158+F162+F165+F170</f>
        <v>20618512</v>
      </c>
      <c r="G141" s="36">
        <f>G142+G145+G147+G150+G153+G156+G158+G162+G165+G170</f>
        <v>17117811.29</v>
      </c>
      <c r="H141" s="178">
        <f>H142+H145+H147+H150+H153+H156+H158+H162+H165+H170</f>
        <v>11589558</v>
      </c>
      <c r="I141" s="398">
        <f t="shared" si="3"/>
        <v>60.79359094667688</v>
      </c>
    </row>
    <row r="142" spans="1:9" s="56" customFormat="1" ht="22.5" customHeight="1">
      <c r="A142" s="319"/>
      <c r="B142" s="28">
        <v>85203</v>
      </c>
      <c r="C142" s="185"/>
      <c r="D142" s="340" t="s">
        <v>620</v>
      </c>
      <c r="E142" s="106">
        <f>SUM(E143:E144)</f>
        <v>232690</v>
      </c>
      <c r="F142" s="148">
        <f>SUM(F143:F144)</f>
        <v>232590</v>
      </c>
      <c r="G142" s="106">
        <f>SUM(G143:G144)</f>
        <v>125587.7</v>
      </c>
      <c r="H142" s="148">
        <f>SUM(H143:H144)</f>
        <v>125550</v>
      </c>
      <c r="I142" s="398">
        <f aca="true" t="shared" si="4" ref="I142:I203">G142/E142*100</f>
        <v>53.97210881430229</v>
      </c>
    </row>
    <row r="143" spans="1:9" ht="47.25" customHeight="1">
      <c r="A143" s="323"/>
      <c r="B143" s="14"/>
      <c r="C143" s="190">
        <v>2010</v>
      </c>
      <c r="D143" s="276" t="s">
        <v>505</v>
      </c>
      <c r="E143" s="55">
        <v>232590</v>
      </c>
      <c r="F143" s="103">
        <v>232590</v>
      </c>
      <c r="G143" s="55">
        <v>125550</v>
      </c>
      <c r="H143" s="103">
        <v>125550</v>
      </c>
      <c r="I143" s="398">
        <f t="shared" si="4"/>
        <v>53.97910486263382</v>
      </c>
    </row>
    <row r="144" spans="1:9" ht="47.25" customHeight="1">
      <c r="A144" s="323"/>
      <c r="B144" s="2"/>
      <c r="C144" s="186">
        <v>2360</v>
      </c>
      <c r="D144" s="276" t="s">
        <v>506</v>
      </c>
      <c r="E144" s="55">
        <v>100</v>
      </c>
      <c r="F144" s="103"/>
      <c r="G144" s="55">
        <v>37.7</v>
      </c>
      <c r="H144" s="103"/>
      <c r="I144" s="398">
        <f t="shared" si="4"/>
        <v>37.7</v>
      </c>
    </row>
    <row r="145" spans="1:9" s="56" customFormat="1" ht="27" customHeight="1">
      <c r="A145" s="322"/>
      <c r="B145" s="38">
        <v>85206</v>
      </c>
      <c r="C145" s="185"/>
      <c r="D145" s="340" t="s">
        <v>374</v>
      </c>
      <c r="E145" s="106">
        <f>E146</f>
        <v>43206</v>
      </c>
      <c r="F145" s="148"/>
      <c r="G145" s="106">
        <f>G146</f>
        <v>43206</v>
      </c>
      <c r="H145" s="148"/>
      <c r="I145" s="398">
        <f t="shared" si="4"/>
        <v>100</v>
      </c>
    </row>
    <row r="146" spans="1:9" ht="36" customHeight="1">
      <c r="A146" s="323"/>
      <c r="B146" s="2"/>
      <c r="C146" s="186">
        <v>2030</v>
      </c>
      <c r="D146" s="276" t="s">
        <v>673</v>
      </c>
      <c r="E146" s="55">
        <v>43206</v>
      </c>
      <c r="F146" s="103"/>
      <c r="G146" s="55">
        <v>43206</v>
      </c>
      <c r="H146" s="103"/>
      <c r="I146" s="398">
        <f t="shared" si="4"/>
        <v>100</v>
      </c>
    </row>
    <row r="147" spans="1:9" s="56" customFormat="1" ht="48.75" customHeight="1">
      <c r="A147" s="319"/>
      <c r="B147" s="25">
        <v>85212</v>
      </c>
      <c r="C147" s="185"/>
      <c r="D147" s="340" t="s">
        <v>515</v>
      </c>
      <c r="E147" s="106">
        <f>SUM(E148:E149)</f>
        <v>19795114</v>
      </c>
      <c r="F147" s="148">
        <f>SUM(F148:F149)</f>
        <v>19610824</v>
      </c>
      <c r="G147" s="106">
        <f>SUM(G148:G149)</f>
        <v>11161786.41</v>
      </c>
      <c r="H147" s="148">
        <f>SUM(H148:H149)</f>
        <v>11060000</v>
      </c>
      <c r="I147" s="398">
        <f t="shared" si="4"/>
        <v>56.386573019988674</v>
      </c>
    </row>
    <row r="148" spans="1:9" ht="49.5" customHeight="1">
      <c r="A148" s="323"/>
      <c r="B148" s="8"/>
      <c r="C148" s="190">
        <v>2010</v>
      </c>
      <c r="D148" s="276" t="s">
        <v>505</v>
      </c>
      <c r="E148" s="55">
        <v>19610824</v>
      </c>
      <c r="F148" s="103">
        <v>19610824</v>
      </c>
      <c r="G148" s="55">
        <v>11060000</v>
      </c>
      <c r="H148" s="103">
        <v>11060000</v>
      </c>
      <c r="I148" s="398">
        <f t="shared" si="4"/>
        <v>56.39742623767364</v>
      </c>
    </row>
    <row r="149" spans="1:9" ht="49.5" customHeight="1">
      <c r="A149" s="323"/>
      <c r="B149" s="8"/>
      <c r="C149" s="186">
        <v>2360</v>
      </c>
      <c r="D149" s="276" t="s">
        <v>506</v>
      </c>
      <c r="E149" s="55">
        <v>184290</v>
      </c>
      <c r="F149" s="103"/>
      <c r="G149" s="55">
        <v>101786.41</v>
      </c>
      <c r="H149" s="103"/>
      <c r="I149" s="398">
        <f t="shared" si="4"/>
        <v>55.23165120191004</v>
      </c>
    </row>
    <row r="150" spans="1:9" s="56" customFormat="1" ht="73.5" customHeight="1">
      <c r="A150" s="319"/>
      <c r="B150" s="25">
        <v>85213</v>
      </c>
      <c r="C150" s="185"/>
      <c r="D150" s="340" t="s">
        <v>514</v>
      </c>
      <c r="E150" s="106">
        <f>E151+E152</f>
        <v>286740</v>
      </c>
      <c r="F150" s="148">
        <f>F151+F152</f>
        <v>135000</v>
      </c>
      <c r="G150" s="106">
        <f>G151+G152</f>
        <v>155800</v>
      </c>
      <c r="H150" s="148">
        <f>H151+H152</f>
        <v>69700</v>
      </c>
      <c r="I150" s="398">
        <f t="shared" si="4"/>
        <v>54.33493757410894</v>
      </c>
    </row>
    <row r="151" spans="1:9" ht="48.75" customHeight="1">
      <c r="A151" s="320"/>
      <c r="B151" s="10"/>
      <c r="C151" s="186">
        <v>2010</v>
      </c>
      <c r="D151" s="276" t="s">
        <v>505</v>
      </c>
      <c r="E151" s="55">
        <v>135000</v>
      </c>
      <c r="F151" s="103">
        <v>135000</v>
      </c>
      <c r="G151" s="55">
        <v>69700</v>
      </c>
      <c r="H151" s="103">
        <v>69700</v>
      </c>
      <c r="I151" s="398">
        <f t="shared" si="4"/>
        <v>51.629629629629626</v>
      </c>
    </row>
    <row r="152" spans="1:9" ht="36" customHeight="1">
      <c r="A152" s="320"/>
      <c r="B152" s="10"/>
      <c r="C152" s="186">
        <v>2030</v>
      </c>
      <c r="D152" s="276" t="s">
        <v>673</v>
      </c>
      <c r="E152" s="55">
        <v>151740</v>
      </c>
      <c r="F152" s="103"/>
      <c r="G152" s="55">
        <v>86100</v>
      </c>
      <c r="H152" s="103"/>
      <c r="I152" s="398">
        <f t="shared" si="4"/>
        <v>56.74179517595888</v>
      </c>
    </row>
    <row r="153" spans="1:9" s="56" customFormat="1" ht="33.75" customHeight="1">
      <c r="A153" s="319"/>
      <c r="B153" s="24">
        <v>85214</v>
      </c>
      <c r="C153" s="185"/>
      <c r="D153" s="340" t="s">
        <v>453</v>
      </c>
      <c r="E153" s="106">
        <f>SUM(E154:E155)</f>
        <v>3503883</v>
      </c>
      <c r="F153" s="157"/>
      <c r="G153" s="106">
        <f>SUM(G154:G155)</f>
        <v>2540816.22</v>
      </c>
      <c r="H153" s="157"/>
      <c r="I153" s="398">
        <f t="shared" si="4"/>
        <v>72.51429970692516</v>
      </c>
    </row>
    <row r="154" spans="1:9" ht="21" customHeight="1">
      <c r="A154" s="320"/>
      <c r="B154" s="10"/>
      <c r="C154" s="186" t="s">
        <v>355</v>
      </c>
      <c r="D154" s="276" t="s">
        <v>356</v>
      </c>
      <c r="E154" s="55">
        <v>6500</v>
      </c>
      <c r="F154" s="95"/>
      <c r="G154" s="55">
        <v>816.22</v>
      </c>
      <c r="H154" s="95"/>
      <c r="I154" s="398">
        <f t="shared" si="4"/>
        <v>12.55723076923077</v>
      </c>
    </row>
    <row r="155" spans="1:9" ht="39.75" customHeight="1">
      <c r="A155" s="320"/>
      <c r="B155" s="10"/>
      <c r="C155" s="186">
        <v>2030</v>
      </c>
      <c r="D155" s="276" t="s">
        <v>673</v>
      </c>
      <c r="E155" s="55">
        <v>3497383</v>
      </c>
      <c r="F155" s="97"/>
      <c r="G155" s="55">
        <v>2540000</v>
      </c>
      <c r="H155" s="97"/>
      <c r="I155" s="398">
        <f t="shared" si="4"/>
        <v>72.62573186865721</v>
      </c>
    </row>
    <row r="156" spans="1:9" ht="24" customHeight="1">
      <c r="A156" s="320"/>
      <c r="B156" s="25">
        <v>85216</v>
      </c>
      <c r="C156" s="185"/>
      <c r="D156" s="340" t="s">
        <v>300</v>
      </c>
      <c r="E156" s="29">
        <f>E157</f>
        <v>1330832</v>
      </c>
      <c r="F156" s="95"/>
      <c r="G156" s="29">
        <f>G157</f>
        <v>1007000</v>
      </c>
      <c r="H156" s="95"/>
      <c r="I156" s="398">
        <f t="shared" si="4"/>
        <v>75.66695120045205</v>
      </c>
    </row>
    <row r="157" spans="1:9" ht="27" customHeight="1">
      <c r="A157" s="320"/>
      <c r="B157" s="10"/>
      <c r="C157" s="186">
        <v>2030</v>
      </c>
      <c r="D157" s="276" t="s">
        <v>673</v>
      </c>
      <c r="E157" s="27">
        <v>1330832</v>
      </c>
      <c r="F157" s="116"/>
      <c r="G157" s="27">
        <v>1007000</v>
      </c>
      <c r="H157" s="116"/>
      <c r="I157" s="398">
        <f t="shared" si="4"/>
        <v>75.66695120045205</v>
      </c>
    </row>
    <row r="158" spans="1:9" s="56" customFormat="1" ht="21.75" customHeight="1">
      <c r="A158" s="319"/>
      <c r="B158" s="24">
        <v>85219</v>
      </c>
      <c r="C158" s="185"/>
      <c r="D158" s="340" t="s">
        <v>454</v>
      </c>
      <c r="E158" s="29">
        <f>SUM(E159:E161)</f>
        <v>652963</v>
      </c>
      <c r="F158" s="115">
        <f>SUM(F159:F161)</f>
        <v>27963</v>
      </c>
      <c r="G158" s="29">
        <f>SUM(G159:G161)</f>
        <v>375094.43</v>
      </c>
      <c r="H158" s="115">
        <f>SUM(H159:H161)</f>
        <v>27963</v>
      </c>
      <c r="I158" s="398">
        <f t="shared" si="4"/>
        <v>57.44497467697251</v>
      </c>
    </row>
    <row r="159" spans="1:9" ht="20.25" customHeight="1">
      <c r="A159" s="320"/>
      <c r="B159" s="10"/>
      <c r="C159" s="186" t="s">
        <v>355</v>
      </c>
      <c r="D159" s="276" t="s">
        <v>356</v>
      </c>
      <c r="E159" s="55">
        <v>1100</v>
      </c>
      <c r="F159" s="95"/>
      <c r="G159" s="173">
        <v>11201.43</v>
      </c>
      <c r="H159" s="95"/>
      <c r="I159" s="398">
        <f t="shared" si="4"/>
        <v>1018.3118181818182</v>
      </c>
    </row>
    <row r="160" spans="1:9" ht="49.5" customHeight="1">
      <c r="A160" s="320"/>
      <c r="B160" s="10"/>
      <c r="C160" s="186">
        <v>2010</v>
      </c>
      <c r="D160" s="276" t="s">
        <v>505</v>
      </c>
      <c r="E160" s="172">
        <v>27963</v>
      </c>
      <c r="F160" s="116">
        <v>27963</v>
      </c>
      <c r="G160" s="55">
        <v>27963</v>
      </c>
      <c r="H160" s="116">
        <v>27963</v>
      </c>
      <c r="I160" s="398">
        <f t="shared" si="4"/>
        <v>100</v>
      </c>
    </row>
    <row r="161" spans="1:9" ht="34.5" customHeight="1">
      <c r="A161" s="320"/>
      <c r="B161" s="10"/>
      <c r="C161" s="186">
        <v>2030</v>
      </c>
      <c r="D161" s="276" t="s">
        <v>673</v>
      </c>
      <c r="E161" s="172">
        <v>623900</v>
      </c>
      <c r="F161" s="97"/>
      <c r="G161" s="172">
        <v>335930</v>
      </c>
      <c r="H161" s="97"/>
      <c r="I161" s="398">
        <f t="shared" si="4"/>
        <v>53.84356467382594</v>
      </c>
    </row>
    <row r="162" spans="1:9" ht="34.5" customHeight="1">
      <c r="A162" s="320"/>
      <c r="B162" s="25">
        <v>85220</v>
      </c>
      <c r="C162" s="192"/>
      <c r="D162" s="340" t="s">
        <v>671</v>
      </c>
      <c r="E162" s="106">
        <f>E163+E164</f>
        <v>8000</v>
      </c>
      <c r="F162" s="97"/>
      <c r="G162" s="106">
        <f>G163+G164</f>
        <v>3630.1800000000003</v>
      </c>
      <c r="H162" s="97"/>
      <c r="I162" s="398">
        <f t="shared" si="4"/>
        <v>45.377250000000004</v>
      </c>
    </row>
    <row r="163" spans="1:9" ht="21" customHeight="1">
      <c r="A163" s="320"/>
      <c r="B163" s="33"/>
      <c r="C163" s="186" t="s">
        <v>618</v>
      </c>
      <c r="D163" s="276" t="s">
        <v>619</v>
      </c>
      <c r="E163" s="106"/>
      <c r="F163" s="97"/>
      <c r="G163" s="106">
        <v>26.4</v>
      </c>
      <c r="H163" s="97"/>
      <c r="I163" s="398"/>
    </row>
    <row r="164" spans="1:9" ht="21.75" customHeight="1">
      <c r="A164" s="320"/>
      <c r="B164" s="18"/>
      <c r="C164" s="190" t="s">
        <v>355</v>
      </c>
      <c r="D164" s="276" t="s">
        <v>356</v>
      </c>
      <c r="E164" s="55">
        <v>8000</v>
      </c>
      <c r="F164" s="97"/>
      <c r="G164" s="55">
        <v>3603.78</v>
      </c>
      <c r="H164" s="97"/>
      <c r="I164" s="398">
        <f t="shared" si="4"/>
        <v>45.04725</v>
      </c>
    </row>
    <row r="165" spans="1:9" s="56" customFormat="1" ht="28.5" customHeight="1">
      <c r="A165" s="319"/>
      <c r="B165" s="24">
        <v>85228</v>
      </c>
      <c r="C165" s="185"/>
      <c r="D165" s="340" t="s">
        <v>134</v>
      </c>
      <c r="E165" s="106">
        <f>SUM(E166:E169)</f>
        <v>673600</v>
      </c>
      <c r="F165" s="106">
        <f>SUM(F166:F169)</f>
        <v>320000</v>
      </c>
      <c r="G165" s="106">
        <f>SUM(G166:G169)</f>
        <v>297081.55</v>
      </c>
      <c r="H165" s="106">
        <f>SUM(H166:H169)</f>
        <v>162500</v>
      </c>
      <c r="I165" s="398">
        <f t="shared" si="4"/>
        <v>44.103555522565316</v>
      </c>
    </row>
    <row r="166" spans="1:9" s="56" customFormat="1" ht="19.5" customHeight="1">
      <c r="A166" s="319"/>
      <c r="B166" s="30"/>
      <c r="C166" s="186" t="s">
        <v>618</v>
      </c>
      <c r="D166" s="276" t="s">
        <v>619</v>
      </c>
      <c r="E166" s="106"/>
      <c r="F166" s="395"/>
      <c r="G166" s="106">
        <v>105.6</v>
      </c>
      <c r="H166" s="395"/>
      <c r="I166" s="398"/>
    </row>
    <row r="167" spans="1:9" ht="19.5" customHeight="1">
      <c r="A167" s="320"/>
      <c r="B167" s="10"/>
      <c r="C167" s="186" t="s">
        <v>621</v>
      </c>
      <c r="D167" s="276" t="s">
        <v>622</v>
      </c>
      <c r="E167" s="55">
        <v>353000</v>
      </c>
      <c r="F167" s="103"/>
      <c r="G167" s="55">
        <v>134198.9</v>
      </c>
      <c r="H167" s="103"/>
      <c r="I167" s="398">
        <f t="shared" si="4"/>
        <v>38.01668555240793</v>
      </c>
    </row>
    <row r="168" spans="1:9" ht="48.75" customHeight="1">
      <c r="A168" s="320"/>
      <c r="B168" s="10"/>
      <c r="C168" s="186">
        <v>2010</v>
      </c>
      <c r="D168" s="276" t="s">
        <v>505</v>
      </c>
      <c r="E168" s="55">
        <v>320000</v>
      </c>
      <c r="F168" s="103">
        <v>320000</v>
      </c>
      <c r="G168" s="55">
        <v>162500</v>
      </c>
      <c r="H168" s="103">
        <v>162500</v>
      </c>
      <c r="I168" s="398">
        <f t="shared" si="4"/>
        <v>50.78125</v>
      </c>
    </row>
    <row r="169" spans="1:9" ht="48.75" customHeight="1">
      <c r="A169" s="320"/>
      <c r="B169" s="10"/>
      <c r="C169" s="186">
        <v>2360</v>
      </c>
      <c r="D169" s="276" t="s">
        <v>506</v>
      </c>
      <c r="E169" s="55">
        <v>600</v>
      </c>
      <c r="F169" s="103"/>
      <c r="G169" s="55">
        <v>277.05</v>
      </c>
      <c r="H169" s="103"/>
      <c r="I169" s="398">
        <f t="shared" si="4"/>
        <v>46.175</v>
      </c>
    </row>
    <row r="170" spans="1:9" s="56" customFormat="1" ht="20.25" customHeight="1">
      <c r="A170" s="319"/>
      <c r="B170" s="24">
        <v>85295</v>
      </c>
      <c r="C170" s="185"/>
      <c r="D170" s="340" t="s">
        <v>544</v>
      </c>
      <c r="E170" s="106">
        <f>SUM(E171:E175)</f>
        <v>1630235</v>
      </c>
      <c r="F170" s="106">
        <f>SUM(F171:F175)</f>
        <v>292135</v>
      </c>
      <c r="G170" s="106">
        <f>SUM(G171:G175)</f>
        <v>1407808.8</v>
      </c>
      <c r="H170" s="106">
        <f>SUM(H171:H175)</f>
        <v>143845</v>
      </c>
      <c r="I170" s="398">
        <f t="shared" si="4"/>
        <v>86.35618791155876</v>
      </c>
    </row>
    <row r="171" spans="1:9" s="56" customFormat="1" ht="20.25" customHeight="1">
      <c r="A171" s="319"/>
      <c r="B171" s="30"/>
      <c r="C171" s="186" t="s">
        <v>618</v>
      </c>
      <c r="D171" s="276" t="s">
        <v>619</v>
      </c>
      <c r="E171" s="156"/>
      <c r="F171" s="396"/>
      <c r="G171" s="156">
        <v>272.8</v>
      </c>
      <c r="H171" s="396"/>
      <c r="I171" s="398"/>
    </row>
    <row r="172" spans="1:9" ht="25.5" customHeight="1">
      <c r="A172" s="320"/>
      <c r="B172" s="10"/>
      <c r="C172" s="186" t="s">
        <v>135</v>
      </c>
      <c r="D172" s="276" t="s">
        <v>136</v>
      </c>
      <c r="E172" s="101">
        <v>500</v>
      </c>
      <c r="F172" s="151"/>
      <c r="G172" s="101">
        <v>0</v>
      </c>
      <c r="H172" s="151"/>
      <c r="I172" s="398"/>
    </row>
    <row r="173" spans="1:9" ht="20.25" customHeight="1">
      <c r="A173" s="320"/>
      <c r="B173" s="10"/>
      <c r="C173" s="186" t="s">
        <v>355</v>
      </c>
      <c r="D173" s="276" t="s">
        <v>356</v>
      </c>
      <c r="E173" s="79">
        <v>21000</v>
      </c>
      <c r="F173" s="151"/>
      <c r="G173" s="79">
        <v>12921</v>
      </c>
      <c r="H173" s="151"/>
      <c r="I173" s="398">
        <f t="shared" si="4"/>
        <v>61.52857142857143</v>
      </c>
    </row>
    <row r="174" spans="1:9" ht="48.75" customHeight="1">
      <c r="A174" s="320"/>
      <c r="B174" s="10"/>
      <c r="C174" s="186">
        <v>2010</v>
      </c>
      <c r="D174" s="276" t="s">
        <v>505</v>
      </c>
      <c r="E174" s="55">
        <v>292135</v>
      </c>
      <c r="F174" s="103">
        <v>292135</v>
      </c>
      <c r="G174" s="55">
        <v>143845</v>
      </c>
      <c r="H174" s="103">
        <v>143845</v>
      </c>
      <c r="I174" s="398">
        <f t="shared" si="4"/>
        <v>49.23922159275677</v>
      </c>
    </row>
    <row r="175" spans="1:9" ht="40.5" customHeight="1">
      <c r="A175" s="320"/>
      <c r="B175" s="10"/>
      <c r="C175" s="186">
        <v>2030</v>
      </c>
      <c r="D175" s="276" t="s">
        <v>673</v>
      </c>
      <c r="E175" s="167">
        <v>1316600</v>
      </c>
      <c r="F175" s="151"/>
      <c r="G175" s="167">
        <v>1250770</v>
      </c>
      <c r="H175" s="151"/>
      <c r="I175" s="398">
        <f t="shared" si="4"/>
        <v>95</v>
      </c>
    </row>
    <row r="176" spans="1:9" ht="26.25" customHeight="1">
      <c r="A176" s="177">
        <v>853</v>
      </c>
      <c r="B176" s="12"/>
      <c r="C176" s="193"/>
      <c r="D176" s="289" t="s">
        <v>592</v>
      </c>
      <c r="E176" s="36">
        <f>E177+E183</f>
        <v>8461205.59</v>
      </c>
      <c r="F176" s="104"/>
      <c r="G176" s="36">
        <f>G177+G183</f>
        <v>3211824.64</v>
      </c>
      <c r="H176" s="104"/>
      <c r="I176" s="398">
        <f t="shared" si="4"/>
        <v>37.95942086309713</v>
      </c>
    </row>
    <row r="177" spans="1:9" s="56" customFormat="1" ht="20.25" customHeight="1">
      <c r="A177" s="319"/>
      <c r="B177" s="25">
        <v>85305</v>
      </c>
      <c r="C177" s="189"/>
      <c r="D177" s="340" t="s">
        <v>137</v>
      </c>
      <c r="E177" s="106">
        <f>SUM(E178:E182)</f>
        <v>422387</v>
      </c>
      <c r="F177" s="157"/>
      <c r="G177" s="106">
        <f>SUM(G178:G182)</f>
        <v>204555.06</v>
      </c>
      <c r="H177" s="157"/>
      <c r="I177" s="398">
        <f t="shared" si="4"/>
        <v>48.428351251340594</v>
      </c>
    </row>
    <row r="178" spans="1:11" s="56" customFormat="1" ht="20.25" customHeight="1">
      <c r="A178" s="319"/>
      <c r="B178" s="30"/>
      <c r="C178" s="186" t="s">
        <v>618</v>
      </c>
      <c r="D178" s="276" t="s">
        <v>619</v>
      </c>
      <c r="E178" s="55"/>
      <c r="F178" s="151"/>
      <c r="G178" s="55">
        <v>300</v>
      </c>
      <c r="H178" s="166"/>
      <c r="I178" s="398"/>
      <c r="K178" s="407"/>
    </row>
    <row r="179" spans="1:9" s="56" customFormat="1" ht="61.5" customHeight="1">
      <c r="A179" s="319"/>
      <c r="B179" s="30"/>
      <c r="C179" s="186" t="s">
        <v>624</v>
      </c>
      <c r="D179" s="276" t="s">
        <v>499</v>
      </c>
      <c r="E179" s="55"/>
      <c r="F179" s="151"/>
      <c r="G179" s="55">
        <v>10198.1</v>
      </c>
      <c r="H179" s="166"/>
      <c r="I179" s="398"/>
    </row>
    <row r="180" spans="1:9" ht="15.75" customHeight="1">
      <c r="A180" s="320"/>
      <c r="B180" s="10"/>
      <c r="C180" s="186" t="s">
        <v>621</v>
      </c>
      <c r="D180" s="276" t="s">
        <v>622</v>
      </c>
      <c r="E180" s="55">
        <v>420000</v>
      </c>
      <c r="F180" s="151"/>
      <c r="G180" s="55">
        <v>193119.18</v>
      </c>
      <c r="H180" s="151"/>
      <c r="I180" s="398">
        <f t="shared" si="4"/>
        <v>45.98075714285714</v>
      </c>
    </row>
    <row r="181" spans="1:9" ht="15.75" customHeight="1">
      <c r="A181" s="320"/>
      <c r="B181" s="10"/>
      <c r="C181" s="186" t="s">
        <v>504</v>
      </c>
      <c r="D181" s="276" t="s">
        <v>443</v>
      </c>
      <c r="E181" s="55">
        <v>187</v>
      </c>
      <c r="F181" s="151"/>
      <c r="G181" s="55">
        <v>123.32</v>
      </c>
      <c r="H181" s="151"/>
      <c r="I181" s="398">
        <f t="shared" si="4"/>
        <v>65.94652406417111</v>
      </c>
    </row>
    <row r="182" spans="1:9" ht="18.75" customHeight="1">
      <c r="A182" s="320"/>
      <c r="B182" s="10"/>
      <c r="C182" s="186" t="s">
        <v>355</v>
      </c>
      <c r="D182" s="276" t="s">
        <v>356</v>
      </c>
      <c r="E182" s="55">
        <v>2200</v>
      </c>
      <c r="F182" s="151"/>
      <c r="G182" s="55">
        <v>814.46</v>
      </c>
      <c r="H182" s="151"/>
      <c r="I182" s="398">
        <f t="shared" si="4"/>
        <v>37.02090909090909</v>
      </c>
    </row>
    <row r="183" spans="1:9" s="56" customFormat="1" ht="26.25" customHeight="1">
      <c r="A183" s="319"/>
      <c r="B183" s="111">
        <v>85395</v>
      </c>
      <c r="C183" s="185"/>
      <c r="D183" s="340" t="s">
        <v>544</v>
      </c>
      <c r="E183" s="106">
        <f>SUM(E184:E187)</f>
        <v>8038818.59</v>
      </c>
      <c r="F183" s="166"/>
      <c r="G183" s="106">
        <f>SUM(G184:G187)</f>
        <v>3007269.58</v>
      </c>
      <c r="H183" s="166"/>
      <c r="I183" s="398">
        <f t="shared" si="4"/>
        <v>37.40934748472785</v>
      </c>
    </row>
    <row r="184" spans="1:9" s="56" customFormat="1" ht="65.25" customHeight="1">
      <c r="A184" s="319"/>
      <c r="B184" s="30"/>
      <c r="C184" s="183">
        <v>2007</v>
      </c>
      <c r="D184" s="276" t="s">
        <v>360</v>
      </c>
      <c r="E184" s="55">
        <v>5616859.38</v>
      </c>
      <c r="F184" s="166"/>
      <c r="G184" s="55">
        <v>2550524.28</v>
      </c>
      <c r="H184" s="166"/>
      <c r="I184" s="398">
        <f t="shared" si="4"/>
        <v>45.40836982819392</v>
      </c>
    </row>
    <row r="185" spans="1:9" ht="63" customHeight="1">
      <c r="A185" s="320"/>
      <c r="B185" s="10"/>
      <c r="C185" s="183">
        <v>2009</v>
      </c>
      <c r="D185" s="276" t="s">
        <v>360</v>
      </c>
      <c r="E185" s="55">
        <v>699823.35</v>
      </c>
      <c r="F185" s="151"/>
      <c r="G185" s="55">
        <v>368442.93</v>
      </c>
      <c r="H185" s="151"/>
      <c r="I185" s="398">
        <f t="shared" si="4"/>
        <v>52.64799038214429</v>
      </c>
    </row>
    <row r="186" spans="1:9" ht="68.25" customHeight="1">
      <c r="A186" s="320"/>
      <c r="B186" s="10"/>
      <c r="C186" s="183">
        <v>6207</v>
      </c>
      <c r="D186" s="276" t="s">
        <v>684</v>
      </c>
      <c r="E186" s="55">
        <v>1448300</v>
      </c>
      <c r="F186" s="151"/>
      <c r="G186" s="55">
        <v>51282</v>
      </c>
      <c r="H186" s="151"/>
      <c r="I186" s="398">
        <f t="shared" si="4"/>
        <v>3.540840985983567</v>
      </c>
    </row>
    <row r="187" spans="1:9" ht="60.75" customHeight="1">
      <c r="A187" s="320"/>
      <c r="B187" s="10"/>
      <c r="C187" s="183">
        <v>6209</v>
      </c>
      <c r="D187" s="276" t="s">
        <v>684</v>
      </c>
      <c r="E187" s="55">
        <v>273835.86</v>
      </c>
      <c r="F187" s="151"/>
      <c r="G187" s="55">
        <v>37020.37</v>
      </c>
      <c r="H187" s="151"/>
      <c r="I187" s="398">
        <f t="shared" si="4"/>
        <v>13.51918262275803</v>
      </c>
    </row>
    <row r="188" spans="1:9" ht="18.75" customHeight="1">
      <c r="A188" s="11">
        <v>854</v>
      </c>
      <c r="B188" s="15"/>
      <c r="C188" s="177"/>
      <c r="D188" s="289" t="s">
        <v>455</v>
      </c>
      <c r="E188" s="36">
        <f>E189+E191</f>
        <v>520000</v>
      </c>
      <c r="F188" s="332"/>
      <c r="G188" s="36">
        <f>G189+G191</f>
        <v>520011.14</v>
      </c>
      <c r="H188" s="151"/>
      <c r="I188" s="398">
        <f t="shared" si="4"/>
        <v>100.00214230769231</v>
      </c>
    </row>
    <row r="189" spans="1:9" ht="21" customHeight="1">
      <c r="A189" s="54"/>
      <c r="B189" s="24">
        <v>85401</v>
      </c>
      <c r="C189" s="25"/>
      <c r="D189" s="293" t="s">
        <v>170</v>
      </c>
      <c r="E189" s="106"/>
      <c r="F189" s="166"/>
      <c r="G189" s="106">
        <f>G190</f>
        <v>11.14</v>
      </c>
      <c r="H189" s="151"/>
      <c r="I189" s="398"/>
    </row>
    <row r="190" spans="1:9" ht="18.75" customHeight="1">
      <c r="A190" s="54"/>
      <c r="B190" s="15"/>
      <c r="C190" s="186" t="s">
        <v>355</v>
      </c>
      <c r="D190" s="276" t="s">
        <v>356</v>
      </c>
      <c r="E190" s="55"/>
      <c r="F190" s="151"/>
      <c r="G190" s="55">
        <v>11.14</v>
      </c>
      <c r="H190" s="151"/>
      <c r="I190" s="398"/>
    </row>
    <row r="191" spans="1:9" ht="24.75" customHeight="1">
      <c r="A191" s="320"/>
      <c r="B191" s="25">
        <v>85415</v>
      </c>
      <c r="C191" s="185"/>
      <c r="D191" s="340" t="s">
        <v>494</v>
      </c>
      <c r="E191" s="106">
        <f>E192</f>
        <v>520000</v>
      </c>
      <c r="F191" s="166"/>
      <c r="G191" s="106">
        <f>G192</f>
        <v>520000</v>
      </c>
      <c r="H191" s="166"/>
      <c r="I191" s="398">
        <f t="shared" si="4"/>
        <v>100</v>
      </c>
    </row>
    <row r="192" spans="1:9" ht="39" customHeight="1">
      <c r="A192" s="320"/>
      <c r="B192" s="10"/>
      <c r="C192" s="186">
        <v>2030</v>
      </c>
      <c r="D192" s="276" t="s">
        <v>673</v>
      </c>
      <c r="E192" s="55">
        <v>520000</v>
      </c>
      <c r="F192" s="151"/>
      <c r="G192" s="55">
        <v>520000</v>
      </c>
      <c r="H192" s="151"/>
      <c r="I192" s="398">
        <f t="shared" si="4"/>
        <v>100</v>
      </c>
    </row>
    <row r="193" spans="1:9" ht="24.75" customHeight="1">
      <c r="A193" s="177">
        <v>900</v>
      </c>
      <c r="B193" s="11"/>
      <c r="C193" s="177"/>
      <c r="D193" s="289" t="s">
        <v>552</v>
      </c>
      <c r="E193" s="36">
        <f>E194+E196+E198+E200</f>
        <v>8399893</v>
      </c>
      <c r="F193" s="116"/>
      <c r="G193" s="36">
        <f>G194+G196+G198+G200</f>
        <v>4527307.93</v>
      </c>
      <c r="H193" s="116"/>
      <c r="I193" s="398">
        <f t="shared" si="4"/>
        <v>53.89720952397846</v>
      </c>
    </row>
    <row r="194" spans="1:9" ht="24.75" customHeight="1">
      <c r="A194" s="326"/>
      <c r="B194" s="35">
        <v>90002</v>
      </c>
      <c r="C194" s="25"/>
      <c r="D194" s="293" t="s">
        <v>458</v>
      </c>
      <c r="E194" s="106">
        <f>E195</f>
        <v>0</v>
      </c>
      <c r="F194" s="166"/>
      <c r="G194" s="106">
        <f>G195</f>
        <v>3317</v>
      </c>
      <c r="H194" s="151"/>
      <c r="I194" s="398"/>
    </row>
    <row r="195" spans="1:9" ht="24.75" customHeight="1">
      <c r="A195" s="326"/>
      <c r="B195" s="11"/>
      <c r="C195" s="190" t="s">
        <v>355</v>
      </c>
      <c r="D195" s="276" t="s">
        <v>356</v>
      </c>
      <c r="E195" s="36"/>
      <c r="F195" s="151"/>
      <c r="G195" s="55">
        <v>3317</v>
      </c>
      <c r="H195" s="151"/>
      <c r="I195" s="398"/>
    </row>
    <row r="196" spans="1:9" s="56" customFormat="1" ht="36" customHeight="1">
      <c r="A196" s="319"/>
      <c r="B196" s="25">
        <v>90019</v>
      </c>
      <c r="C196" s="185"/>
      <c r="D196" s="340" t="s">
        <v>610</v>
      </c>
      <c r="E196" s="106">
        <f>SUM(E197:E197)</f>
        <v>7500000</v>
      </c>
      <c r="F196" s="166"/>
      <c r="G196" s="106">
        <f>SUM(G197:G197)</f>
        <v>4276264.09</v>
      </c>
      <c r="H196" s="166"/>
      <c r="I196" s="398">
        <f t="shared" si="4"/>
        <v>57.01685453333333</v>
      </c>
    </row>
    <row r="197" spans="1:9" ht="23.25" customHeight="1">
      <c r="A197" s="323"/>
      <c r="B197" s="8"/>
      <c r="C197" s="190" t="s">
        <v>618</v>
      </c>
      <c r="D197" s="276" t="s">
        <v>619</v>
      </c>
      <c r="E197" s="55">
        <v>7500000</v>
      </c>
      <c r="F197" s="151"/>
      <c r="G197" s="55">
        <v>4276264.09</v>
      </c>
      <c r="H197" s="151"/>
      <c r="I197" s="398">
        <f t="shared" si="4"/>
        <v>57.01685453333333</v>
      </c>
    </row>
    <row r="198" spans="1:9" s="56" customFormat="1" ht="27.75" customHeight="1">
      <c r="A198" s="322"/>
      <c r="B198" s="25">
        <v>90020</v>
      </c>
      <c r="C198" s="179"/>
      <c r="D198" s="340" t="s">
        <v>344</v>
      </c>
      <c r="E198" s="106">
        <f>E199</f>
        <v>31532</v>
      </c>
      <c r="F198" s="166"/>
      <c r="G198" s="106">
        <f>G199</f>
        <v>19638.75</v>
      </c>
      <c r="H198" s="166"/>
      <c r="I198" s="398">
        <f t="shared" si="4"/>
        <v>62.281967525053915</v>
      </c>
    </row>
    <row r="199" spans="1:9" ht="18" customHeight="1">
      <c r="A199" s="323"/>
      <c r="B199" s="3"/>
      <c r="C199" s="190" t="s">
        <v>345</v>
      </c>
      <c r="D199" s="276" t="s">
        <v>346</v>
      </c>
      <c r="E199" s="55">
        <v>31532</v>
      </c>
      <c r="F199" s="151"/>
      <c r="G199" s="55">
        <v>19638.75</v>
      </c>
      <c r="H199" s="151"/>
      <c r="I199" s="398">
        <f t="shared" si="4"/>
        <v>62.281967525053915</v>
      </c>
    </row>
    <row r="200" spans="1:9" s="56" customFormat="1" ht="18.75" customHeight="1">
      <c r="A200" s="319"/>
      <c r="B200" s="39">
        <v>90095</v>
      </c>
      <c r="C200" s="185"/>
      <c r="D200" s="340" t="s">
        <v>544</v>
      </c>
      <c r="E200" s="106">
        <f>SUM(E201:E207)</f>
        <v>868361</v>
      </c>
      <c r="F200" s="166"/>
      <c r="G200" s="106">
        <f>SUM(G201:G207)</f>
        <v>228088.09</v>
      </c>
      <c r="H200" s="166"/>
      <c r="I200" s="398">
        <f t="shared" si="4"/>
        <v>26.26650552016961</v>
      </c>
    </row>
    <row r="201" spans="1:9" ht="18" customHeight="1">
      <c r="A201" s="320"/>
      <c r="B201" s="18"/>
      <c r="C201" s="190" t="s">
        <v>618</v>
      </c>
      <c r="D201" s="276" t="s">
        <v>619</v>
      </c>
      <c r="E201" s="55">
        <v>60000</v>
      </c>
      <c r="F201" s="151"/>
      <c r="G201" s="55">
        <v>18416.2</v>
      </c>
      <c r="H201" s="151"/>
      <c r="I201" s="398">
        <f t="shared" si="4"/>
        <v>30.69366666666667</v>
      </c>
    </row>
    <row r="202" spans="1:9" ht="18" customHeight="1">
      <c r="A202" s="320"/>
      <c r="B202" s="18"/>
      <c r="C202" s="190" t="s">
        <v>566</v>
      </c>
      <c r="D202" s="276" t="s">
        <v>567</v>
      </c>
      <c r="E202" s="55">
        <v>0</v>
      </c>
      <c r="F202" s="151"/>
      <c r="G202" s="55">
        <v>200000</v>
      </c>
      <c r="H202" s="151"/>
      <c r="I202" s="398"/>
    </row>
    <row r="203" spans="1:9" ht="17.25" customHeight="1">
      <c r="A203" s="320"/>
      <c r="B203" s="18"/>
      <c r="C203" s="190" t="s">
        <v>621</v>
      </c>
      <c r="D203" s="276" t="s">
        <v>622</v>
      </c>
      <c r="E203" s="55">
        <v>15000</v>
      </c>
      <c r="F203" s="151"/>
      <c r="G203" s="55">
        <v>5713.3</v>
      </c>
      <c r="H203" s="151"/>
      <c r="I203" s="398">
        <f t="shared" si="4"/>
        <v>38.08866666666667</v>
      </c>
    </row>
    <row r="204" spans="1:9" ht="24.75" customHeight="1">
      <c r="A204" s="320"/>
      <c r="B204" s="18"/>
      <c r="C204" s="190" t="s">
        <v>347</v>
      </c>
      <c r="D204" s="393" t="s">
        <v>568</v>
      </c>
      <c r="E204" s="55"/>
      <c r="F204" s="151"/>
      <c r="G204" s="55">
        <v>3932.09</v>
      </c>
      <c r="H204" s="151"/>
      <c r="I204" s="398"/>
    </row>
    <row r="205" spans="1:9" ht="19.5" customHeight="1">
      <c r="A205" s="320"/>
      <c r="B205" s="18"/>
      <c r="C205" s="191" t="s">
        <v>504</v>
      </c>
      <c r="D205" s="276" t="s">
        <v>443</v>
      </c>
      <c r="E205" s="55">
        <v>100</v>
      </c>
      <c r="F205" s="151"/>
      <c r="G205" s="55">
        <v>0</v>
      </c>
      <c r="H205" s="151"/>
      <c r="I205" s="398"/>
    </row>
    <row r="206" spans="1:9" ht="20.25" customHeight="1">
      <c r="A206" s="320"/>
      <c r="B206" s="18"/>
      <c r="C206" s="190" t="s">
        <v>355</v>
      </c>
      <c r="D206" s="276" t="s">
        <v>356</v>
      </c>
      <c r="E206" s="55">
        <v>17500</v>
      </c>
      <c r="F206" s="151"/>
      <c r="G206" s="55">
        <v>26.5</v>
      </c>
      <c r="H206" s="151"/>
      <c r="I206" s="398">
        <f aca="true" t="shared" si="5" ref="I206:I215">G206/E206*100</f>
        <v>0.15142857142857144</v>
      </c>
    </row>
    <row r="207" spans="1:9" ht="60" customHeight="1">
      <c r="A207" s="320"/>
      <c r="B207" s="18"/>
      <c r="C207" s="183">
        <v>6207</v>
      </c>
      <c r="D207" s="276" t="s">
        <v>684</v>
      </c>
      <c r="E207" s="55">
        <v>775761</v>
      </c>
      <c r="F207" s="169"/>
      <c r="G207" s="55">
        <v>0</v>
      </c>
      <c r="H207" s="169"/>
      <c r="I207" s="398"/>
    </row>
    <row r="208" spans="1:9" ht="24" customHeight="1">
      <c r="A208" s="177">
        <v>926</v>
      </c>
      <c r="B208" s="11"/>
      <c r="C208" s="177"/>
      <c r="D208" s="289" t="s">
        <v>392</v>
      </c>
      <c r="E208" s="70">
        <f>E209</f>
        <v>2561800</v>
      </c>
      <c r="F208" s="116"/>
      <c r="G208" s="70">
        <f>G209</f>
        <v>1291905.38</v>
      </c>
      <c r="H208" s="116"/>
      <c r="I208" s="398">
        <f t="shared" si="5"/>
        <v>50.429595596845964</v>
      </c>
    </row>
    <row r="209" spans="1:11" s="56" customFormat="1" ht="22.5" customHeight="1">
      <c r="A209" s="319"/>
      <c r="B209" s="39">
        <v>92604</v>
      </c>
      <c r="C209" s="189"/>
      <c r="D209" s="340" t="s">
        <v>139</v>
      </c>
      <c r="E209" s="107">
        <f>SUM(E210:E214)</f>
        <v>2561800</v>
      </c>
      <c r="F209" s="166"/>
      <c r="G209" s="107">
        <f>SUM(G210:G214)</f>
        <v>1291905.38</v>
      </c>
      <c r="H209" s="166"/>
      <c r="I209" s="398">
        <f t="shared" si="5"/>
        <v>50.429595596845964</v>
      </c>
      <c r="K209" s="407"/>
    </row>
    <row r="210" spans="1:9" ht="63.75" customHeight="1">
      <c r="A210" s="320"/>
      <c r="B210" s="18"/>
      <c r="C210" s="191" t="s">
        <v>624</v>
      </c>
      <c r="D210" s="276" t="s">
        <v>499</v>
      </c>
      <c r="E210" s="55">
        <v>360000</v>
      </c>
      <c r="F210" s="151"/>
      <c r="G210" s="55">
        <v>200051.33</v>
      </c>
      <c r="H210" s="151"/>
      <c r="I210" s="398">
        <f t="shared" si="5"/>
        <v>55.56981388888889</v>
      </c>
    </row>
    <row r="211" spans="1:9" ht="18.75" customHeight="1">
      <c r="A211" s="320"/>
      <c r="B211" s="18"/>
      <c r="C211" s="191" t="s">
        <v>621</v>
      </c>
      <c r="D211" s="276" t="s">
        <v>622</v>
      </c>
      <c r="E211" s="55">
        <v>2100000</v>
      </c>
      <c r="F211" s="151"/>
      <c r="G211" s="55">
        <v>1001261.34</v>
      </c>
      <c r="H211" s="151"/>
      <c r="I211" s="398">
        <f t="shared" si="5"/>
        <v>47.679111428571424</v>
      </c>
    </row>
    <row r="212" spans="1:9" ht="25.5" customHeight="1">
      <c r="A212" s="320"/>
      <c r="B212" s="18"/>
      <c r="C212" s="190" t="s">
        <v>347</v>
      </c>
      <c r="D212" s="393" t="s">
        <v>568</v>
      </c>
      <c r="E212" s="55"/>
      <c r="F212" s="151"/>
      <c r="G212" s="55">
        <v>430.5</v>
      </c>
      <c r="H212" s="151"/>
      <c r="I212" s="398"/>
    </row>
    <row r="213" spans="1:9" ht="18.75" customHeight="1">
      <c r="A213" s="320"/>
      <c r="B213" s="18"/>
      <c r="C213" s="191" t="s">
        <v>504</v>
      </c>
      <c r="D213" s="276" t="s">
        <v>443</v>
      </c>
      <c r="E213" s="55">
        <v>1800</v>
      </c>
      <c r="F213" s="151"/>
      <c r="G213" s="55">
        <v>595.72</v>
      </c>
      <c r="H213" s="151"/>
      <c r="I213" s="398">
        <f t="shared" si="5"/>
        <v>33.095555555555556</v>
      </c>
    </row>
    <row r="214" spans="1:9" ht="21.75" customHeight="1">
      <c r="A214" s="188"/>
      <c r="B214" s="18"/>
      <c r="C214" s="191" t="s">
        <v>355</v>
      </c>
      <c r="D214" s="276" t="s">
        <v>356</v>
      </c>
      <c r="E214" s="55">
        <v>100000</v>
      </c>
      <c r="F214" s="169"/>
      <c r="G214" s="55">
        <v>89566.49</v>
      </c>
      <c r="H214" s="169"/>
      <c r="I214" s="398">
        <f t="shared" si="5"/>
        <v>89.56649000000002</v>
      </c>
    </row>
    <row r="215" spans="1:15" ht="24" customHeight="1">
      <c r="A215" s="1116" t="s">
        <v>140</v>
      </c>
      <c r="B215" s="1117"/>
      <c r="C215" s="1118"/>
      <c r="D215" s="1119"/>
      <c r="E215" s="1120">
        <f>E13+E16+E19+E34+E37+E48+E51+E55+E92+E107+E135+E141+E176+E188+E193+E208</f>
        <v>283236190.35</v>
      </c>
      <c r="F215" s="1121">
        <f>F13+F16+F19+F34+F37+F48+F51+F55+F92+F107+F135+F141+F176+F188+F193+F208</f>
        <v>21170390.5</v>
      </c>
      <c r="G215" s="1120">
        <f>G13+G16+G19+G34+G37+G48+G51+G55+G92+G107+G135+G141+G176+G188+G193+G208</f>
        <v>137227275.5</v>
      </c>
      <c r="H215" s="1121">
        <f>H13+H16+H19+H34+H37+H48+H51+H55+H92+H107+H135+H141+H176+H188+H193+H208</f>
        <v>11893090.09</v>
      </c>
      <c r="I215" s="402">
        <f t="shared" si="5"/>
        <v>48.449767429234875</v>
      </c>
      <c r="J215" s="53"/>
      <c r="K215" s="232"/>
      <c r="L215" s="53"/>
      <c r="M215" s="53"/>
      <c r="N215" s="53"/>
      <c r="O215" s="53"/>
    </row>
    <row r="216" spans="1:13" ht="27" customHeight="1">
      <c r="A216" s="316" t="s">
        <v>589</v>
      </c>
      <c r="B216" s="15"/>
      <c r="C216" s="184"/>
      <c r="D216" s="294"/>
      <c r="E216" s="44"/>
      <c r="F216" s="334"/>
      <c r="G216" s="44"/>
      <c r="H216" s="334"/>
      <c r="I216" s="335"/>
      <c r="L216" s="53"/>
      <c r="M216" s="53"/>
    </row>
    <row r="217" spans="1:9" ht="25.5" customHeight="1">
      <c r="A217" s="324" t="s">
        <v>436</v>
      </c>
      <c r="B217" s="74"/>
      <c r="C217" s="6"/>
      <c r="D217" s="343" t="s">
        <v>437</v>
      </c>
      <c r="E217" s="172">
        <f>E218</f>
        <v>1200</v>
      </c>
      <c r="F217" s="95"/>
      <c r="G217" s="172">
        <f>G218</f>
        <v>0</v>
      </c>
      <c r="H217" s="95"/>
      <c r="I217" s="72"/>
    </row>
    <row r="218" spans="1:9" ht="22.5" customHeight="1">
      <c r="A218" s="317"/>
      <c r="B218" s="119" t="s">
        <v>438</v>
      </c>
      <c r="C218" s="25"/>
      <c r="D218" s="293" t="s">
        <v>544</v>
      </c>
      <c r="E218" s="29">
        <f>E219</f>
        <v>1200</v>
      </c>
      <c r="F218" s="114"/>
      <c r="G218" s="29">
        <f>G219</f>
        <v>0</v>
      </c>
      <c r="H218" s="114"/>
      <c r="I218" s="281"/>
    </row>
    <row r="219" spans="1:9" ht="61.5" customHeight="1">
      <c r="A219" s="318"/>
      <c r="B219" s="12"/>
      <c r="C219" s="191" t="s">
        <v>624</v>
      </c>
      <c r="D219" s="276" t="s">
        <v>499</v>
      </c>
      <c r="E219" s="27">
        <v>1200</v>
      </c>
      <c r="F219" s="97"/>
      <c r="G219" s="27">
        <v>0</v>
      </c>
      <c r="H219" s="97"/>
      <c r="I219" s="281"/>
    </row>
    <row r="220" spans="1:9" ht="21" customHeight="1">
      <c r="A220" s="386">
        <v>600</v>
      </c>
      <c r="B220" s="11"/>
      <c r="C220" s="186"/>
      <c r="D220" s="292" t="s">
        <v>414</v>
      </c>
      <c r="E220" s="27">
        <f>E221</f>
        <v>870000</v>
      </c>
      <c r="F220" s="95"/>
      <c r="G220" s="27">
        <f>G221</f>
        <v>399707.05</v>
      </c>
      <c r="H220" s="95"/>
      <c r="I220" s="398">
        <f>G220/E220*100</f>
        <v>45.943339080459765</v>
      </c>
    </row>
    <row r="221" spans="1:9" s="56" customFormat="1" ht="21.75" customHeight="1">
      <c r="A221" s="317"/>
      <c r="B221" s="28">
        <v>60095</v>
      </c>
      <c r="C221" s="189"/>
      <c r="D221" s="344" t="s">
        <v>544</v>
      </c>
      <c r="E221" s="106">
        <f>SUM(E222:E223)</f>
        <v>870000</v>
      </c>
      <c r="F221" s="170"/>
      <c r="G221" s="106">
        <f>SUM(G222:G223)</f>
        <v>399707.05</v>
      </c>
      <c r="H221" s="170"/>
      <c r="I221" s="398">
        <f aca="true" t="shared" si="6" ref="I221:I283">G221/E221*100</f>
        <v>45.943339080459765</v>
      </c>
    </row>
    <row r="222" spans="1:9" ht="22.5" customHeight="1">
      <c r="A222" s="387"/>
      <c r="B222" s="19"/>
      <c r="C222" s="190" t="s">
        <v>618</v>
      </c>
      <c r="D222" s="276" t="s">
        <v>619</v>
      </c>
      <c r="E222" s="101">
        <v>870000</v>
      </c>
      <c r="F222" s="169"/>
      <c r="G222" s="101">
        <v>399591.19</v>
      </c>
      <c r="H222" s="169"/>
      <c r="I222" s="398">
        <f t="shared" si="6"/>
        <v>45.93002183908046</v>
      </c>
    </row>
    <row r="223" spans="1:9" ht="27" customHeight="1">
      <c r="A223" s="387"/>
      <c r="B223" s="54"/>
      <c r="C223" s="186" t="s">
        <v>500</v>
      </c>
      <c r="D223" s="276" t="s">
        <v>503</v>
      </c>
      <c r="E223" s="101"/>
      <c r="F223" s="169"/>
      <c r="G223" s="101">
        <v>115.86</v>
      </c>
      <c r="H223" s="169"/>
      <c r="I223" s="398"/>
    </row>
    <row r="224" spans="1:9" ht="21" customHeight="1">
      <c r="A224" s="177">
        <v>700</v>
      </c>
      <c r="B224" s="12"/>
      <c r="C224" s="187"/>
      <c r="D224" s="339" t="s">
        <v>416</v>
      </c>
      <c r="E224" s="36">
        <f>E225</f>
        <v>760500</v>
      </c>
      <c r="F224" s="36">
        <f>F225</f>
        <v>63000</v>
      </c>
      <c r="G224" s="36">
        <f>G225</f>
        <v>687610.09</v>
      </c>
      <c r="H224" s="36">
        <f>H225</f>
        <v>26000</v>
      </c>
      <c r="I224" s="398">
        <f t="shared" si="6"/>
        <v>90.41552794214333</v>
      </c>
    </row>
    <row r="225" spans="1:9" s="56" customFormat="1" ht="23.25" customHeight="1">
      <c r="A225" s="319"/>
      <c r="B225" s="24">
        <v>70005</v>
      </c>
      <c r="C225" s="185"/>
      <c r="D225" s="340" t="s">
        <v>543</v>
      </c>
      <c r="E225" s="106">
        <f>SUM(E226:E227)</f>
        <v>760500</v>
      </c>
      <c r="F225" s="148">
        <f>SUM(F226:F227)</f>
        <v>63000</v>
      </c>
      <c r="G225" s="106">
        <f>SUM(G226:G227)</f>
        <v>687610.09</v>
      </c>
      <c r="H225" s="148">
        <f>SUM(H226:H227)</f>
        <v>26000</v>
      </c>
      <c r="I225" s="398">
        <f t="shared" si="6"/>
        <v>90.41552794214333</v>
      </c>
    </row>
    <row r="226" spans="1:9" ht="51" customHeight="1">
      <c r="A226" s="320"/>
      <c r="B226" s="10"/>
      <c r="C226" s="186">
        <v>2110</v>
      </c>
      <c r="D226" s="276" t="s">
        <v>141</v>
      </c>
      <c r="E226" s="55">
        <v>63000</v>
      </c>
      <c r="F226" s="103">
        <v>63000</v>
      </c>
      <c r="G226" s="55">
        <v>26000</v>
      </c>
      <c r="H226" s="103">
        <v>26000</v>
      </c>
      <c r="I226" s="398">
        <f t="shared" si="6"/>
        <v>41.269841269841265</v>
      </c>
    </row>
    <row r="227" spans="1:9" ht="47.25" customHeight="1">
      <c r="A227" s="320"/>
      <c r="B227" s="10"/>
      <c r="C227" s="186">
        <v>2360</v>
      </c>
      <c r="D227" s="276" t="s">
        <v>506</v>
      </c>
      <c r="E227" s="101">
        <v>697500</v>
      </c>
      <c r="F227" s="151"/>
      <c r="G227" s="101">
        <v>661610.09</v>
      </c>
      <c r="H227" s="151"/>
      <c r="I227" s="398">
        <f t="shared" si="6"/>
        <v>94.85449318996415</v>
      </c>
    </row>
    <row r="228" spans="1:9" ht="21.75" customHeight="1">
      <c r="A228" s="177">
        <v>710</v>
      </c>
      <c r="B228" s="12"/>
      <c r="C228" s="177"/>
      <c r="D228" s="289" t="s">
        <v>553</v>
      </c>
      <c r="E228" s="36">
        <f>E229+E233+E235+E237</f>
        <v>826300</v>
      </c>
      <c r="F228" s="171">
        <f>F229+F233+F235+F237</f>
        <v>449900</v>
      </c>
      <c r="G228" s="36">
        <f>G229+G233+G235+G237</f>
        <v>363477.8</v>
      </c>
      <c r="H228" s="171">
        <f>H229+H233+H235+H237</f>
        <v>193500</v>
      </c>
      <c r="I228" s="398">
        <f t="shared" si="6"/>
        <v>43.988599782161444</v>
      </c>
    </row>
    <row r="229" spans="1:9" s="56" customFormat="1" ht="22.5" customHeight="1">
      <c r="A229" s="319"/>
      <c r="B229" s="25">
        <v>71012</v>
      </c>
      <c r="C229" s="185"/>
      <c r="D229" s="293" t="s">
        <v>672</v>
      </c>
      <c r="E229" s="29">
        <f>SUM(E230:F232)</f>
        <v>376400</v>
      </c>
      <c r="F229" s="113"/>
      <c r="G229" s="29">
        <f>SUM(G230:H232)</f>
        <v>169977.8</v>
      </c>
      <c r="H229" s="113"/>
      <c r="I229" s="398">
        <f t="shared" si="6"/>
        <v>45.158820403825715</v>
      </c>
    </row>
    <row r="230" spans="1:9" ht="20.25" customHeight="1">
      <c r="A230" s="325"/>
      <c r="B230" s="54"/>
      <c r="C230" s="190" t="s">
        <v>618</v>
      </c>
      <c r="D230" s="276" t="s">
        <v>619</v>
      </c>
      <c r="E230" s="27">
        <v>365000</v>
      </c>
      <c r="F230" s="95"/>
      <c r="G230" s="27">
        <v>169977.8</v>
      </c>
      <c r="H230" s="95"/>
      <c r="I230" s="398">
        <f t="shared" si="6"/>
        <v>46.5692602739726</v>
      </c>
    </row>
    <row r="231" spans="1:9" ht="20.25" customHeight="1">
      <c r="A231" s="325"/>
      <c r="B231" s="54"/>
      <c r="C231" s="191" t="s">
        <v>504</v>
      </c>
      <c r="D231" s="276" t="s">
        <v>443</v>
      </c>
      <c r="E231" s="27">
        <v>1000</v>
      </c>
      <c r="F231" s="95"/>
      <c r="G231" s="27">
        <v>0</v>
      </c>
      <c r="H231" s="95"/>
      <c r="I231" s="398"/>
    </row>
    <row r="232" spans="1:9" ht="18.75" customHeight="1">
      <c r="A232" s="325"/>
      <c r="B232" s="6"/>
      <c r="C232" s="191" t="s">
        <v>355</v>
      </c>
      <c r="D232" s="276" t="s">
        <v>356</v>
      </c>
      <c r="E232" s="27">
        <v>10400</v>
      </c>
      <c r="F232" s="97"/>
      <c r="G232" s="27">
        <v>0</v>
      </c>
      <c r="H232" s="97"/>
      <c r="I232" s="398"/>
    </row>
    <row r="233" spans="1:9" s="56" customFormat="1" ht="24.75" customHeight="1">
      <c r="A233" s="319"/>
      <c r="B233" s="39">
        <v>71013</v>
      </c>
      <c r="C233" s="185"/>
      <c r="D233" s="340" t="s">
        <v>142</v>
      </c>
      <c r="E233" s="106">
        <f>E234</f>
        <v>88900</v>
      </c>
      <c r="F233" s="170">
        <f>F234</f>
        <v>88900</v>
      </c>
      <c r="G233" s="106">
        <f>G234</f>
        <v>0</v>
      </c>
      <c r="H233" s="170">
        <f>H234</f>
        <v>0</v>
      </c>
      <c r="I233" s="398"/>
    </row>
    <row r="234" spans="1:9" ht="49.5" customHeight="1">
      <c r="A234" s="320"/>
      <c r="B234" s="10"/>
      <c r="C234" s="186">
        <v>2110</v>
      </c>
      <c r="D234" s="276" t="s">
        <v>141</v>
      </c>
      <c r="E234" s="55">
        <v>88900</v>
      </c>
      <c r="F234" s="151">
        <v>88900</v>
      </c>
      <c r="G234" s="55">
        <v>0</v>
      </c>
      <c r="H234" s="151">
        <v>0</v>
      </c>
      <c r="I234" s="398"/>
    </row>
    <row r="235" spans="1:9" s="56" customFormat="1" ht="24.75" customHeight="1">
      <c r="A235" s="319"/>
      <c r="B235" s="25">
        <v>71014</v>
      </c>
      <c r="C235" s="185"/>
      <c r="D235" s="340" t="s">
        <v>143</v>
      </c>
      <c r="E235" s="106">
        <f>E236</f>
        <v>10000</v>
      </c>
      <c r="F235" s="148">
        <f>F236</f>
        <v>10000</v>
      </c>
      <c r="G235" s="106">
        <f>G236</f>
        <v>6000</v>
      </c>
      <c r="H235" s="148">
        <f>H236</f>
        <v>6000</v>
      </c>
      <c r="I235" s="398">
        <f t="shared" si="6"/>
        <v>60</v>
      </c>
    </row>
    <row r="236" spans="1:9" ht="51" customHeight="1">
      <c r="A236" s="320"/>
      <c r="B236" s="13"/>
      <c r="C236" s="186">
        <v>2110</v>
      </c>
      <c r="D236" s="276" t="s">
        <v>141</v>
      </c>
      <c r="E236" s="55">
        <v>10000</v>
      </c>
      <c r="F236" s="151">
        <v>10000</v>
      </c>
      <c r="G236" s="55">
        <v>6000</v>
      </c>
      <c r="H236" s="151">
        <v>6000</v>
      </c>
      <c r="I236" s="398">
        <f t="shared" si="6"/>
        <v>60</v>
      </c>
    </row>
    <row r="237" spans="1:9" s="56" customFormat="1" ht="22.5" customHeight="1">
      <c r="A237" s="319"/>
      <c r="B237" s="24">
        <v>71015</v>
      </c>
      <c r="C237" s="185"/>
      <c r="D237" s="340" t="s">
        <v>144</v>
      </c>
      <c r="E237" s="106">
        <f>E238+E239</f>
        <v>351000</v>
      </c>
      <c r="F237" s="106">
        <f>F238+F239</f>
        <v>351000</v>
      </c>
      <c r="G237" s="106">
        <f>G238+G239</f>
        <v>187500</v>
      </c>
      <c r="H237" s="106">
        <f>H238+H239</f>
        <v>187500</v>
      </c>
      <c r="I237" s="398">
        <f t="shared" si="6"/>
        <v>53.41880341880342</v>
      </c>
    </row>
    <row r="238" spans="1:9" ht="51.75" customHeight="1">
      <c r="A238" s="320"/>
      <c r="B238" s="10"/>
      <c r="C238" s="188">
        <v>2110</v>
      </c>
      <c r="D238" s="291" t="s">
        <v>141</v>
      </c>
      <c r="E238" s="55">
        <v>341000</v>
      </c>
      <c r="F238" s="151">
        <v>341000</v>
      </c>
      <c r="G238" s="55">
        <v>187500</v>
      </c>
      <c r="H238" s="151">
        <v>187500</v>
      </c>
      <c r="I238" s="398">
        <f t="shared" si="6"/>
        <v>54.98533724340176</v>
      </c>
    </row>
    <row r="239" spans="1:9" ht="49.5" customHeight="1">
      <c r="A239" s="320"/>
      <c r="B239" s="10"/>
      <c r="C239" s="188" t="s">
        <v>605</v>
      </c>
      <c r="D239" s="291" t="s">
        <v>533</v>
      </c>
      <c r="E239" s="55">
        <v>10000</v>
      </c>
      <c r="F239" s="116">
        <v>10000</v>
      </c>
      <c r="G239" s="55">
        <v>0</v>
      </c>
      <c r="H239" s="116">
        <v>0</v>
      </c>
      <c r="I239" s="398"/>
    </row>
    <row r="240" spans="1:9" ht="24.75" customHeight="1">
      <c r="A240" s="177">
        <v>750</v>
      </c>
      <c r="B240" s="11"/>
      <c r="C240" s="187"/>
      <c r="D240" s="339" t="s">
        <v>545</v>
      </c>
      <c r="E240" s="36">
        <f>E241+E243+E245</f>
        <v>261700</v>
      </c>
      <c r="F240" s="147">
        <f>F241+F243+F245</f>
        <v>213700</v>
      </c>
      <c r="G240" s="36">
        <f>G241+G243+G245</f>
        <v>148065.83</v>
      </c>
      <c r="H240" s="147">
        <f>H241+H243+H245</f>
        <v>115767.69</v>
      </c>
      <c r="I240" s="398">
        <f t="shared" si="6"/>
        <v>56.57846006878104</v>
      </c>
    </row>
    <row r="241" spans="1:9" s="56" customFormat="1" ht="25.5" customHeight="1">
      <c r="A241" s="319"/>
      <c r="B241" s="24">
        <v>75011</v>
      </c>
      <c r="C241" s="194"/>
      <c r="D241" s="340" t="s">
        <v>617</v>
      </c>
      <c r="E241" s="106">
        <f>E242</f>
        <v>186700</v>
      </c>
      <c r="F241" s="148">
        <f>F242</f>
        <v>186700</v>
      </c>
      <c r="G241" s="106">
        <f>G242</f>
        <v>93348</v>
      </c>
      <c r="H241" s="148">
        <f>H242</f>
        <v>93348</v>
      </c>
      <c r="I241" s="398">
        <f t="shared" si="6"/>
        <v>49.99892876272094</v>
      </c>
    </row>
    <row r="242" spans="1:9" ht="46.5" customHeight="1">
      <c r="A242" s="320"/>
      <c r="B242" s="10"/>
      <c r="C242" s="186">
        <v>2110</v>
      </c>
      <c r="D242" s="276" t="s">
        <v>141</v>
      </c>
      <c r="E242" s="55">
        <v>186700</v>
      </c>
      <c r="F242" s="116">
        <v>186700</v>
      </c>
      <c r="G242" s="55">
        <v>93348</v>
      </c>
      <c r="H242" s="116">
        <v>93348</v>
      </c>
      <c r="I242" s="398">
        <f t="shared" si="6"/>
        <v>49.99892876272094</v>
      </c>
    </row>
    <row r="243" spans="1:9" s="56" customFormat="1" ht="20.25" customHeight="1">
      <c r="A243" s="319"/>
      <c r="B243" s="24">
        <v>75020</v>
      </c>
      <c r="C243" s="185"/>
      <c r="D243" s="340" t="s">
        <v>145</v>
      </c>
      <c r="E243" s="106">
        <f>E244</f>
        <v>45000</v>
      </c>
      <c r="F243" s="166"/>
      <c r="G243" s="106">
        <f>G244</f>
        <v>29373.14</v>
      </c>
      <c r="H243" s="166"/>
      <c r="I243" s="398">
        <f t="shared" si="6"/>
        <v>65.27364444444444</v>
      </c>
    </row>
    <row r="244" spans="1:9" ht="22.5" customHeight="1">
      <c r="A244" s="320"/>
      <c r="B244" s="10"/>
      <c r="C244" s="186" t="s">
        <v>618</v>
      </c>
      <c r="D244" s="276" t="s">
        <v>619</v>
      </c>
      <c r="E244" s="55">
        <v>45000</v>
      </c>
      <c r="F244" s="151"/>
      <c r="G244" s="55">
        <v>29373.14</v>
      </c>
      <c r="H244" s="151"/>
      <c r="I244" s="398">
        <f t="shared" si="6"/>
        <v>65.27364444444444</v>
      </c>
    </row>
    <row r="245" spans="1:9" s="56" customFormat="1" ht="21.75" customHeight="1">
      <c r="A245" s="319"/>
      <c r="B245" s="24">
        <v>75045</v>
      </c>
      <c r="C245" s="185"/>
      <c r="D245" s="340" t="s">
        <v>637</v>
      </c>
      <c r="E245" s="106">
        <f>SUM(E246:E247)</f>
        <v>30000</v>
      </c>
      <c r="F245" s="148">
        <f>SUM(F246:F247)</f>
        <v>27000</v>
      </c>
      <c r="G245" s="106">
        <f>SUM(G246:G247)</f>
        <v>25344.69</v>
      </c>
      <c r="H245" s="148">
        <f>SUM(H246:H247)</f>
        <v>22419.69</v>
      </c>
      <c r="I245" s="398">
        <f t="shared" si="6"/>
        <v>84.4823</v>
      </c>
    </row>
    <row r="246" spans="1:9" ht="52.5" customHeight="1">
      <c r="A246" s="320"/>
      <c r="B246" s="16"/>
      <c r="C246" s="186">
        <v>2110</v>
      </c>
      <c r="D246" s="276" t="s">
        <v>141</v>
      </c>
      <c r="E246" s="55">
        <v>27000</v>
      </c>
      <c r="F246" s="103">
        <v>27000</v>
      </c>
      <c r="G246" s="55">
        <v>22419.69</v>
      </c>
      <c r="H246" s="103">
        <v>22419.69</v>
      </c>
      <c r="I246" s="398">
        <f t="shared" si="6"/>
        <v>83.03588888888889</v>
      </c>
    </row>
    <row r="247" spans="1:9" ht="48.75" customHeight="1">
      <c r="A247" s="320"/>
      <c r="B247" s="10"/>
      <c r="C247" s="186">
        <v>2120</v>
      </c>
      <c r="D247" s="345" t="s">
        <v>146</v>
      </c>
      <c r="E247" s="55">
        <v>3000</v>
      </c>
      <c r="F247" s="151"/>
      <c r="G247" s="55">
        <v>2925</v>
      </c>
      <c r="H247" s="151"/>
      <c r="I247" s="398">
        <f t="shared" si="6"/>
        <v>97.5</v>
      </c>
    </row>
    <row r="248" spans="1:9" ht="27.75" customHeight="1">
      <c r="A248" s="193">
        <v>754</v>
      </c>
      <c r="B248" s="12"/>
      <c r="C248" s="177"/>
      <c r="D248" s="289" t="s">
        <v>546</v>
      </c>
      <c r="E248" s="36">
        <f>E249</f>
        <v>10134095</v>
      </c>
      <c r="F248" s="178">
        <f>F249</f>
        <v>10133495</v>
      </c>
      <c r="G248" s="36">
        <f>G249</f>
        <v>5842592.79</v>
      </c>
      <c r="H248" s="36">
        <f>H249</f>
        <v>5842303</v>
      </c>
      <c r="I248" s="398">
        <f t="shared" si="6"/>
        <v>57.652832245997296</v>
      </c>
    </row>
    <row r="249" spans="1:9" s="56" customFormat="1" ht="25.5" customHeight="1">
      <c r="A249" s="189"/>
      <c r="B249" s="24">
        <v>75411</v>
      </c>
      <c r="C249" s="189"/>
      <c r="D249" s="340" t="s">
        <v>456</v>
      </c>
      <c r="E249" s="106">
        <f>SUM(E250:E252)</f>
        <v>10134095</v>
      </c>
      <c r="F249" s="115">
        <f>SUM(F250:F252)</f>
        <v>10133495</v>
      </c>
      <c r="G249" s="106">
        <f>SUM(G250:G252)</f>
        <v>5842592.79</v>
      </c>
      <c r="H249" s="115">
        <f>SUM(H250:H252)</f>
        <v>5842303</v>
      </c>
      <c r="I249" s="398">
        <f t="shared" si="6"/>
        <v>57.652832245997296</v>
      </c>
    </row>
    <row r="250" spans="1:9" ht="50.25" customHeight="1">
      <c r="A250" s="320"/>
      <c r="B250" s="18"/>
      <c r="C250" s="191">
        <v>2110</v>
      </c>
      <c r="D250" s="294" t="s">
        <v>141</v>
      </c>
      <c r="E250" s="55">
        <v>10033495</v>
      </c>
      <c r="F250" s="103">
        <v>10033495</v>
      </c>
      <c r="G250" s="55">
        <v>5842303</v>
      </c>
      <c r="H250" s="103">
        <v>5842303</v>
      </c>
      <c r="I250" s="398">
        <f t="shared" si="6"/>
        <v>58.227995329643356</v>
      </c>
    </row>
    <row r="251" spans="1:9" ht="48.75" customHeight="1">
      <c r="A251" s="320"/>
      <c r="B251" s="18"/>
      <c r="C251" s="190">
        <v>2360</v>
      </c>
      <c r="D251" s="276" t="s">
        <v>506</v>
      </c>
      <c r="E251" s="55">
        <v>600</v>
      </c>
      <c r="F251" s="104"/>
      <c r="G251" s="55">
        <v>289.79</v>
      </c>
      <c r="H251" s="104"/>
      <c r="I251" s="398">
        <f t="shared" si="6"/>
        <v>48.29833333333334</v>
      </c>
    </row>
    <row r="252" spans="1:9" ht="50.25" customHeight="1">
      <c r="A252" s="188"/>
      <c r="B252" s="18"/>
      <c r="C252" s="190" t="s">
        <v>605</v>
      </c>
      <c r="D252" s="291" t="s">
        <v>533</v>
      </c>
      <c r="E252" s="55">
        <v>100000</v>
      </c>
      <c r="F252" s="104">
        <v>100000</v>
      </c>
      <c r="G252" s="55">
        <v>0</v>
      </c>
      <c r="H252" s="104">
        <v>0</v>
      </c>
      <c r="I252" s="398"/>
    </row>
    <row r="253" spans="1:9" ht="55.5" customHeight="1">
      <c r="A253" s="187">
        <v>756</v>
      </c>
      <c r="B253" s="12"/>
      <c r="C253" s="177"/>
      <c r="D253" s="289" t="s">
        <v>408</v>
      </c>
      <c r="E253" s="36">
        <f>E254+E259</f>
        <v>19667666</v>
      </c>
      <c r="F253" s="116"/>
      <c r="G253" s="36">
        <f>G254+G259</f>
        <v>7636811.3100000005</v>
      </c>
      <c r="H253" s="116"/>
      <c r="I253" s="398">
        <f t="shared" si="6"/>
        <v>38.82927089569246</v>
      </c>
    </row>
    <row r="254" spans="1:9" s="56" customFormat="1" ht="37.5" customHeight="1">
      <c r="A254" s="319"/>
      <c r="B254" s="30">
        <v>75618</v>
      </c>
      <c r="C254" s="185"/>
      <c r="D254" s="340" t="s">
        <v>311</v>
      </c>
      <c r="E254" s="156">
        <f>SUM(E255:E258)</f>
        <v>2811200</v>
      </c>
      <c r="F254" s="166"/>
      <c r="G254" s="156">
        <f>SUM(G255:G258)</f>
        <v>892762.8200000001</v>
      </c>
      <c r="H254" s="166"/>
      <c r="I254" s="398">
        <f t="shared" si="6"/>
        <v>31.757357000569154</v>
      </c>
    </row>
    <row r="255" spans="1:9" ht="18" customHeight="1">
      <c r="A255" s="323"/>
      <c r="B255" s="14"/>
      <c r="C255" s="190" t="s">
        <v>147</v>
      </c>
      <c r="D255" s="276" t="s">
        <v>148</v>
      </c>
      <c r="E255" s="55">
        <v>2600000</v>
      </c>
      <c r="F255" s="151"/>
      <c r="G255" s="55">
        <v>799917.75</v>
      </c>
      <c r="H255" s="151"/>
      <c r="I255" s="398">
        <f t="shared" si="6"/>
        <v>30.766067307692307</v>
      </c>
    </row>
    <row r="256" spans="1:9" ht="33.75" customHeight="1">
      <c r="A256" s="323"/>
      <c r="B256" s="8"/>
      <c r="C256" s="190" t="s">
        <v>315</v>
      </c>
      <c r="D256" s="276" t="s">
        <v>316</v>
      </c>
      <c r="E256" s="55">
        <v>210000</v>
      </c>
      <c r="F256" s="151"/>
      <c r="G256" s="55">
        <v>92422.3</v>
      </c>
      <c r="H256" s="151"/>
      <c r="I256" s="398">
        <f t="shared" si="6"/>
        <v>44.010619047619045</v>
      </c>
    </row>
    <row r="257" spans="1:9" ht="17.25" customHeight="1">
      <c r="A257" s="323"/>
      <c r="B257" s="8"/>
      <c r="C257" s="190" t="s">
        <v>618</v>
      </c>
      <c r="D257" s="276" t="s">
        <v>619</v>
      </c>
      <c r="E257" s="55">
        <v>200</v>
      </c>
      <c r="F257" s="151"/>
      <c r="G257" s="55">
        <v>70.27</v>
      </c>
      <c r="H257" s="151"/>
      <c r="I257" s="398">
        <f t="shared" si="6"/>
        <v>35.135</v>
      </c>
    </row>
    <row r="258" spans="1:9" ht="24" customHeight="1">
      <c r="A258" s="323"/>
      <c r="B258" s="2"/>
      <c r="C258" s="191" t="s">
        <v>504</v>
      </c>
      <c r="D258" s="276" t="s">
        <v>443</v>
      </c>
      <c r="E258" s="55">
        <v>1000</v>
      </c>
      <c r="F258" s="151"/>
      <c r="G258" s="55">
        <v>352.5</v>
      </c>
      <c r="H258" s="151"/>
      <c r="I258" s="398">
        <f t="shared" si="6"/>
        <v>35.25</v>
      </c>
    </row>
    <row r="259" spans="1:9" s="56" customFormat="1" ht="24.75" customHeight="1">
      <c r="A259" s="319"/>
      <c r="B259" s="30">
        <v>75622</v>
      </c>
      <c r="C259" s="185"/>
      <c r="D259" s="340" t="s">
        <v>149</v>
      </c>
      <c r="E259" s="106">
        <f>SUM(E260:E261)</f>
        <v>16856466</v>
      </c>
      <c r="F259" s="166"/>
      <c r="G259" s="106">
        <f>SUM(G260:G261)</f>
        <v>6744048.49</v>
      </c>
      <c r="H259" s="166"/>
      <c r="I259" s="398">
        <f t="shared" si="6"/>
        <v>40.008673763527895</v>
      </c>
    </row>
    <row r="260" spans="1:9" ht="21" customHeight="1">
      <c r="A260" s="320"/>
      <c r="B260" s="16"/>
      <c r="C260" s="190" t="s">
        <v>318</v>
      </c>
      <c r="D260" s="276" t="s">
        <v>625</v>
      </c>
      <c r="E260" s="55">
        <v>15606466</v>
      </c>
      <c r="F260" s="151"/>
      <c r="G260" s="55">
        <v>6511330</v>
      </c>
      <c r="H260" s="151"/>
      <c r="I260" s="398">
        <f t="shared" si="6"/>
        <v>41.72200163701379</v>
      </c>
    </row>
    <row r="261" spans="1:9" ht="23.25" customHeight="1">
      <c r="A261" s="320"/>
      <c r="B261" s="20"/>
      <c r="C261" s="190" t="s">
        <v>626</v>
      </c>
      <c r="D261" s="276" t="s">
        <v>150</v>
      </c>
      <c r="E261" s="55">
        <v>1250000</v>
      </c>
      <c r="F261" s="151"/>
      <c r="G261" s="55">
        <v>232718.49</v>
      </c>
      <c r="H261" s="151"/>
      <c r="I261" s="398">
        <f t="shared" si="6"/>
        <v>18.617479200000002</v>
      </c>
    </row>
    <row r="262" spans="1:9" ht="22.5" customHeight="1">
      <c r="A262" s="177">
        <v>758</v>
      </c>
      <c r="B262" s="21"/>
      <c r="C262" s="177"/>
      <c r="D262" s="289" t="s">
        <v>547</v>
      </c>
      <c r="E262" s="36">
        <f>E263+E265+E267</f>
        <v>83592267</v>
      </c>
      <c r="F262" s="103"/>
      <c r="G262" s="36">
        <f>G263+G265+G267</f>
        <v>45873396</v>
      </c>
      <c r="H262" s="103"/>
      <c r="I262" s="398">
        <f t="shared" si="6"/>
        <v>54.877559427835585</v>
      </c>
    </row>
    <row r="263" spans="1:9" s="56" customFormat="1" ht="27" customHeight="1">
      <c r="A263" s="319"/>
      <c r="B263" s="24">
        <v>75801</v>
      </c>
      <c r="C263" s="185"/>
      <c r="D263" s="340" t="s">
        <v>628</v>
      </c>
      <c r="E263" s="106">
        <f>E264</f>
        <v>68453819</v>
      </c>
      <c r="F263" s="166"/>
      <c r="G263" s="106">
        <f>G264</f>
        <v>42125424</v>
      </c>
      <c r="H263" s="166"/>
      <c r="I263" s="398">
        <f t="shared" si="6"/>
        <v>61.53845704357269</v>
      </c>
    </row>
    <row r="264" spans="1:9" ht="21" customHeight="1">
      <c r="A264" s="320"/>
      <c r="B264" s="10"/>
      <c r="C264" s="186">
        <v>2920</v>
      </c>
      <c r="D264" s="276" t="s">
        <v>629</v>
      </c>
      <c r="E264" s="55">
        <v>68453819</v>
      </c>
      <c r="F264" s="151"/>
      <c r="G264" s="55">
        <v>42125424</v>
      </c>
      <c r="H264" s="151"/>
      <c r="I264" s="398">
        <f t="shared" si="6"/>
        <v>61.53845704357269</v>
      </c>
    </row>
    <row r="265" spans="1:9" ht="24.75" customHeight="1">
      <c r="A265" s="320"/>
      <c r="B265" s="25">
        <v>75802</v>
      </c>
      <c r="C265" s="185"/>
      <c r="D265" s="340" t="s">
        <v>375</v>
      </c>
      <c r="E265" s="55">
        <f>E266</f>
        <v>7642500</v>
      </c>
      <c r="F265" s="151"/>
      <c r="G265" s="55">
        <f>G266</f>
        <v>0</v>
      </c>
      <c r="H265" s="151"/>
      <c r="I265" s="398"/>
    </row>
    <row r="266" spans="1:9" ht="54.75" customHeight="1">
      <c r="A266" s="320"/>
      <c r="B266" s="10"/>
      <c r="C266" s="186" t="s">
        <v>376</v>
      </c>
      <c r="D266" s="276" t="s">
        <v>534</v>
      </c>
      <c r="E266" s="55">
        <v>7642500</v>
      </c>
      <c r="F266" s="151"/>
      <c r="G266" s="55">
        <v>0</v>
      </c>
      <c r="H266" s="151"/>
      <c r="I266" s="398"/>
    </row>
    <row r="267" spans="1:9" s="56" customFormat="1" ht="24" customHeight="1">
      <c r="A267" s="319"/>
      <c r="B267" s="24">
        <v>75832</v>
      </c>
      <c r="C267" s="185"/>
      <c r="D267" s="340" t="s">
        <v>590</v>
      </c>
      <c r="E267" s="106">
        <f>E268</f>
        <v>7495948</v>
      </c>
      <c r="F267" s="166"/>
      <c r="G267" s="106">
        <f>G268</f>
        <v>3747972</v>
      </c>
      <c r="H267" s="166"/>
      <c r="I267" s="398">
        <f t="shared" si="6"/>
        <v>49.999973318918435</v>
      </c>
    </row>
    <row r="268" spans="1:9" ht="24.75" customHeight="1">
      <c r="A268" s="320"/>
      <c r="B268" s="10"/>
      <c r="C268" s="186">
        <v>2920</v>
      </c>
      <c r="D268" s="276" t="s">
        <v>629</v>
      </c>
      <c r="E268" s="55">
        <v>7495948</v>
      </c>
      <c r="F268" s="151"/>
      <c r="G268" s="55">
        <v>3747972</v>
      </c>
      <c r="H268" s="151"/>
      <c r="I268" s="398">
        <f t="shared" si="6"/>
        <v>49.999973318918435</v>
      </c>
    </row>
    <row r="269" spans="1:9" ht="30" customHeight="1">
      <c r="A269" s="177">
        <v>801</v>
      </c>
      <c r="B269" s="12"/>
      <c r="C269" s="177"/>
      <c r="D269" s="289" t="s">
        <v>549</v>
      </c>
      <c r="E269" s="70">
        <f>E270+E272+E274+E279+E284+E286+E292+E300+E303+E307+E311</f>
        <v>2036871.42</v>
      </c>
      <c r="F269" s="103"/>
      <c r="G269" s="70">
        <f>G270+G272+G274+G279+G284+G286+G292+G300+G303+G307+G311</f>
        <v>703801.66</v>
      </c>
      <c r="H269" s="103"/>
      <c r="I269" s="398">
        <f t="shared" si="6"/>
        <v>34.553072574409235</v>
      </c>
    </row>
    <row r="270" spans="1:9" ht="23.25" customHeight="1">
      <c r="A270" s="326"/>
      <c r="B270" s="28">
        <v>80102</v>
      </c>
      <c r="C270" s="25"/>
      <c r="D270" s="293" t="s">
        <v>333</v>
      </c>
      <c r="E270" s="107">
        <f>E271</f>
        <v>0</v>
      </c>
      <c r="F270" s="166"/>
      <c r="G270" s="107">
        <f>G271</f>
        <v>153.65</v>
      </c>
      <c r="H270" s="151"/>
      <c r="I270" s="398"/>
    </row>
    <row r="271" spans="1:9" ht="23.25" customHeight="1">
      <c r="A271" s="326"/>
      <c r="B271" s="397"/>
      <c r="C271" s="190" t="s">
        <v>355</v>
      </c>
      <c r="D271" s="276" t="s">
        <v>356</v>
      </c>
      <c r="E271" s="69"/>
      <c r="F271" s="151"/>
      <c r="G271" s="69">
        <v>153.65</v>
      </c>
      <c r="H271" s="151"/>
      <c r="I271" s="398"/>
    </row>
    <row r="272" spans="1:9" ht="23.25" customHeight="1">
      <c r="A272" s="326"/>
      <c r="B272" s="24">
        <v>80111</v>
      </c>
      <c r="C272" s="25"/>
      <c r="D272" s="293" t="s">
        <v>334</v>
      </c>
      <c r="E272" s="107">
        <f>E273</f>
        <v>0</v>
      </c>
      <c r="F272" s="166"/>
      <c r="G272" s="107">
        <f>G273</f>
        <v>119.1</v>
      </c>
      <c r="H272" s="151"/>
      <c r="I272" s="398"/>
    </row>
    <row r="273" spans="1:9" ht="23.25" customHeight="1">
      <c r="A273" s="326"/>
      <c r="B273" s="397"/>
      <c r="C273" s="190" t="s">
        <v>355</v>
      </c>
      <c r="D273" s="276" t="s">
        <v>356</v>
      </c>
      <c r="E273" s="69"/>
      <c r="F273" s="151"/>
      <c r="G273" s="69">
        <v>119.1</v>
      </c>
      <c r="H273" s="151"/>
      <c r="I273" s="398"/>
    </row>
    <row r="274" spans="1:9" ht="24.75" customHeight="1">
      <c r="A274" s="326"/>
      <c r="B274" s="28">
        <v>80114</v>
      </c>
      <c r="C274" s="185"/>
      <c r="D274" s="293" t="s">
        <v>335</v>
      </c>
      <c r="E274" s="107">
        <f>SUM(E275:E278)</f>
        <v>149300</v>
      </c>
      <c r="F274" s="151"/>
      <c r="G274" s="107">
        <f>SUM(G275:G278)</f>
        <v>66714.03</v>
      </c>
      <c r="H274" s="151"/>
      <c r="I274" s="398">
        <f t="shared" si="6"/>
        <v>44.68454789015405</v>
      </c>
    </row>
    <row r="275" spans="1:9" ht="66.75" customHeight="1">
      <c r="A275" s="325"/>
      <c r="B275" s="19"/>
      <c r="C275" s="190" t="s">
        <v>624</v>
      </c>
      <c r="D275" s="276" t="s">
        <v>499</v>
      </c>
      <c r="E275" s="55">
        <v>145000</v>
      </c>
      <c r="F275" s="151"/>
      <c r="G275" s="55">
        <v>64900</v>
      </c>
      <c r="H275" s="151"/>
      <c r="I275" s="398">
        <f t="shared" si="6"/>
        <v>44.758620689655174</v>
      </c>
    </row>
    <row r="276" spans="1:9" ht="20.25" customHeight="1">
      <c r="A276" s="325"/>
      <c r="B276" s="54"/>
      <c r="C276" s="191" t="s">
        <v>504</v>
      </c>
      <c r="D276" s="276" t="s">
        <v>443</v>
      </c>
      <c r="E276" s="55">
        <v>300</v>
      </c>
      <c r="F276" s="151"/>
      <c r="G276" s="55">
        <v>30.21</v>
      </c>
      <c r="H276" s="151"/>
      <c r="I276" s="398">
        <f t="shared" si="6"/>
        <v>10.07</v>
      </c>
    </row>
    <row r="277" spans="1:9" ht="24.75" customHeight="1">
      <c r="A277" s="325"/>
      <c r="B277" s="54"/>
      <c r="C277" s="186" t="s">
        <v>135</v>
      </c>
      <c r="D277" s="276" t="s">
        <v>136</v>
      </c>
      <c r="E277" s="55">
        <v>3500</v>
      </c>
      <c r="F277" s="151"/>
      <c r="G277" s="55">
        <v>1500</v>
      </c>
      <c r="H277" s="151"/>
      <c r="I277" s="398">
        <f t="shared" si="6"/>
        <v>42.857142857142854</v>
      </c>
    </row>
    <row r="278" spans="1:9" ht="18.75" customHeight="1">
      <c r="A278" s="325"/>
      <c r="B278" s="6"/>
      <c r="C278" s="190" t="s">
        <v>355</v>
      </c>
      <c r="D278" s="276" t="s">
        <v>356</v>
      </c>
      <c r="E278" s="55">
        <v>500</v>
      </c>
      <c r="F278" s="151"/>
      <c r="G278" s="55">
        <v>283.82</v>
      </c>
      <c r="H278" s="151"/>
      <c r="I278" s="398">
        <f t="shared" si="6"/>
        <v>56.764</v>
      </c>
    </row>
    <row r="279" spans="1:9" s="56" customFormat="1" ht="21.75" customHeight="1">
      <c r="A279" s="319"/>
      <c r="B279" s="33">
        <v>80120</v>
      </c>
      <c r="C279" s="185"/>
      <c r="D279" s="340" t="s">
        <v>417</v>
      </c>
      <c r="E279" s="107">
        <f>SUM(E280:E283)</f>
        <v>116800</v>
      </c>
      <c r="F279" s="166"/>
      <c r="G279" s="107">
        <f>SUM(G280:G283)</f>
        <v>54177.32</v>
      </c>
      <c r="H279" s="166"/>
      <c r="I279" s="398">
        <f t="shared" si="6"/>
        <v>46.38469178082192</v>
      </c>
    </row>
    <row r="280" spans="1:9" s="56" customFormat="1" ht="21.75" customHeight="1">
      <c r="A280" s="322"/>
      <c r="B280" s="34"/>
      <c r="C280" s="190" t="s">
        <v>618</v>
      </c>
      <c r="D280" s="276" t="s">
        <v>619</v>
      </c>
      <c r="E280" s="69">
        <v>800</v>
      </c>
      <c r="F280" s="166"/>
      <c r="G280" s="69">
        <v>741</v>
      </c>
      <c r="H280" s="166"/>
      <c r="I280" s="398">
        <f t="shared" si="6"/>
        <v>92.625</v>
      </c>
    </row>
    <row r="281" spans="1:9" ht="61.5" customHeight="1">
      <c r="A281" s="323"/>
      <c r="B281" s="8"/>
      <c r="C281" s="190" t="s">
        <v>624</v>
      </c>
      <c r="D281" s="276" t="s">
        <v>499</v>
      </c>
      <c r="E281" s="55">
        <v>90000</v>
      </c>
      <c r="F281" s="151"/>
      <c r="G281" s="55">
        <v>41801.18</v>
      </c>
      <c r="H281" s="151"/>
      <c r="I281" s="398">
        <f t="shared" si="6"/>
        <v>46.44575555555556</v>
      </c>
    </row>
    <row r="282" spans="1:9" ht="21.75" customHeight="1">
      <c r="A282" s="323"/>
      <c r="B282" s="8"/>
      <c r="C282" s="191" t="s">
        <v>504</v>
      </c>
      <c r="D282" s="276" t="s">
        <v>443</v>
      </c>
      <c r="E282" s="55"/>
      <c r="F282" s="151"/>
      <c r="G282" s="55">
        <v>12.02</v>
      </c>
      <c r="H282" s="151"/>
      <c r="I282" s="398"/>
    </row>
    <row r="283" spans="1:9" ht="21.75" customHeight="1">
      <c r="A283" s="323"/>
      <c r="B283" s="2"/>
      <c r="C283" s="190" t="s">
        <v>355</v>
      </c>
      <c r="D283" s="276" t="s">
        <v>356</v>
      </c>
      <c r="E283" s="55">
        <v>26000</v>
      </c>
      <c r="F283" s="151"/>
      <c r="G283" s="55">
        <v>11623.12</v>
      </c>
      <c r="H283" s="151"/>
      <c r="I283" s="398">
        <f t="shared" si="6"/>
        <v>44.704307692307694</v>
      </c>
    </row>
    <row r="284" spans="1:9" ht="21.75" customHeight="1">
      <c r="A284" s="323"/>
      <c r="B284" s="25">
        <v>80123</v>
      </c>
      <c r="C284" s="24"/>
      <c r="D284" s="293" t="s">
        <v>475</v>
      </c>
      <c r="E284" s="106">
        <f>E285</f>
        <v>100</v>
      </c>
      <c r="F284" s="166"/>
      <c r="G284" s="106">
        <f>G285</f>
        <v>0</v>
      </c>
      <c r="H284" s="166"/>
      <c r="I284" s="398"/>
    </row>
    <row r="285" spans="1:9" ht="19.5" customHeight="1">
      <c r="A285" s="323"/>
      <c r="B285" s="3"/>
      <c r="C285" s="190" t="s">
        <v>618</v>
      </c>
      <c r="D285" s="276" t="s">
        <v>619</v>
      </c>
      <c r="E285" s="55">
        <v>100</v>
      </c>
      <c r="F285" s="151"/>
      <c r="G285" s="55">
        <v>0</v>
      </c>
      <c r="H285" s="151"/>
      <c r="I285" s="398"/>
    </row>
    <row r="286" spans="1:9" ht="24.75" customHeight="1">
      <c r="A286" s="320"/>
      <c r="B286" s="39">
        <v>80130</v>
      </c>
      <c r="C286" s="179"/>
      <c r="D286" s="293" t="s">
        <v>418</v>
      </c>
      <c r="E286" s="106">
        <f>SUM(E287:E291)</f>
        <v>356872</v>
      </c>
      <c r="F286" s="166"/>
      <c r="G286" s="106">
        <f>SUM(G287:G291)</f>
        <v>252810.97999999998</v>
      </c>
      <c r="H286" s="166"/>
      <c r="I286" s="398">
        <f aca="true" t="shared" si="7" ref="I286:I348">G286/E286*100</f>
        <v>70.8408000627676</v>
      </c>
    </row>
    <row r="287" spans="1:9" ht="21.75" customHeight="1">
      <c r="A287" s="320"/>
      <c r="B287" s="33"/>
      <c r="C287" s="190" t="s">
        <v>618</v>
      </c>
      <c r="D287" s="276" t="s">
        <v>619</v>
      </c>
      <c r="E287" s="55">
        <v>4372</v>
      </c>
      <c r="F287" s="166"/>
      <c r="G287" s="55">
        <v>1924</v>
      </c>
      <c r="H287" s="166"/>
      <c r="I287" s="398">
        <f t="shared" si="7"/>
        <v>44.00731930466606</v>
      </c>
    </row>
    <row r="288" spans="1:9" ht="61.5" customHeight="1">
      <c r="A288" s="320"/>
      <c r="B288" s="18"/>
      <c r="C288" s="190" t="s">
        <v>624</v>
      </c>
      <c r="D288" s="276" t="s">
        <v>499</v>
      </c>
      <c r="E288" s="55">
        <v>270000</v>
      </c>
      <c r="F288" s="151"/>
      <c r="G288" s="55">
        <v>188570.55</v>
      </c>
      <c r="H288" s="151"/>
      <c r="I288" s="398">
        <f t="shared" si="7"/>
        <v>69.84094444444445</v>
      </c>
    </row>
    <row r="289" spans="1:9" ht="17.25" customHeight="1">
      <c r="A289" s="320"/>
      <c r="B289" s="18"/>
      <c r="C289" s="190" t="s">
        <v>621</v>
      </c>
      <c r="D289" s="276" t="s">
        <v>622</v>
      </c>
      <c r="E289" s="55">
        <v>500</v>
      </c>
      <c r="F289" s="151"/>
      <c r="G289" s="55">
        <v>0</v>
      </c>
      <c r="H289" s="151"/>
      <c r="I289" s="398"/>
    </row>
    <row r="290" spans="1:9" ht="17.25" customHeight="1">
      <c r="A290" s="320"/>
      <c r="B290" s="18"/>
      <c r="C290" s="191" t="s">
        <v>504</v>
      </c>
      <c r="D290" s="276" t="s">
        <v>443</v>
      </c>
      <c r="E290" s="55"/>
      <c r="F290" s="151"/>
      <c r="G290" s="55">
        <v>416.47</v>
      </c>
      <c r="H290" s="151"/>
      <c r="I290" s="398"/>
    </row>
    <row r="291" spans="1:9" ht="19.5" customHeight="1">
      <c r="A291" s="320"/>
      <c r="B291" s="18"/>
      <c r="C291" s="190" t="s">
        <v>355</v>
      </c>
      <c r="D291" s="276" t="s">
        <v>356</v>
      </c>
      <c r="E291" s="55">
        <v>82000</v>
      </c>
      <c r="F291" s="151"/>
      <c r="G291" s="55">
        <v>61899.96</v>
      </c>
      <c r="H291" s="151"/>
      <c r="I291" s="398">
        <f t="shared" si="7"/>
        <v>75.48775609756098</v>
      </c>
    </row>
    <row r="292" spans="1:9" s="56" customFormat="1" ht="39" customHeight="1">
      <c r="A292" s="319"/>
      <c r="B292" s="28">
        <v>80140</v>
      </c>
      <c r="C292" s="179"/>
      <c r="D292" s="293" t="s">
        <v>477</v>
      </c>
      <c r="E292" s="106">
        <f>SUM(E293:E299)</f>
        <v>286027</v>
      </c>
      <c r="F292" s="166"/>
      <c r="G292" s="106">
        <f>SUM(G293:G299)</f>
        <v>151931.93</v>
      </c>
      <c r="H292" s="166"/>
      <c r="I292" s="398">
        <f t="shared" si="7"/>
        <v>53.11803780761956</v>
      </c>
    </row>
    <row r="293" spans="1:9" s="56" customFormat="1" ht="19.5" customHeight="1">
      <c r="A293" s="322"/>
      <c r="B293" s="34"/>
      <c r="C293" s="190" t="s">
        <v>618</v>
      </c>
      <c r="D293" s="276" t="s">
        <v>619</v>
      </c>
      <c r="E293" s="55">
        <v>50000</v>
      </c>
      <c r="F293" s="166"/>
      <c r="G293" s="55">
        <v>0</v>
      </c>
      <c r="H293" s="166"/>
      <c r="I293" s="398"/>
    </row>
    <row r="294" spans="1:9" s="56" customFormat="1" ht="60.75" customHeight="1">
      <c r="A294" s="322"/>
      <c r="B294" s="35"/>
      <c r="C294" s="190" t="s">
        <v>624</v>
      </c>
      <c r="D294" s="276" t="s">
        <v>499</v>
      </c>
      <c r="E294" s="55">
        <v>97000</v>
      </c>
      <c r="F294" s="166"/>
      <c r="G294" s="55">
        <v>58627.4</v>
      </c>
      <c r="H294" s="166"/>
      <c r="I294" s="398">
        <f t="shared" si="7"/>
        <v>60.44061855670103</v>
      </c>
    </row>
    <row r="295" spans="1:9" ht="18.75" customHeight="1">
      <c r="A295" s="323"/>
      <c r="B295" s="8"/>
      <c r="C295" s="190" t="s">
        <v>621</v>
      </c>
      <c r="D295" s="276" t="s">
        <v>622</v>
      </c>
      <c r="E295" s="55">
        <v>80500</v>
      </c>
      <c r="F295" s="151"/>
      <c r="G295" s="55">
        <v>36888.03</v>
      </c>
      <c r="H295" s="151"/>
      <c r="I295" s="398">
        <f t="shared" si="7"/>
        <v>45.82363975155279</v>
      </c>
    </row>
    <row r="296" spans="1:9" ht="18" customHeight="1">
      <c r="A296" s="323"/>
      <c r="B296" s="8"/>
      <c r="C296" s="190" t="s">
        <v>404</v>
      </c>
      <c r="D296" s="276" t="s">
        <v>405</v>
      </c>
      <c r="E296" s="55">
        <v>37000</v>
      </c>
      <c r="F296" s="151"/>
      <c r="G296" s="55">
        <v>26103.5</v>
      </c>
      <c r="H296" s="151"/>
      <c r="I296" s="398">
        <f t="shared" si="7"/>
        <v>70.55</v>
      </c>
    </row>
    <row r="297" spans="1:9" ht="28.5" customHeight="1">
      <c r="A297" s="323"/>
      <c r="B297" s="8"/>
      <c r="C297" s="190" t="s">
        <v>347</v>
      </c>
      <c r="D297" s="393" t="s">
        <v>568</v>
      </c>
      <c r="E297" s="55"/>
      <c r="F297" s="151"/>
      <c r="G297" s="55">
        <v>5000</v>
      </c>
      <c r="H297" s="151"/>
      <c r="I297" s="398"/>
    </row>
    <row r="298" spans="1:9" ht="18" customHeight="1">
      <c r="A298" s="323"/>
      <c r="B298" s="8"/>
      <c r="C298" s="191" t="s">
        <v>504</v>
      </c>
      <c r="D298" s="276" t="s">
        <v>443</v>
      </c>
      <c r="E298" s="55"/>
      <c r="F298" s="151"/>
      <c r="G298" s="55">
        <v>2.09</v>
      </c>
      <c r="H298" s="151"/>
      <c r="I298" s="398"/>
    </row>
    <row r="299" spans="1:9" ht="17.25" customHeight="1">
      <c r="A299" s="323"/>
      <c r="B299" s="8"/>
      <c r="C299" s="190" t="s">
        <v>355</v>
      </c>
      <c r="D299" s="276" t="s">
        <v>356</v>
      </c>
      <c r="E299" s="55">
        <v>21527</v>
      </c>
      <c r="F299" s="151"/>
      <c r="G299" s="55">
        <v>25310.91</v>
      </c>
      <c r="H299" s="151"/>
      <c r="I299" s="398">
        <f t="shared" si="7"/>
        <v>117.57750731639337</v>
      </c>
    </row>
    <row r="300" spans="1:9" s="56" customFormat="1" ht="21.75" customHeight="1">
      <c r="A300" s="322"/>
      <c r="B300" s="25">
        <v>80145</v>
      </c>
      <c r="C300" s="179"/>
      <c r="D300" s="340" t="s">
        <v>406</v>
      </c>
      <c r="E300" s="106">
        <f>SUM(E301:E302)</f>
        <v>16500</v>
      </c>
      <c r="F300" s="166"/>
      <c r="G300" s="106">
        <f>SUM(G301:G302)</f>
        <v>0</v>
      </c>
      <c r="H300" s="166"/>
      <c r="I300" s="398"/>
    </row>
    <row r="301" spans="1:9" ht="18.75" customHeight="1">
      <c r="A301" s="323"/>
      <c r="B301" s="14"/>
      <c r="C301" s="190" t="s">
        <v>618</v>
      </c>
      <c r="D301" s="276" t="s">
        <v>619</v>
      </c>
      <c r="E301" s="55">
        <v>3500</v>
      </c>
      <c r="F301" s="151"/>
      <c r="G301" s="55">
        <v>0</v>
      </c>
      <c r="H301" s="151"/>
      <c r="I301" s="398"/>
    </row>
    <row r="302" spans="1:9" ht="18" customHeight="1">
      <c r="A302" s="323"/>
      <c r="B302" s="2"/>
      <c r="C302" s="190" t="s">
        <v>355</v>
      </c>
      <c r="D302" s="276" t="s">
        <v>356</v>
      </c>
      <c r="E302" s="55">
        <v>13000</v>
      </c>
      <c r="F302" s="151"/>
      <c r="G302" s="55">
        <v>0</v>
      </c>
      <c r="H302" s="151"/>
      <c r="I302" s="398"/>
    </row>
    <row r="303" spans="1:9" s="56" customFormat="1" ht="26.25" customHeight="1">
      <c r="A303" s="319"/>
      <c r="B303" s="33">
        <v>80146</v>
      </c>
      <c r="C303" s="185"/>
      <c r="D303" s="340" t="s">
        <v>591</v>
      </c>
      <c r="E303" s="107">
        <f>SUM(E304:E306)</f>
        <v>542620</v>
      </c>
      <c r="F303" s="166"/>
      <c r="G303" s="107">
        <f>SUM(G304:G306)</f>
        <v>56798.56</v>
      </c>
      <c r="H303" s="166"/>
      <c r="I303" s="398">
        <f t="shared" si="7"/>
        <v>10.467465261140392</v>
      </c>
    </row>
    <row r="304" spans="1:9" ht="20.25" customHeight="1">
      <c r="A304" s="323"/>
      <c r="B304" s="14"/>
      <c r="C304" s="190" t="s">
        <v>621</v>
      </c>
      <c r="D304" s="276" t="s">
        <v>622</v>
      </c>
      <c r="E304" s="55">
        <f>146000+396620</f>
        <v>542620</v>
      </c>
      <c r="F304" s="151"/>
      <c r="G304" s="55">
        <v>56685</v>
      </c>
      <c r="H304" s="151"/>
      <c r="I304" s="398">
        <f t="shared" si="7"/>
        <v>10.446537171501234</v>
      </c>
    </row>
    <row r="305" spans="1:9" ht="20.25" customHeight="1">
      <c r="A305" s="323"/>
      <c r="B305" s="8"/>
      <c r="C305" s="191" t="s">
        <v>504</v>
      </c>
      <c r="D305" s="276" t="s">
        <v>443</v>
      </c>
      <c r="E305" s="55"/>
      <c r="F305" s="151"/>
      <c r="G305" s="55">
        <v>72.56</v>
      </c>
      <c r="H305" s="151"/>
      <c r="I305" s="398"/>
    </row>
    <row r="306" spans="1:9" ht="20.25" customHeight="1">
      <c r="A306" s="323"/>
      <c r="B306" s="2"/>
      <c r="C306" s="190" t="s">
        <v>355</v>
      </c>
      <c r="D306" s="276" t="s">
        <v>356</v>
      </c>
      <c r="E306" s="55"/>
      <c r="F306" s="151"/>
      <c r="G306" s="55">
        <v>41</v>
      </c>
      <c r="H306" s="151"/>
      <c r="I306" s="398"/>
    </row>
    <row r="307" spans="1:9" s="56" customFormat="1" ht="22.5" customHeight="1">
      <c r="A307" s="322"/>
      <c r="B307" s="38">
        <v>80148</v>
      </c>
      <c r="C307" s="179"/>
      <c r="D307" s="340" t="s">
        <v>407</v>
      </c>
      <c r="E307" s="106">
        <f>SUM(E308:E310)</f>
        <v>225475</v>
      </c>
      <c r="F307" s="166"/>
      <c r="G307" s="106">
        <f>SUM(G308:G310)</f>
        <v>121096.09</v>
      </c>
      <c r="H307" s="166"/>
      <c r="I307" s="398">
        <f t="shared" si="7"/>
        <v>53.70710278301364</v>
      </c>
    </row>
    <row r="308" spans="1:9" ht="22.5" customHeight="1">
      <c r="A308" s="323"/>
      <c r="B308" s="14"/>
      <c r="C308" s="190" t="s">
        <v>618</v>
      </c>
      <c r="D308" s="276" t="s">
        <v>619</v>
      </c>
      <c r="E308" s="55">
        <v>14000</v>
      </c>
      <c r="F308" s="151"/>
      <c r="G308" s="55">
        <v>7437.6</v>
      </c>
      <c r="H308" s="151"/>
      <c r="I308" s="398">
        <f t="shared" si="7"/>
        <v>53.12571428571429</v>
      </c>
    </row>
    <row r="309" spans="1:9" ht="20.25" customHeight="1">
      <c r="A309" s="323"/>
      <c r="B309" s="8"/>
      <c r="C309" s="190" t="s">
        <v>621</v>
      </c>
      <c r="D309" s="276" t="s">
        <v>622</v>
      </c>
      <c r="E309" s="55">
        <v>204000</v>
      </c>
      <c r="F309" s="151"/>
      <c r="G309" s="55">
        <v>108952.7</v>
      </c>
      <c r="H309" s="151"/>
      <c r="I309" s="398">
        <f t="shared" si="7"/>
        <v>53.4081862745098</v>
      </c>
    </row>
    <row r="310" spans="1:9" ht="16.5" customHeight="1">
      <c r="A310" s="323"/>
      <c r="B310" s="2"/>
      <c r="C310" s="190" t="s">
        <v>355</v>
      </c>
      <c r="D310" s="276" t="s">
        <v>356</v>
      </c>
      <c r="E310" s="55">
        <v>7475</v>
      </c>
      <c r="F310" s="151"/>
      <c r="G310" s="55">
        <v>4705.79</v>
      </c>
      <c r="H310" s="151"/>
      <c r="I310" s="398">
        <f t="shared" si="7"/>
        <v>62.95371237458194</v>
      </c>
    </row>
    <row r="311" spans="1:9" s="56" customFormat="1" ht="21" customHeight="1">
      <c r="A311" s="319"/>
      <c r="B311" s="39">
        <v>80195</v>
      </c>
      <c r="C311" s="185"/>
      <c r="D311" s="340" t="s">
        <v>544</v>
      </c>
      <c r="E311" s="107">
        <f>SUM(E312:E313)</f>
        <v>343177.42</v>
      </c>
      <c r="F311" s="166"/>
      <c r="G311" s="107">
        <f>SUM(G312:G313)</f>
        <v>0</v>
      </c>
      <c r="H311" s="166"/>
      <c r="I311" s="398"/>
    </row>
    <row r="312" spans="1:9" s="56" customFormat="1" ht="21" customHeight="1">
      <c r="A312" s="319"/>
      <c r="B312" s="30"/>
      <c r="C312" s="186" t="s">
        <v>355</v>
      </c>
      <c r="D312" s="276" t="s">
        <v>356</v>
      </c>
      <c r="E312" s="69">
        <v>3500</v>
      </c>
      <c r="F312" s="166"/>
      <c r="G312" s="107">
        <v>0</v>
      </c>
      <c r="H312" s="166"/>
      <c r="I312" s="398"/>
    </row>
    <row r="313" spans="1:9" ht="49.5" customHeight="1">
      <c r="A313" s="188"/>
      <c r="B313" s="10"/>
      <c r="C313" s="186">
        <v>2701</v>
      </c>
      <c r="D313" s="276" t="s">
        <v>636</v>
      </c>
      <c r="E313" s="55">
        <v>339677.42</v>
      </c>
      <c r="F313" s="151"/>
      <c r="G313" s="55">
        <v>0</v>
      </c>
      <c r="H313" s="151"/>
      <c r="I313" s="398"/>
    </row>
    <row r="314" spans="1:9" ht="24" customHeight="1">
      <c r="A314" s="177">
        <v>852</v>
      </c>
      <c r="B314" s="12"/>
      <c r="C314" s="177"/>
      <c r="D314" s="289" t="s">
        <v>424</v>
      </c>
      <c r="E314" s="36">
        <f>E315+E318+E326</f>
        <v>4569259</v>
      </c>
      <c r="F314" s="36">
        <f>F315+F318+F326</f>
        <v>0</v>
      </c>
      <c r="G314" s="36">
        <f>G315+G318+G326</f>
        <v>2211353.91</v>
      </c>
      <c r="H314" s="36">
        <f>H315+H318+H326</f>
        <v>0</v>
      </c>
      <c r="I314" s="398">
        <f t="shared" si="7"/>
        <v>48.396335379544034</v>
      </c>
    </row>
    <row r="315" spans="1:9" s="56" customFormat="1" ht="22.5" customHeight="1">
      <c r="A315" s="319"/>
      <c r="B315" s="25">
        <v>85201</v>
      </c>
      <c r="C315" s="185"/>
      <c r="D315" s="340" t="s">
        <v>151</v>
      </c>
      <c r="E315" s="168">
        <f>SUM(E316:E317)</f>
        <v>192450</v>
      </c>
      <c r="F315" s="157"/>
      <c r="G315" s="168">
        <f>SUM(G316:G317)</f>
        <v>54266.9</v>
      </c>
      <c r="H315" s="157"/>
      <c r="I315" s="398">
        <f t="shared" si="7"/>
        <v>28.197921538061838</v>
      </c>
    </row>
    <row r="316" spans="1:9" ht="18.75" customHeight="1">
      <c r="A316" s="323"/>
      <c r="B316" s="8"/>
      <c r="C316" s="190" t="s">
        <v>355</v>
      </c>
      <c r="D316" s="276" t="s">
        <v>356</v>
      </c>
      <c r="E316" s="55">
        <v>2450</v>
      </c>
      <c r="F316" s="151"/>
      <c r="G316" s="55">
        <v>5253.79</v>
      </c>
      <c r="H316" s="151"/>
      <c r="I316" s="398">
        <f t="shared" si="7"/>
        <v>214.4404081632653</v>
      </c>
    </row>
    <row r="317" spans="1:9" ht="48" customHeight="1">
      <c r="A317" s="323"/>
      <c r="B317" s="2"/>
      <c r="C317" s="191">
        <v>2320</v>
      </c>
      <c r="D317" s="341" t="s">
        <v>154</v>
      </c>
      <c r="E317" s="55">
        <v>190000</v>
      </c>
      <c r="F317" s="151"/>
      <c r="G317" s="55">
        <v>49013.11</v>
      </c>
      <c r="H317" s="151"/>
      <c r="I317" s="398">
        <f t="shared" si="7"/>
        <v>25.79637368421053</v>
      </c>
    </row>
    <row r="318" spans="1:9" s="56" customFormat="1" ht="25.5" customHeight="1">
      <c r="A318" s="319"/>
      <c r="B318" s="38">
        <v>85202</v>
      </c>
      <c r="C318" s="185"/>
      <c r="D318" s="340" t="s">
        <v>152</v>
      </c>
      <c r="E318" s="106">
        <f>SUM(E319:E325)</f>
        <v>4189875</v>
      </c>
      <c r="F318" s="166"/>
      <c r="G318" s="106">
        <f>SUM(G319:G325)</f>
        <v>2072155.14</v>
      </c>
      <c r="H318" s="166"/>
      <c r="I318" s="398">
        <f t="shared" si="7"/>
        <v>49.456252036158595</v>
      </c>
    </row>
    <row r="319" spans="1:9" s="56" customFormat="1" ht="25.5" customHeight="1">
      <c r="A319" s="319"/>
      <c r="B319" s="33"/>
      <c r="C319" s="186" t="s">
        <v>507</v>
      </c>
      <c r="D319" s="276" t="s">
        <v>463</v>
      </c>
      <c r="E319" s="55"/>
      <c r="F319" s="151"/>
      <c r="G319" s="55">
        <v>500</v>
      </c>
      <c r="H319" s="166"/>
      <c r="I319" s="398"/>
    </row>
    <row r="320" spans="1:9" ht="58.5" customHeight="1">
      <c r="A320" s="320"/>
      <c r="B320" s="18"/>
      <c r="C320" s="190" t="s">
        <v>624</v>
      </c>
      <c r="D320" s="276" t="s">
        <v>350</v>
      </c>
      <c r="E320" s="55">
        <v>4796</v>
      </c>
      <c r="F320" s="151"/>
      <c r="G320" s="55">
        <v>2398.2</v>
      </c>
      <c r="H320" s="151"/>
      <c r="I320" s="398">
        <f t="shared" si="7"/>
        <v>50.00417014178482</v>
      </c>
    </row>
    <row r="321" spans="1:9" ht="20.25" customHeight="1">
      <c r="A321" s="320"/>
      <c r="B321" s="18"/>
      <c r="C321" s="190" t="s">
        <v>621</v>
      </c>
      <c r="D321" s="276" t="s">
        <v>622</v>
      </c>
      <c r="E321" s="55">
        <v>3461964</v>
      </c>
      <c r="F321" s="151"/>
      <c r="G321" s="55">
        <v>1680313.67</v>
      </c>
      <c r="H321" s="151"/>
      <c r="I321" s="398">
        <f t="shared" si="7"/>
        <v>48.536428166208545</v>
      </c>
    </row>
    <row r="322" spans="1:9" ht="19.5" customHeight="1">
      <c r="A322" s="320"/>
      <c r="B322" s="18"/>
      <c r="C322" s="190" t="s">
        <v>347</v>
      </c>
      <c r="D322" s="276" t="s">
        <v>535</v>
      </c>
      <c r="E322" s="55">
        <v>20000</v>
      </c>
      <c r="F322" s="151"/>
      <c r="G322" s="55">
        <v>0</v>
      </c>
      <c r="H322" s="151"/>
      <c r="I322" s="398"/>
    </row>
    <row r="323" spans="1:9" ht="20.25" customHeight="1">
      <c r="A323" s="320"/>
      <c r="B323" s="18"/>
      <c r="C323" s="186" t="s">
        <v>504</v>
      </c>
      <c r="D323" s="276" t="s">
        <v>443</v>
      </c>
      <c r="E323" s="55">
        <v>1040</v>
      </c>
      <c r="F323" s="151"/>
      <c r="G323" s="55">
        <v>288.74</v>
      </c>
      <c r="H323" s="151"/>
      <c r="I323" s="398">
        <f t="shared" si="7"/>
        <v>27.763461538461538</v>
      </c>
    </row>
    <row r="324" spans="1:9" ht="22.5" customHeight="1">
      <c r="A324" s="320"/>
      <c r="B324" s="18"/>
      <c r="C324" s="190" t="s">
        <v>355</v>
      </c>
      <c r="D324" s="276" t="s">
        <v>356</v>
      </c>
      <c r="E324" s="55">
        <v>1800</v>
      </c>
      <c r="F324" s="151"/>
      <c r="G324" s="55">
        <v>1099.53</v>
      </c>
      <c r="H324" s="151"/>
      <c r="I324" s="398">
        <f t="shared" si="7"/>
        <v>61.085</v>
      </c>
    </row>
    <row r="325" spans="1:9" ht="26.25" customHeight="1">
      <c r="A325" s="320"/>
      <c r="B325" s="18"/>
      <c r="C325" s="190">
        <v>2130</v>
      </c>
      <c r="D325" s="276" t="s">
        <v>153</v>
      </c>
      <c r="E325" s="55">
        <v>700275</v>
      </c>
      <c r="F325" s="151"/>
      <c r="G325" s="55">
        <v>387555</v>
      </c>
      <c r="H325" s="151"/>
      <c r="I325" s="398">
        <f t="shared" si="7"/>
        <v>55.34325800578345</v>
      </c>
    </row>
    <row r="326" spans="1:9" s="56" customFormat="1" ht="20.25" customHeight="1">
      <c r="A326" s="319"/>
      <c r="B326" s="25">
        <v>85204</v>
      </c>
      <c r="C326" s="179"/>
      <c r="D326" s="340" t="s">
        <v>460</v>
      </c>
      <c r="E326" s="106">
        <f>SUM(E327:E330)</f>
        <v>186934</v>
      </c>
      <c r="F326" s="166"/>
      <c r="G326" s="106">
        <f>SUM(G327:G330)</f>
        <v>84931.87</v>
      </c>
      <c r="H326" s="166"/>
      <c r="I326" s="398">
        <f t="shared" si="7"/>
        <v>45.43414788107032</v>
      </c>
    </row>
    <row r="327" spans="1:9" s="56" customFormat="1" ht="20.25" customHeight="1">
      <c r="A327" s="319"/>
      <c r="B327" s="33"/>
      <c r="C327" s="186" t="s">
        <v>504</v>
      </c>
      <c r="D327" s="276" t="s">
        <v>443</v>
      </c>
      <c r="E327" s="106"/>
      <c r="F327" s="166"/>
      <c r="G327" s="55">
        <v>2.42</v>
      </c>
      <c r="H327" s="166"/>
      <c r="I327" s="398"/>
    </row>
    <row r="328" spans="1:9" s="56" customFormat="1" ht="20.25" customHeight="1">
      <c r="A328" s="319"/>
      <c r="B328" s="33"/>
      <c r="C328" s="190" t="s">
        <v>355</v>
      </c>
      <c r="D328" s="276" t="s">
        <v>356</v>
      </c>
      <c r="E328" s="55">
        <v>2100</v>
      </c>
      <c r="F328" s="166"/>
      <c r="G328" s="55">
        <v>1984.94</v>
      </c>
      <c r="H328" s="166"/>
      <c r="I328" s="398">
        <f t="shared" si="7"/>
        <v>94.52095238095238</v>
      </c>
    </row>
    <row r="329" spans="1:9" s="56" customFormat="1" ht="27" customHeight="1">
      <c r="A329" s="319"/>
      <c r="B329" s="33"/>
      <c r="C329" s="190">
        <v>2130</v>
      </c>
      <c r="D329" s="276" t="s">
        <v>153</v>
      </c>
      <c r="E329" s="55">
        <v>7444</v>
      </c>
      <c r="F329" s="166"/>
      <c r="G329" s="55">
        <v>7444</v>
      </c>
      <c r="H329" s="166"/>
      <c r="I329" s="398">
        <f t="shared" si="7"/>
        <v>100</v>
      </c>
    </row>
    <row r="330" spans="1:9" ht="48" customHeight="1">
      <c r="A330" s="320"/>
      <c r="B330" s="18"/>
      <c r="C330" s="191">
        <v>2320</v>
      </c>
      <c r="D330" s="341" t="s">
        <v>154</v>
      </c>
      <c r="E330" s="55">
        <v>177390</v>
      </c>
      <c r="F330" s="151"/>
      <c r="G330" s="55">
        <v>75500.51</v>
      </c>
      <c r="H330" s="151"/>
      <c r="I330" s="398">
        <f t="shared" si="7"/>
        <v>42.56187496476689</v>
      </c>
    </row>
    <row r="331" spans="1:9" ht="23.25" customHeight="1">
      <c r="A331" s="177">
        <v>853</v>
      </c>
      <c r="B331" s="12"/>
      <c r="C331" s="177"/>
      <c r="D331" s="289" t="s">
        <v>592</v>
      </c>
      <c r="E331" s="36">
        <f>E332+E334+E337+E339</f>
        <v>1692209.2899999998</v>
      </c>
      <c r="F331" s="178">
        <f>F332+F334+F337+F339</f>
        <v>163626</v>
      </c>
      <c r="G331" s="36">
        <f>G332+G334+G337+G339</f>
        <v>706037.45</v>
      </c>
      <c r="H331" s="178">
        <f>H332+H334+H337+H339</f>
        <v>85005</v>
      </c>
      <c r="I331" s="398">
        <f t="shared" si="7"/>
        <v>41.72282082200364</v>
      </c>
    </row>
    <row r="332" spans="1:9" s="56" customFormat="1" ht="24.75" customHeight="1">
      <c r="A332" s="319"/>
      <c r="B332" s="28">
        <v>85311</v>
      </c>
      <c r="C332" s="194"/>
      <c r="D332" s="344" t="s">
        <v>447</v>
      </c>
      <c r="E332" s="106">
        <f>SUM(E333:E333)</f>
        <v>20000</v>
      </c>
      <c r="F332" s="166"/>
      <c r="G332" s="106">
        <f>SUM(G333:G333)</f>
        <v>9139.56</v>
      </c>
      <c r="H332" s="166"/>
      <c r="I332" s="398">
        <f t="shared" si="7"/>
        <v>45.6978</v>
      </c>
    </row>
    <row r="333" spans="1:9" ht="48.75" customHeight="1">
      <c r="A333" s="323"/>
      <c r="B333" s="14"/>
      <c r="C333" s="191">
        <v>2320</v>
      </c>
      <c r="D333" s="341" t="s">
        <v>154</v>
      </c>
      <c r="E333" s="55">
        <v>20000</v>
      </c>
      <c r="F333" s="151"/>
      <c r="G333" s="55">
        <v>9139.56</v>
      </c>
      <c r="H333" s="151"/>
      <c r="I333" s="398">
        <f t="shared" si="7"/>
        <v>45.6978</v>
      </c>
    </row>
    <row r="334" spans="1:9" s="56" customFormat="1" ht="27" customHeight="1">
      <c r="A334" s="319"/>
      <c r="B334" s="25">
        <v>85321</v>
      </c>
      <c r="C334" s="185"/>
      <c r="D334" s="293" t="s">
        <v>155</v>
      </c>
      <c r="E334" s="106">
        <f>SUM(E335:E336)</f>
        <v>440489</v>
      </c>
      <c r="F334" s="148">
        <f>SUM(F335:F336)</f>
        <v>163626</v>
      </c>
      <c r="G334" s="106">
        <f>SUM(G335:G336)</f>
        <v>228835</v>
      </c>
      <c r="H334" s="148">
        <f>SUM(H335:H336)</f>
        <v>85005</v>
      </c>
      <c r="I334" s="398">
        <f t="shared" si="7"/>
        <v>51.95021896119994</v>
      </c>
    </row>
    <row r="335" spans="1:9" ht="52.5" customHeight="1">
      <c r="A335" s="323"/>
      <c r="B335" s="14"/>
      <c r="C335" s="190">
        <v>2110</v>
      </c>
      <c r="D335" s="276" t="s">
        <v>141</v>
      </c>
      <c r="E335" s="55">
        <v>163626</v>
      </c>
      <c r="F335" s="116">
        <v>163626</v>
      </c>
      <c r="G335" s="55">
        <v>85005</v>
      </c>
      <c r="H335" s="116">
        <v>85005</v>
      </c>
      <c r="I335" s="398">
        <f t="shared" si="7"/>
        <v>51.95079021671373</v>
      </c>
    </row>
    <row r="336" spans="1:9" ht="50.25" customHeight="1">
      <c r="A336" s="323"/>
      <c r="B336" s="2"/>
      <c r="C336" s="190">
        <v>2320</v>
      </c>
      <c r="D336" s="276" t="s">
        <v>154</v>
      </c>
      <c r="E336" s="55">
        <v>276863</v>
      </c>
      <c r="F336" s="151"/>
      <c r="G336" s="55">
        <v>143830</v>
      </c>
      <c r="H336" s="151"/>
      <c r="I336" s="398">
        <f t="shared" si="7"/>
        <v>51.949881349259385</v>
      </c>
    </row>
    <row r="337" spans="1:9" s="56" customFormat="1" ht="26.25" customHeight="1">
      <c r="A337" s="319"/>
      <c r="B337" s="39">
        <v>85324</v>
      </c>
      <c r="C337" s="185"/>
      <c r="D337" s="340" t="s">
        <v>156</v>
      </c>
      <c r="E337" s="106">
        <f>E338</f>
        <v>72232</v>
      </c>
      <c r="F337" s="166"/>
      <c r="G337" s="106">
        <f>G338</f>
        <v>46566.4</v>
      </c>
      <c r="H337" s="166"/>
      <c r="I337" s="398">
        <f t="shared" si="7"/>
        <v>64.46782589434046</v>
      </c>
    </row>
    <row r="338" spans="1:9" ht="22.5" customHeight="1">
      <c r="A338" s="320"/>
      <c r="B338" s="22"/>
      <c r="C338" s="186" t="s">
        <v>355</v>
      </c>
      <c r="D338" s="276" t="s">
        <v>356</v>
      </c>
      <c r="E338" s="55">
        <v>72232</v>
      </c>
      <c r="F338" s="151"/>
      <c r="G338" s="55">
        <v>46566.4</v>
      </c>
      <c r="H338" s="151"/>
      <c r="I338" s="398">
        <f t="shared" si="7"/>
        <v>64.46782589434046</v>
      </c>
    </row>
    <row r="339" spans="1:9" s="56" customFormat="1" ht="23.25" customHeight="1">
      <c r="A339" s="319"/>
      <c r="B339" s="25">
        <v>85395</v>
      </c>
      <c r="C339" s="185"/>
      <c r="D339" s="340" t="s">
        <v>544</v>
      </c>
      <c r="E339" s="106">
        <f>SUM(E340:E341)</f>
        <v>1159488.2899999998</v>
      </c>
      <c r="F339" s="166"/>
      <c r="G339" s="106">
        <f>SUM(G340:G341)</f>
        <v>421496.49</v>
      </c>
      <c r="H339" s="166"/>
      <c r="I339" s="398">
        <f t="shared" si="7"/>
        <v>36.35194021666231</v>
      </c>
    </row>
    <row r="340" spans="1:9" s="56" customFormat="1" ht="62.25" customHeight="1">
      <c r="A340" s="322"/>
      <c r="B340" s="35"/>
      <c r="C340" s="190">
        <v>2007</v>
      </c>
      <c r="D340" s="276" t="s">
        <v>360</v>
      </c>
      <c r="E340" s="79">
        <v>1111724.15</v>
      </c>
      <c r="F340" s="166"/>
      <c r="G340" s="79">
        <v>385895.46</v>
      </c>
      <c r="H340" s="166"/>
      <c r="I340" s="398">
        <f t="shared" si="7"/>
        <v>34.71143988371576</v>
      </c>
    </row>
    <row r="341" spans="1:9" ht="61.5" customHeight="1">
      <c r="A341" s="323"/>
      <c r="B341" s="2"/>
      <c r="C341" s="190">
        <v>2009</v>
      </c>
      <c r="D341" s="276" t="s">
        <v>360</v>
      </c>
      <c r="E341" s="79">
        <f>47593.83+170.31</f>
        <v>47764.14</v>
      </c>
      <c r="F341" s="151"/>
      <c r="G341" s="79">
        <v>35601.03</v>
      </c>
      <c r="H341" s="151"/>
      <c r="I341" s="398">
        <f t="shared" si="7"/>
        <v>74.535059146883</v>
      </c>
    </row>
    <row r="342" spans="1:9" ht="23.25" customHeight="1">
      <c r="A342" s="177">
        <v>854</v>
      </c>
      <c r="B342" s="7"/>
      <c r="C342" s="177"/>
      <c r="D342" s="289" t="s">
        <v>455</v>
      </c>
      <c r="E342" s="36">
        <f>E343+E346+E352+E354+E360+E362</f>
        <v>785530</v>
      </c>
      <c r="F342" s="104"/>
      <c r="G342" s="36">
        <f>G343+G346+G352+G354+G360+G362</f>
        <v>364688.84</v>
      </c>
      <c r="H342" s="104"/>
      <c r="I342" s="398">
        <f t="shared" si="7"/>
        <v>46.42583224065281</v>
      </c>
    </row>
    <row r="343" spans="1:9" s="56" customFormat="1" ht="23.25" customHeight="1">
      <c r="A343" s="322"/>
      <c r="B343" s="34">
        <v>85401</v>
      </c>
      <c r="C343" s="185"/>
      <c r="D343" s="340" t="s">
        <v>304</v>
      </c>
      <c r="E343" s="29">
        <f>E344+E345</f>
        <v>37500</v>
      </c>
      <c r="F343" s="113"/>
      <c r="G343" s="29">
        <f>G344+G345</f>
        <v>26538.16</v>
      </c>
      <c r="H343" s="113"/>
      <c r="I343" s="398">
        <f t="shared" si="7"/>
        <v>70.76842666666666</v>
      </c>
    </row>
    <row r="344" spans="1:9" ht="18.75" customHeight="1">
      <c r="A344" s="325"/>
      <c r="B344" s="19"/>
      <c r="C344" s="190" t="s">
        <v>621</v>
      </c>
      <c r="D344" s="276" t="s">
        <v>622</v>
      </c>
      <c r="E344" s="27">
        <v>37500</v>
      </c>
      <c r="F344" s="95"/>
      <c r="G344" s="27">
        <v>26491.41</v>
      </c>
      <c r="H344" s="95"/>
      <c r="I344" s="398">
        <f t="shared" si="7"/>
        <v>70.64376</v>
      </c>
    </row>
    <row r="345" spans="1:9" ht="18.75" customHeight="1">
      <c r="A345" s="325"/>
      <c r="B345" s="6"/>
      <c r="C345" s="186" t="s">
        <v>504</v>
      </c>
      <c r="D345" s="276" t="s">
        <v>443</v>
      </c>
      <c r="E345" s="27"/>
      <c r="F345" s="95"/>
      <c r="G345" s="27">
        <v>46.75</v>
      </c>
      <c r="H345" s="95"/>
      <c r="I345" s="398"/>
    </row>
    <row r="346" spans="1:9" ht="22.5" customHeight="1">
      <c r="A346" s="325"/>
      <c r="B346" s="38">
        <v>85403</v>
      </c>
      <c r="C346" s="185"/>
      <c r="D346" s="340" t="s">
        <v>471</v>
      </c>
      <c r="E346" s="29">
        <f>SUM(E347:E351)</f>
        <v>68600</v>
      </c>
      <c r="F346" s="95"/>
      <c r="G346" s="29">
        <f>SUM(G347:G351)</f>
        <v>29888.72</v>
      </c>
      <c r="H346" s="95"/>
      <c r="I346" s="398">
        <f t="shared" si="7"/>
        <v>43.56956268221575</v>
      </c>
    </row>
    <row r="347" spans="1:9" ht="24" customHeight="1">
      <c r="A347" s="325"/>
      <c r="B347" s="34"/>
      <c r="C347" s="190" t="s">
        <v>618</v>
      </c>
      <c r="D347" s="276" t="s">
        <v>619</v>
      </c>
      <c r="E347" s="27">
        <v>420</v>
      </c>
      <c r="F347" s="95"/>
      <c r="G347" s="27">
        <v>50</v>
      </c>
      <c r="H347" s="95"/>
      <c r="I347" s="398">
        <f t="shared" si="7"/>
        <v>11.904761904761903</v>
      </c>
    </row>
    <row r="348" spans="1:9" ht="61.5" customHeight="1">
      <c r="A348" s="325"/>
      <c r="B348" s="54"/>
      <c r="C348" s="190" t="s">
        <v>624</v>
      </c>
      <c r="D348" s="276" t="s">
        <v>350</v>
      </c>
      <c r="E348" s="27">
        <v>12000</v>
      </c>
      <c r="F348" s="95"/>
      <c r="G348" s="27">
        <v>3407.26</v>
      </c>
      <c r="H348" s="95"/>
      <c r="I348" s="398">
        <f t="shared" si="7"/>
        <v>28.393833333333333</v>
      </c>
    </row>
    <row r="349" spans="1:9" ht="22.5" customHeight="1">
      <c r="A349" s="325"/>
      <c r="B349" s="54"/>
      <c r="C349" s="190" t="s">
        <v>621</v>
      </c>
      <c r="D349" s="276" t="s">
        <v>622</v>
      </c>
      <c r="E349" s="27">
        <v>41180</v>
      </c>
      <c r="F349" s="95"/>
      <c r="G349" s="27">
        <v>19329.04</v>
      </c>
      <c r="H349" s="95"/>
      <c r="I349" s="398">
        <f>G349/E349*100</f>
        <v>46.93793103448276</v>
      </c>
    </row>
    <row r="350" spans="1:9" ht="22.5" customHeight="1">
      <c r="A350" s="325"/>
      <c r="B350" s="54"/>
      <c r="C350" s="190" t="s">
        <v>504</v>
      </c>
      <c r="D350" s="276" t="s">
        <v>443</v>
      </c>
      <c r="E350" s="27"/>
      <c r="F350" s="95"/>
      <c r="G350" s="27">
        <v>28.27</v>
      </c>
      <c r="H350" s="95"/>
      <c r="I350" s="398"/>
    </row>
    <row r="351" spans="1:9" ht="23.25" customHeight="1">
      <c r="A351" s="325"/>
      <c r="B351" s="6"/>
      <c r="C351" s="190" t="s">
        <v>355</v>
      </c>
      <c r="D351" s="276" t="s">
        <v>356</v>
      </c>
      <c r="E351" s="27">
        <v>15000</v>
      </c>
      <c r="F351" s="95"/>
      <c r="G351" s="27">
        <v>7074.15</v>
      </c>
      <c r="H351" s="95"/>
      <c r="I351" s="398">
        <f>G351/E351*100</f>
        <v>47.160999999999994</v>
      </c>
    </row>
    <row r="352" spans="1:9" ht="23.25" customHeight="1">
      <c r="A352" s="325"/>
      <c r="B352" s="25">
        <v>85406</v>
      </c>
      <c r="C352" s="25"/>
      <c r="D352" s="293" t="s">
        <v>306</v>
      </c>
      <c r="E352" s="27">
        <f>E353</f>
        <v>0</v>
      </c>
      <c r="F352" s="95"/>
      <c r="G352" s="27">
        <f>G353</f>
        <v>256.4</v>
      </c>
      <c r="H352" s="95"/>
      <c r="I352" s="398"/>
    </row>
    <row r="353" spans="1:9" ht="23.25" customHeight="1">
      <c r="A353" s="325"/>
      <c r="B353" s="6"/>
      <c r="C353" s="190" t="s">
        <v>355</v>
      </c>
      <c r="D353" s="276" t="s">
        <v>356</v>
      </c>
      <c r="E353" s="27"/>
      <c r="F353" s="95"/>
      <c r="G353" s="27">
        <v>256.4</v>
      </c>
      <c r="H353" s="95"/>
      <c r="I353" s="398"/>
    </row>
    <row r="354" spans="1:9" s="56" customFormat="1" ht="24.75" customHeight="1">
      <c r="A354" s="322"/>
      <c r="B354" s="38">
        <v>85410</v>
      </c>
      <c r="C354" s="185"/>
      <c r="D354" s="340" t="s">
        <v>614</v>
      </c>
      <c r="E354" s="29">
        <f>SUM(E355:E359)</f>
        <v>551100</v>
      </c>
      <c r="F354" s="114"/>
      <c r="G354" s="29">
        <f>SUM(G355:G359)</f>
        <v>254062.73</v>
      </c>
      <c r="H354" s="114"/>
      <c r="I354" s="398">
        <f>G354/E354*100</f>
        <v>46.10102159317728</v>
      </c>
    </row>
    <row r="355" spans="1:9" ht="22.5" customHeight="1">
      <c r="A355" s="323"/>
      <c r="B355" s="8"/>
      <c r="C355" s="191" t="s">
        <v>618</v>
      </c>
      <c r="D355" s="341" t="s">
        <v>619</v>
      </c>
      <c r="E355" s="27">
        <v>110000</v>
      </c>
      <c r="F355" s="95"/>
      <c r="G355" s="27">
        <v>64980</v>
      </c>
      <c r="H355" s="95"/>
      <c r="I355" s="398">
        <f>G355/E355*100</f>
        <v>59.07272727272728</v>
      </c>
    </row>
    <row r="356" spans="1:9" ht="59.25" customHeight="1">
      <c r="A356" s="323"/>
      <c r="B356" s="8"/>
      <c r="C356" s="190" t="s">
        <v>624</v>
      </c>
      <c r="D356" s="276" t="s">
        <v>350</v>
      </c>
      <c r="E356" s="27">
        <v>31000</v>
      </c>
      <c r="F356" s="95"/>
      <c r="G356" s="27">
        <v>10630.14</v>
      </c>
      <c r="H356" s="95"/>
      <c r="I356" s="398">
        <f>G356/E356*100</f>
        <v>34.29077419354839</v>
      </c>
    </row>
    <row r="357" spans="1:9" ht="18.75" customHeight="1">
      <c r="A357" s="323"/>
      <c r="B357" s="8"/>
      <c r="C357" s="190" t="s">
        <v>621</v>
      </c>
      <c r="D357" s="276" t="s">
        <v>622</v>
      </c>
      <c r="E357" s="27">
        <v>410000</v>
      </c>
      <c r="F357" s="95"/>
      <c r="G357" s="27">
        <v>178330.5</v>
      </c>
      <c r="H357" s="95"/>
      <c r="I357" s="398">
        <f>G357/E357*100</f>
        <v>43.49524390243902</v>
      </c>
    </row>
    <row r="358" spans="1:9" ht="18" customHeight="1">
      <c r="A358" s="323"/>
      <c r="B358" s="8"/>
      <c r="C358" s="190" t="s">
        <v>504</v>
      </c>
      <c r="D358" s="276" t="s">
        <v>443</v>
      </c>
      <c r="E358" s="27">
        <v>100</v>
      </c>
      <c r="F358" s="95"/>
      <c r="G358" s="27">
        <v>5.09</v>
      </c>
      <c r="H358" s="95"/>
      <c r="I358" s="398">
        <f>G358/E358*100</f>
        <v>5.09</v>
      </c>
    </row>
    <row r="359" spans="1:9" ht="18" customHeight="1">
      <c r="A359" s="323"/>
      <c r="B359" s="8"/>
      <c r="C359" s="190" t="s">
        <v>355</v>
      </c>
      <c r="D359" s="276" t="s">
        <v>356</v>
      </c>
      <c r="E359" s="27"/>
      <c r="F359" s="95"/>
      <c r="G359" s="27">
        <v>117</v>
      </c>
      <c r="H359" s="95"/>
      <c r="I359" s="398"/>
    </row>
    <row r="360" spans="1:9" ht="36.75" customHeight="1">
      <c r="A360" s="323"/>
      <c r="B360" s="25">
        <v>85412</v>
      </c>
      <c r="C360" s="185"/>
      <c r="D360" s="340" t="s">
        <v>508</v>
      </c>
      <c r="E360" s="29">
        <f>E361</f>
        <v>11690</v>
      </c>
      <c r="F360" s="95"/>
      <c r="G360" s="29">
        <f>G361</f>
        <v>9450</v>
      </c>
      <c r="H360" s="95"/>
      <c r="I360" s="398">
        <f aca="true" t="shared" si="8" ref="I360:I372">G360/E360*100</f>
        <v>80.83832335329342</v>
      </c>
    </row>
    <row r="361" spans="1:9" ht="17.25" customHeight="1">
      <c r="A361" s="323"/>
      <c r="B361" s="8"/>
      <c r="C361" s="190" t="s">
        <v>621</v>
      </c>
      <c r="D361" s="276" t="s">
        <v>622</v>
      </c>
      <c r="E361" s="27">
        <v>11690</v>
      </c>
      <c r="F361" s="95"/>
      <c r="G361" s="27">
        <v>9450</v>
      </c>
      <c r="H361" s="95"/>
      <c r="I361" s="398">
        <f t="shared" si="8"/>
        <v>80.83832335329342</v>
      </c>
    </row>
    <row r="362" spans="1:9" s="56" customFormat="1" ht="21" customHeight="1">
      <c r="A362" s="322"/>
      <c r="B362" s="25">
        <v>85417</v>
      </c>
      <c r="C362" s="179"/>
      <c r="D362" s="340" t="s">
        <v>615</v>
      </c>
      <c r="E362" s="29">
        <f>SUM(E363:E364)</f>
        <v>116640</v>
      </c>
      <c r="F362" s="114"/>
      <c r="G362" s="29">
        <f>SUM(G363:G364)</f>
        <v>44492.83</v>
      </c>
      <c r="H362" s="114"/>
      <c r="I362" s="398">
        <f t="shared" si="8"/>
        <v>38.14543038408779</v>
      </c>
    </row>
    <row r="363" spans="1:9" ht="20.25" customHeight="1">
      <c r="A363" s="323"/>
      <c r="B363" s="8"/>
      <c r="C363" s="190" t="s">
        <v>621</v>
      </c>
      <c r="D363" s="276" t="s">
        <v>622</v>
      </c>
      <c r="E363" s="27">
        <v>100000</v>
      </c>
      <c r="F363" s="95"/>
      <c r="G363" s="27">
        <v>36322.83</v>
      </c>
      <c r="H363" s="95"/>
      <c r="I363" s="398">
        <f t="shared" si="8"/>
        <v>36.32283</v>
      </c>
    </row>
    <row r="364" spans="1:9" ht="19.5" customHeight="1">
      <c r="A364" s="323"/>
      <c r="B364" s="8"/>
      <c r="C364" s="186" t="s">
        <v>355</v>
      </c>
      <c r="D364" s="276" t="s">
        <v>356</v>
      </c>
      <c r="E364" s="27">
        <v>16640</v>
      </c>
      <c r="F364" s="97"/>
      <c r="G364" s="27">
        <v>8170</v>
      </c>
      <c r="H364" s="97"/>
      <c r="I364" s="398">
        <f t="shared" si="8"/>
        <v>49.09855769230769</v>
      </c>
    </row>
    <row r="365" spans="1:9" ht="25.5" customHeight="1">
      <c r="A365" s="177">
        <v>900</v>
      </c>
      <c r="B365" s="11"/>
      <c r="C365" s="177"/>
      <c r="D365" s="289" t="s">
        <v>552</v>
      </c>
      <c r="E365" s="36">
        <f>E366</f>
        <v>1800000</v>
      </c>
      <c r="F365" s="169"/>
      <c r="G365" s="36">
        <f>G366</f>
        <v>1299981.07</v>
      </c>
      <c r="H365" s="169"/>
      <c r="I365" s="398">
        <f t="shared" si="8"/>
        <v>72.22117055555556</v>
      </c>
    </row>
    <row r="366" spans="1:9" ht="36" customHeight="1">
      <c r="A366" s="319"/>
      <c r="B366" s="25">
        <v>90019</v>
      </c>
      <c r="C366" s="185"/>
      <c r="D366" s="340" t="s">
        <v>610</v>
      </c>
      <c r="E366" s="106">
        <f>SUM(E367:E367)</f>
        <v>1800000</v>
      </c>
      <c r="F366" s="151"/>
      <c r="G366" s="106">
        <f>SUM(G367:G367)</f>
        <v>1299981.07</v>
      </c>
      <c r="H366" s="151"/>
      <c r="I366" s="398">
        <f t="shared" si="8"/>
        <v>72.22117055555556</v>
      </c>
    </row>
    <row r="367" spans="1:9" ht="18.75" customHeight="1">
      <c r="A367" s="323"/>
      <c r="B367" s="2"/>
      <c r="C367" s="190" t="s">
        <v>618</v>
      </c>
      <c r="D367" s="276" t="s">
        <v>619</v>
      </c>
      <c r="E367" s="55">
        <v>1800000</v>
      </c>
      <c r="F367" s="151"/>
      <c r="G367" s="55">
        <v>1299981.07</v>
      </c>
      <c r="H367" s="151"/>
      <c r="I367" s="398">
        <f t="shared" si="8"/>
        <v>72.22117055555556</v>
      </c>
    </row>
    <row r="368" spans="1:9" ht="23.25" customHeight="1">
      <c r="A368" s="177">
        <v>921</v>
      </c>
      <c r="B368" s="6"/>
      <c r="C368" s="177"/>
      <c r="D368" s="289" t="s">
        <v>157</v>
      </c>
      <c r="E368" s="36">
        <f>E369</f>
        <v>80000</v>
      </c>
      <c r="F368" s="151"/>
      <c r="G368" s="36">
        <f>G369</f>
        <v>38000</v>
      </c>
      <c r="H368" s="151"/>
      <c r="I368" s="398">
        <f t="shared" si="8"/>
        <v>47.5</v>
      </c>
    </row>
    <row r="369" spans="1:13" s="56" customFormat="1" ht="24" customHeight="1">
      <c r="A369" s="319"/>
      <c r="B369" s="25">
        <v>92116</v>
      </c>
      <c r="C369" s="185"/>
      <c r="D369" s="340" t="s">
        <v>593</v>
      </c>
      <c r="E369" s="106">
        <f>E370</f>
        <v>80000</v>
      </c>
      <c r="F369" s="166"/>
      <c r="G369" s="106">
        <f>G370</f>
        <v>38000</v>
      </c>
      <c r="H369" s="166"/>
      <c r="I369" s="398">
        <f t="shared" si="8"/>
        <v>47.5</v>
      </c>
      <c r="L369" s="40"/>
      <c r="M369" s="40"/>
    </row>
    <row r="370" spans="1:14" ht="49.5" customHeight="1">
      <c r="A370" s="323"/>
      <c r="B370" s="2"/>
      <c r="C370" s="191">
        <v>2320</v>
      </c>
      <c r="D370" s="341" t="s">
        <v>154</v>
      </c>
      <c r="E370" s="55">
        <v>80000</v>
      </c>
      <c r="F370" s="151"/>
      <c r="G370" s="55">
        <v>38000</v>
      </c>
      <c r="H370" s="151"/>
      <c r="I370" s="398">
        <f t="shared" si="8"/>
        <v>47.5</v>
      </c>
      <c r="J370" s="53"/>
      <c r="K370" s="53"/>
      <c r="N370" s="53"/>
    </row>
    <row r="371" spans="1:14" ht="24" customHeight="1">
      <c r="A371" s="327" t="s">
        <v>158</v>
      </c>
      <c r="B371" s="5"/>
      <c r="C371" s="195"/>
      <c r="D371" s="346"/>
      <c r="E371" s="70">
        <f>E217+E220+E224+E228+E240+E248+E253+E262+E269+E314+E331+E342+E365+E368</f>
        <v>127077597.71000001</v>
      </c>
      <c r="F371" s="153">
        <f>F217+F220+F224+F228+F240+F248+F253+F262+F269+F314+F331+F342+F365+F368</f>
        <v>11023721</v>
      </c>
      <c r="G371" s="70">
        <f>G217+G220+G224+G228+G240+G248+G253+G262+G269+G314+G331+G342+G365+G368</f>
        <v>66275523.800000004</v>
      </c>
      <c r="H371" s="153">
        <f>H217+H220+H224+H228+H240+H248+H253+H262+H269+H314+H331+H342+H365+H368</f>
        <v>6262575.69</v>
      </c>
      <c r="I371" s="402">
        <f t="shared" si="8"/>
        <v>52.1535856786067</v>
      </c>
      <c r="J371" s="53"/>
      <c r="K371" s="232"/>
      <c r="L371" s="53"/>
      <c r="M371" s="53"/>
      <c r="N371" s="53"/>
    </row>
    <row r="372" spans="1:14" ht="21" customHeight="1">
      <c r="A372" s="328" t="s">
        <v>159</v>
      </c>
      <c r="B372" s="11"/>
      <c r="C372" s="177"/>
      <c r="D372" s="292"/>
      <c r="E372" s="70">
        <f>E215+E371</f>
        <v>410313788.06000006</v>
      </c>
      <c r="F372" s="154">
        <f>F215+F371</f>
        <v>32194111.5</v>
      </c>
      <c r="G372" s="70">
        <f>G215+G371</f>
        <v>203502799.3</v>
      </c>
      <c r="H372" s="154">
        <f>H215+H371</f>
        <v>18155665.78</v>
      </c>
      <c r="I372" s="402">
        <f t="shared" si="8"/>
        <v>49.59687079056721</v>
      </c>
      <c r="J372" s="53"/>
      <c r="K372" s="53"/>
      <c r="L372" s="53"/>
      <c r="M372" s="53"/>
      <c r="N372" s="53"/>
    </row>
    <row r="373" spans="1:14" ht="12.75" customHeight="1">
      <c r="A373" s="329"/>
      <c r="B373" s="21"/>
      <c r="C373" s="245"/>
      <c r="D373" s="347"/>
      <c r="E373" s="246"/>
      <c r="F373" s="247"/>
      <c r="G373" s="246"/>
      <c r="H373" s="247"/>
      <c r="I373" s="399"/>
      <c r="J373" s="53"/>
      <c r="K373" s="53"/>
      <c r="L373" s="53"/>
      <c r="M373" s="53"/>
      <c r="N373" s="53"/>
    </row>
    <row r="374" spans="1:14" ht="12.75" customHeight="1">
      <c r="A374" s="329"/>
      <c r="B374" s="21"/>
      <c r="C374" s="245"/>
      <c r="D374" s="347"/>
      <c r="E374" s="246"/>
      <c r="F374" s="247"/>
      <c r="G374" s="246"/>
      <c r="H374" s="247"/>
      <c r="I374" s="399"/>
      <c r="J374" s="53"/>
      <c r="K374" s="53"/>
      <c r="L374" s="53"/>
      <c r="M374" s="53"/>
      <c r="N374" s="53"/>
    </row>
    <row r="375" spans="1:14" ht="12.75" customHeight="1">
      <c r="A375" s="329"/>
      <c r="B375" s="21"/>
      <c r="C375" s="245"/>
      <c r="D375" s="347"/>
      <c r="E375" s="246"/>
      <c r="F375" s="247"/>
      <c r="G375" s="246"/>
      <c r="H375" s="247"/>
      <c r="I375" s="399"/>
      <c r="J375" s="53"/>
      <c r="K375" s="53"/>
      <c r="L375" s="53"/>
      <c r="M375" s="53"/>
      <c r="N375" s="53"/>
    </row>
    <row r="376" spans="1:14" ht="12.75" customHeight="1">
      <c r="A376" s="329"/>
      <c r="B376" s="21"/>
      <c r="C376" s="245"/>
      <c r="D376" s="347"/>
      <c r="E376" s="246"/>
      <c r="F376" s="247"/>
      <c r="G376" s="246"/>
      <c r="H376" s="247"/>
      <c r="I376" s="399"/>
      <c r="J376" s="53"/>
      <c r="K376" s="53"/>
      <c r="L376" s="53"/>
      <c r="M376" s="53"/>
      <c r="N376" s="53"/>
    </row>
    <row r="377" spans="1:14" ht="12.75" customHeight="1">
      <c r="A377" s="329"/>
      <c r="B377" s="21"/>
      <c r="C377" s="245"/>
      <c r="D377" s="347"/>
      <c r="E377" s="246"/>
      <c r="F377" s="247"/>
      <c r="G377" s="246"/>
      <c r="H377" s="247"/>
      <c r="I377" s="399"/>
      <c r="J377" s="53"/>
      <c r="K377" s="53"/>
      <c r="L377" s="53"/>
      <c r="M377" s="53"/>
      <c r="N377" s="53"/>
    </row>
    <row r="378" spans="1:14" ht="12.75" customHeight="1">
      <c r="A378" s="329"/>
      <c r="B378" s="21"/>
      <c r="C378" s="245"/>
      <c r="D378" s="347"/>
      <c r="E378" s="246"/>
      <c r="F378" s="247"/>
      <c r="G378" s="246"/>
      <c r="H378" s="247"/>
      <c r="I378" s="399"/>
      <c r="J378" s="53"/>
      <c r="K378" s="53"/>
      <c r="L378" s="53"/>
      <c r="M378" s="53"/>
      <c r="N378" s="53"/>
    </row>
    <row r="379" spans="1:14" ht="12.75" customHeight="1">
      <c r="A379" s="329"/>
      <c r="B379" s="21"/>
      <c r="C379" s="245"/>
      <c r="D379" s="347"/>
      <c r="E379" s="246"/>
      <c r="F379" s="247"/>
      <c r="G379" s="246"/>
      <c r="H379" s="247"/>
      <c r="I379" s="399"/>
      <c r="J379" s="53"/>
      <c r="K379" s="53"/>
      <c r="L379" s="53"/>
      <c r="M379" s="53"/>
      <c r="N379" s="53"/>
    </row>
    <row r="380" spans="1:14" ht="12.75" customHeight="1">
      <c r="A380" s="329"/>
      <c r="B380" s="21"/>
      <c r="C380" s="245"/>
      <c r="D380" s="347"/>
      <c r="E380" s="246"/>
      <c r="F380" s="247"/>
      <c r="G380" s="246"/>
      <c r="H380" s="247"/>
      <c r="I380" s="399"/>
      <c r="J380" s="53"/>
      <c r="K380" s="53"/>
      <c r="L380" s="53"/>
      <c r="M380" s="53"/>
      <c r="N380" s="53"/>
    </row>
    <row r="381" spans="1:14" ht="12.75" customHeight="1">
      <c r="A381" s="329"/>
      <c r="B381" s="21"/>
      <c r="C381" s="245"/>
      <c r="D381" s="347"/>
      <c r="E381" s="246"/>
      <c r="F381" s="247"/>
      <c r="G381" s="246"/>
      <c r="H381" s="247"/>
      <c r="I381" s="399"/>
      <c r="J381" s="53"/>
      <c r="K381" s="53"/>
      <c r="L381" s="53"/>
      <c r="M381" s="53"/>
      <c r="N381" s="53"/>
    </row>
    <row r="382" spans="1:14" ht="12.75" customHeight="1">
      <c r="A382" s="329"/>
      <c r="B382" s="21"/>
      <c r="C382" s="245"/>
      <c r="D382" s="347"/>
      <c r="E382" s="246"/>
      <c r="F382" s="247"/>
      <c r="G382" s="246"/>
      <c r="H382" s="247"/>
      <c r="I382" s="399"/>
      <c r="J382" s="53"/>
      <c r="K382" s="53"/>
      <c r="L382" s="53"/>
      <c r="M382" s="53"/>
      <c r="N382" s="53"/>
    </row>
    <row r="383" spans="1:14" ht="12.75" customHeight="1">
      <c r="A383" s="329"/>
      <c r="B383" s="21"/>
      <c r="C383" s="245"/>
      <c r="D383" s="347"/>
      <c r="E383" s="246"/>
      <c r="F383" s="247"/>
      <c r="G383" s="246"/>
      <c r="H383" s="247"/>
      <c r="I383" s="399"/>
      <c r="J383" s="53"/>
      <c r="K383" s="53"/>
      <c r="L383" s="53"/>
      <c r="M383" s="53"/>
      <c r="N383" s="53"/>
    </row>
    <row r="384" spans="1:14" ht="12.75" customHeight="1">
      <c r="A384" s="329"/>
      <c r="B384" s="21"/>
      <c r="C384" s="245"/>
      <c r="D384" s="347"/>
      <c r="E384" s="246"/>
      <c r="F384" s="247"/>
      <c r="G384" s="246"/>
      <c r="H384" s="247"/>
      <c r="I384" s="399"/>
      <c r="J384" s="53"/>
      <c r="K384" s="53"/>
      <c r="L384" s="53"/>
      <c r="M384" s="53"/>
      <c r="N384" s="53"/>
    </row>
    <row r="385" spans="1:14" ht="12.75" customHeight="1">
      <c r="A385" s="329"/>
      <c r="B385" s="21"/>
      <c r="C385" s="245"/>
      <c r="D385" s="347"/>
      <c r="E385" s="246"/>
      <c r="F385" s="247"/>
      <c r="G385" s="246"/>
      <c r="H385" s="247"/>
      <c r="I385" s="399"/>
      <c r="J385" s="53"/>
      <c r="K385" s="53"/>
      <c r="L385" s="53"/>
      <c r="M385" s="53"/>
      <c r="N385" s="53"/>
    </row>
    <row r="386" spans="1:14" ht="12.75" customHeight="1">
      <c r="A386" s="329"/>
      <c r="B386" s="21"/>
      <c r="C386" s="245"/>
      <c r="D386" s="347"/>
      <c r="E386" s="246"/>
      <c r="F386" s="247"/>
      <c r="G386" s="246"/>
      <c r="H386" s="247"/>
      <c r="I386" s="399"/>
      <c r="J386" s="53"/>
      <c r="K386" s="53"/>
      <c r="L386" s="53"/>
      <c r="M386" s="53"/>
      <c r="N386" s="53"/>
    </row>
    <row r="387" spans="1:14" ht="12.75" customHeight="1">
      <c r="A387" s="329"/>
      <c r="B387" s="21"/>
      <c r="C387" s="245"/>
      <c r="D387" s="347"/>
      <c r="E387" s="246"/>
      <c r="F387" s="247"/>
      <c r="G387" s="246"/>
      <c r="H387" s="247"/>
      <c r="I387" s="399"/>
      <c r="J387" s="53"/>
      <c r="K387" s="53"/>
      <c r="L387" s="53"/>
      <c r="M387" s="53"/>
      <c r="N387" s="53"/>
    </row>
    <row r="388" spans="1:14" ht="12.75" customHeight="1">
      <c r="A388" s="329"/>
      <c r="B388" s="21"/>
      <c r="C388" s="245"/>
      <c r="D388" s="347"/>
      <c r="E388" s="246"/>
      <c r="F388" s="247"/>
      <c r="G388" s="246"/>
      <c r="H388" s="247"/>
      <c r="I388" s="399"/>
      <c r="J388" s="53"/>
      <c r="K388" s="53"/>
      <c r="L388" s="53"/>
      <c r="M388" s="53"/>
      <c r="N388" s="53"/>
    </row>
    <row r="389" spans="1:14" ht="12.75" customHeight="1">
      <c r="A389" s="329"/>
      <c r="B389" s="21"/>
      <c r="C389" s="245"/>
      <c r="D389" s="347"/>
      <c r="E389" s="246"/>
      <c r="F389" s="247"/>
      <c r="G389" s="246"/>
      <c r="H389" s="247"/>
      <c r="I389" s="399"/>
      <c r="J389" s="53"/>
      <c r="K389" s="53"/>
      <c r="L389" s="53"/>
      <c r="M389" s="53"/>
      <c r="N389" s="53"/>
    </row>
    <row r="390" spans="1:14" ht="12.75" customHeight="1">
      <c r="A390" s="329"/>
      <c r="B390" s="21"/>
      <c r="C390" s="245"/>
      <c r="D390" s="347"/>
      <c r="E390" s="246"/>
      <c r="F390" s="247"/>
      <c r="G390" s="246"/>
      <c r="H390" s="247"/>
      <c r="I390" s="399"/>
      <c r="J390" s="53"/>
      <c r="K390" s="53"/>
      <c r="L390" s="53"/>
      <c r="M390" s="53"/>
      <c r="N390" s="53"/>
    </row>
    <row r="391" spans="1:14" ht="12.75" customHeight="1">
      <c r="A391" s="329"/>
      <c r="B391" s="21"/>
      <c r="C391" s="245"/>
      <c r="D391" s="347"/>
      <c r="E391" s="246"/>
      <c r="F391" s="247"/>
      <c r="G391" s="246"/>
      <c r="H391" s="247"/>
      <c r="I391" s="399"/>
      <c r="J391" s="53"/>
      <c r="K391" s="53"/>
      <c r="L391" s="53"/>
      <c r="M391" s="53"/>
      <c r="N391" s="53"/>
    </row>
    <row r="392" spans="1:14" ht="12.75" customHeight="1">
      <c r="A392" s="329"/>
      <c r="B392" s="21"/>
      <c r="C392" s="245"/>
      <c r="D392" s="347"/>
      <c r="E392" s="246"/>
      <c r="F392" s="247"/>
      <c r="G392" s="246"/>
      <c r="H392" s="247"/>
      <c r="I392" s="399"/>
      <c r="J392" s="53"/>
      <c r="K392" s="53"/>
      <c r="L392" s="53"/>
      <c r="M392" s="53"/>
      <c r="N392" s="53"/>
    </row>
    <row r="393" spans="1:14" ht="12.75" customHeight="1">
      <c r="A393" s="329"/>
      <c r="B393" s="21"/>
      <c r="C393" s="245"/>
      <c r="D393" s="347"/>
      <c r="E393" s="246"/>
      <c r="F393" s="247"/>
      <c r="G393" s="246"/>
      <c r="H393" s="247"/>
      <c r="I393" s="399"/>
      <c r="J393" s="53"/>
      <c r="K393" s="53"/>
      <c r="L393" s="53"/>
      <c r="M393" s="53"/>
      <c r="N393" s="53"/>
    </row>
    <row r="394" spans="1:14" ht="12.75" customHeight="1">
      <c r="A394" s="329"/>
      <c r="B394" s="21"/>
      <c r="C394" s="245"/>
      <c r="D394" s="347"/>
      <c r="E394" s="246"/>
      <c r="F394" s="247"/>
      <c r="G394" s="246"/>
      <c r="H394" s="247"/>
      <c r="I394" s="399"/>
      <c r="J394" s="53"/>
      <c r="K394" s="53"/>
      <c r="L394" s="53"/>
      <c r="M394" s="53"/>
      <c r="N394" s="53"/>
    </row>
    <row r="395" spans="1:14" ht="12.75" customHeight="1">
      <c r="A395" s="329"/>
      <c r="B395" s="21"/>
      <c r="C395" s="245"/>
      <c r="D395" s="347"/>
      <c r="E395" s="246"/>
      <c r="F395" s="247"/>
      <c r="G395" s="246"/>
      <c r="H395" s="247"/>
      <c r="I395" s="399"/>
      <c r="J395" s="53"/>
      <c r="K395" s="53"/>
      <c r="L395" s="53"/>
      <c r="M395" s="53"/>
      <c r="N395" s="53"/>
    </row>
    <row r="396" spans="1:14" ht="12.75" customHeight="1">
      <c r="A396" s="329"/>
      <c r="B396" s="21"/>
      <c r="C396" s="245"/>
      <c r="D396" s="347"/>
      <c r="E396" s="246"/>
      <c r="F396" s="247"/>
      <c r="G396" s="246"/>
      <c r="H396" s="247"/>
      <c r="I396" s="399"/>
      <c r="J396" s="53"/>
      <c r="K396" s="53"/>
      <c r="L396" s="53"/>
      <c r="M396" s="53"/>
      <c r="N396" s="53"/>
    </row>
  </sheetData>
  <sheetProtection/>
  <mergeCells count="6">
    <mergeCell ref="G9:H9"/>
    <mergeCell ref="E9:F9"/>
    <mergeCell ref="A9:A11"/>
    <mergeCell ref="B9:B11"/>
    <mergeCell ref="C9:C11"/>
    <mergeCell ref="D9:D11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.421875" style="43" customWidth="1"/>
    <col min="2" max="2" width="25.7109375" style="43" customWidth="1"/>
    <col min="3" max="3" width="28.140625" style="43" customWidth="1"/>
    <col min="4" max="4" width="17.57421875" style="43" customWidth="1"/>
    <col min="5" max="5" width="18.00390625" style="43" customWidth="1"/>
    <col min="6" max="6" width="6.57421875" style="43" customWidth="1"/>
    <col min="7" max="7" width="8.8515625" style="43" customWidth="1"/>
    <col min="8" max="16384" width="9.140625" style="43" customWidth="1"/>
  </cols>
  <sheetData>
    <row r="1" spans="3:6" ht="19.5" customHeight="1">
      <c r="C1" s="786"/>
      <c r="D1" s="282" t="s">
        <v>802</v>
      </c>
      <c r="F1" s="407"/>
    </row>
    <row r="2" spans="3:6" ht="21" customHeight="1">
      <c r="C2" s="138"/>
      <c r="F2" s="53"/>
    </row>
    <row r="3" ht="18" customHeight="1">
      <c r="C3" s="282"/>
    </row>
    <row r="4" spans="1:6" s="723" customFormat="1" ht="17.25" customHeight="1">
      <c r="A4" s="139" t="s">
        <v>789</v>
      </c>
      <c r="B4" s="931"/>
      <c r="C4" s="932"/>
      <c r="D4" s="43"/>
      <c r="E4" s="43"/>
      <c r="F4" s="43"/>
    </row>
    <row r="5" spans="1:6" s="723" customFormat="1" ht="17.25" customHeight="1">
      <c r="A5" s="139" t="s">
        <v>261</v>
      </c>
      <c r="B5" s="931"/>
      <c r="C5" s="932"/>
      <c r="D5" s="43"/>
      <c r="E5" s="43"/>
      <c r="F5" s="43"/>
    </row>
    <row r="6" spans="1:3" ht="17.25" customHeight="1">
      <c r="A6" s="139" t="s">
        <v>250</v>
      </c>
      <c r="B6" s="931"/>
      <c r="C6" s="932"/>
    </row>
    <row r="7" spans="1:3" ht="17.25" customHeight="1">
      <c r="A7" s="931"/>
      <c r="B7" s="931"/>
      <c r="C7" s="932"/>
    </row>
    <row r="8" spans="1:2" ht="13.5">
      <c r="A8" s="702" t="s">
        <v>410</v>
      </c>
      <c r="B8" s="817"/>
    </row>
    <row r="9" spans="3:5" ht="11.25" customHeight="1">
      <c r="C9" s="933"/>
      <c r="D9" s="934"/>
      <c r="E9" s="673" t="s">
        <v>411</v>
      </c>
    </row>
    <row r="10" spans="1:6" ht="29.25" customHeight="1">
      <c r="A10" s="587" t="s">
        <v>412</v>
      </c>
      <c r="B10" s="587" t="s">
        <v>484</v>
      </c>
      <c r="C10" s="587" t="s">
        <v>262</v>
      </c>
      <c r="D10" s="674" t="s">
        <v>263</v>
      </c>
      <c r="E10" s="674" t="s">
        <v>238</v>
      </c>
      <c r="F10" s="674" t="s">
        <v>239</v>
      </c>
    </row>
    <row r="11" spans="1:6" ht="27" customHeight="1">
      <c r="A11" s="52" t="s">
        <v>243</v>
      </c>
      <c r="B11" s="935"/>
      <c r="C11" s="478"/>
      <c r="D11" s="751">
        <f>D12+D16+D19</f>
        <v>15943694.64</v>
      </c>
      <c r="E11" s="751">
        <f>E12+E16+E19</f>
        <v>8834238.83</v>
      </c>
      <c r="F11" s="36">
        <f>E11*100/D11</f>
        <v>55.40898160352624</v>
      </c>
    </row>
    <row r="12" spans="1:6" s="746" customFormat="1" ht="30" customHeight="1">
      <c r="A12" s="908" t="s">
        <v>790</v>
      </c>
      <c r="B12" s="936"/>
      <c r="C12" s="937"/>
      <c r="D12" s="764">
        <f>D13</f>
        <v>4897700</v>
      </c>
      <c r="E12" s="764">
        <f>E13</f>
        <v>2807900</v>
      </c>
      <c r="F12" s="956">
        <f aca="true" t="shared" si="0" ref="F12:F38">E12*100/D12</f>
        <v>57.33099209833187</v>
      </c>
    </row>
    <row r="13" spans="1:6" ht="37.5" customHeight="1">
      <c r="A13" s="938">
        <v>921</v>
      </c>
      <c r="B13" s="881" t="s">
        <v>38</v>
      </c>
      <c r="C13" s="12"/>
      <c r="D13" s="751">
        <f>D14+D15</f>
        <v>4897700</v>
      </c>
      <c r="E13" s="751">
        <f>E14+E15</f>
        <v>2807900</v>
      </c>
      <c r="F13" s="55">
        <f t="shared" si="0"/>
        <v>57.33099209833187</v>
      </c>
    </row>
    <row r="14" spans="1:6" ht="28.5" customHeight="1">
      <c r="A14" s="939"/>
      <c r="B14" s="923"/>
      <c r="C14" s="940" t="s">
        <v>791</v>
      </c>
      <c r="D14" s="165">
        <f>3496900+10000+15000+12700</f>
        <v>3534600</v>
      </c>
      <c r="E14" s="165">
        <v>2144900</v>
      </c>
      <c r="F14" s="55">
        <f t="shared" si="0"/>
        <v>60.68296271148079</v>
      </c>
    </row>
    <row r="15" spans="1:6" ht="30" customHeight="1">
      <c r="A15" s="700"/>
      <c r="B15" s="941"/>
      <c r="C15" s="940" t="s">
        <v>792</v>
      </c>
      <c r="D15" s="859">
        <f>1253100+110000</f>
        <v>1363100</v>
      </c>
      <c r="E15" s="859">
        <v>663000</v>
      </c>
      <c r="F15" s="55">
        <f t="shared" si="0"/>
        <v>48.63913139168073</v>
      </c>
    </row>
    <row r="16" spans="1:6" ht="29.25" customHeight="1">
      <c r="A16" s="908" t="s">
        <v>793</v>
      </c>
      <c r="B16" s="942"/>
      <c r="C16" s="940"/>
      <c r="D16" s="764">
        <f>D17</f>
        <v>10903932.14</v>
      </c>
      <c r="E16" s="764">
        <f>E17</f>
        <v>6026338.83</v>
      </c>
      <c r="F16" s="956">
        <f t="shared" si="0"/>
        <v>55.267574601761964</v>
      </c>
    </row>
    <row r="17" spans="1:6" ht="33.75" customHeight="1">
      <c r="A17" s="122">
        <v>600</v>
      </c>
      <c r="B17" s="45" t="s">
        <v>414</v>
      </c>
      <c r="C17" s="940"/>
      <c r="D17" s="751">
        <f>D18</f>
        <v>10903932.14</v>
      </c>
      <c r="E17" s="751">
        <f>E18</f>
        <v>6026338.83</v>
      </c>
      <c r="F17" s="55">
        <f t="shared" si="0"/>
        <v>55.267574601761964</v>
      </c>
    </row>
    <row r="18" spans="1:6" ht="38.25" customHeight="1">
      <c r="A18" s="720"/>
      <c r="B18" s="305"/>
      <c r="C18" s="698" t="s">
        <v>794</v>
      </c>
      <c r="D18" s="831">
        <f>10995992.22-92060.08</f>
        <v>10903932.14</v>
      </c>
      <c r="E18" s="831">
        <v>6026338.83</v>
      </c>
      <c r="F18" s="55">
        <f>E18*100/D18</f>
        <v>55.267574601761964</v>
      </c>
    </row>
    <row r="19" spans="1:6" ht="29.25" customHeight="1">
      <c r="A19" s="4" t="s">
        <v>833</v>
      </c>
      <c r="B19" s="15"/>
      <c r="C19" s="12"/>
      <c r="D19" s="764">
        <f>D20+D22+D24+D26</f>
        <v>142062.5</v>
      </c>
      <c r="E19" s="764">
        <f>E20+E22+E24+E26</f>
        <v>0</v>
      </c>
      <c r="F19" s="106"/>
    </row>
    <row r="20" spans="1:6" ht="29.25" customHeight="1">
      <c r="A20" s="74">
        <v>851</v>
      </c>
      <c r="B20" s="711" t="s">
        <v>409</v>
      </c>
      <c r="C20" s="12"/>
      <c r="D20" s="751">
        <f>SUM(D21)</f>
        <v>100000</v>
      </c>
      <c r="E20" s="751">
        <f>SUM(E21)</f>
        <v>0</v>
      </c>
      <c r="F20" s="55"/>
    </row>
    <row r="21" spans="1:6" ht="69" customHeight="1">
      <c r="A21" s="943"/>
      <c r="B21" s="882"/>
      <c r="C21" s="900" t="s">
        <v>1004</v>
      </c>
      <c r="D21" s="944">
        <f>100000</f>
        <v>100000</v>
      </c>
      <c r="E21" s="944">
        <v>0</v>
      </c>
      <c r="F21" s="55"/>
    </row>
    <row r="22" spans="1:6" ht="39" customHeight="1">
      <c r="A22" s="11">
        <v>853</v>
      </c>
      <c r="B22" s="557" t="s">
        <v>592</v>
      </c>
      <c r="C22" s="900"/>
      <c r="D22" s="751">
        <f>SUM(D23)</f>
        <v>5062.5</v>
      </c>
      <c r="E22" s="751">
        <f>SUM(E23)</f>
        <v>0</v>
      </c>
      <c r="F22" s="55"/>
    </row>
    <row r="23" spans="1:6" ht="53.25" customHeight="1">
      <c r="A23" s="943"/>
      <c r="B23" s="882"/>
      <c r="C23" s="900" t="s">
        <v>795</v>
      </c>
      <c r="D23" s="756">
        <v>5062.5</v>
      </c>
      <c r="E23" s="756">
        <v>0</v>
      </c>
      <c r="F23" s="55"/>
    </row>
    <row r="24" spans="1:6" ht="34.5" customHeight="1">
      <c r="A24" s="73">
        <v>900</v>
      </c>
      <c r="B24" s="893" t="s">
        <v>796</v>
      </c>
      <c r="C24" s="945"/>
      <c r="D24" s="175">
        <f>D25</f>
        <v>12000</v>
      </c>
      <c r="E24" s="175">
        <f>E25</f>
        <v>0</v>
      </c>
      <c r="F24" s="55"/>
    </row>
    <row r="25" spans="1:9" ht="45.75" customHeight="1">
      <c r="A25" s="939"/>
      <c r="B25" s="839"/>
      <c r="C25" s="530" t="s">
        <v>721</v>
      </c>
      <c r="D25" s="903">
        <v>12000</v>
      </c>
      <c r="E25" s="903">
        <v>0</v>
      </c>
      <c r="F25" s="55"/>
      <c r="G25" s="23"/>
      <c r="H25" s="23"/>
      <c r="I25" s="23"/>
    </row>
    <row r="26" spans="1:9" ht="37.5" customHeight="1">
      <c r="A26" s="122">
        <v>921</v>
      </c>
      <c r="B26" s="890" t="s">
        <v>38</v>
      </c>
      <c r="C26" s="886"/>
      <c r="D26" s="775">
        <f>SUM(D27)</f>
        <v>25000</v>
      </c>
      <c r="E26" s="775">
        <f>SUM(E27)</f>
        <v>0</v>
      </c>
      <c r="F26" s="55"/>
      <c r="G26" s="23"/>
      <c r="H26" s="23"/>
      <c r="I26" s="23"/>
    </row>
    <row r="27" spans="1:9" ht="60.75" customHeight="1">
      <c r="A27" s="939"/>
      <c r="B27" s="882"/>
      <c r="C27" s="886" t="s">
        <v>797</v>
      </c>
      <c r="D27" s="766">
        <v>25000</v>
      </c>
      <c r="E27" s="766">
        <v>0</v>
      </c>
      <c r="F27" s="55"/>
      <c r="G27" s="23"/>
      <c r="H27" s="23"/>
      <c r="I27" s="23"/>
    </row>
    <row r="28" spans="1:9" ht="30.75" customHeight="1">
      <c r="A28" s="52" t="s">
        <v>759</v>
      </c>
      <c r="B28" s="811"/>
      <c r="C28" s="946"/>
      <c r="D28" s="863">
        <f>D29+D32</f>
        <v>4767600</v>
      </c>
      <c r="E28" s="863">
        <f>E29+E32</f>
        <v>2475431.9299999997</v>
      </c>
      <c r="F28" s="36">
        <f>E28*100/D28</f>
        <v>51.921971851665404</v>
      </c>
      <c r="G28" s="23"/>
      <c r="H28" s="23"/>
      <c r="I28" s="23"/>
    </row>
    <row r="29" spans="1:9" ht="33" customHeight="1">
      <c r="A29" s="947" t="s">
        <v>790</v>
      </c>
      <c r="B29" s="906"/>
      <c r="C29" s="948"/>
      <c r="D29" s="949">
        <f>D30</f>
        <v>2612200</v>
      </c>
      <c r="E29" s="949">
        <f>E30</f>
        <v>1340000</v>
      </c>
      <c r="F29" s="956">
        <f t="shared" si="0"/>
        <v>51.29775668019294</v>
      </c>
      <c r="G29" s="23"/>
      <c r="H29" s="23"/>
      <c r="I29" s="23"/>
    </row>
    <row r="30" spans="1:6" ht="33.75" customHeight="1">
      <c r="A30" s="122">
        <v>921</v>
      </c>
      <c r="B30" s="881" t="s">
        <v>38</v>
      </c>
      <c r="C30" s="907"/>
      <c r="D30" s="950">
        <f>D31</f>
        <v>2612200</v>
      </c>
      <c r="E30" s="950">
        <f>E31</f>
        <v>1340000</v>
      </c>
      <c r="F30" s="55">
        <f t="shared" si="0"/>
        <v>51.29775668019294</v>
      </c>
    </row>
    <row r="31" spans="1:6" ht="26.25" customHeight="1">
      <c r="A31" s="951"/>
      <c r="B31" s="882"/>
      <c r="C31" s="698" t="s">
        <v>798</v>
      </c>
      <c r="D31" s="165">
        <f>2610000+2200</f>
        <v>2612200</v>
      </c>
      <c r="E31" s="165">
        <v>1340000</v>
      </c>
      <c r="F31" s="55">
        <f t="shared" si="0"/>
        <v>51.29775668019294</v>
      </c>
    </row>
    <row r="32" spans="1:6" ht="30.75" customHeight="1">
      <c r="A32" s="4" t="s">
        <v>833</v>
      </c>
      <c r="B32" s="952"/>
      <c r="C32" s="698"/>
      <c r="D32" s="773">
        <f>D33+D36</f>
        <v>2155400</v>
      </c>
      <c r="E32" s="773">
        <f>E33+E36</f>
        <v>1135431.93</v>
      </c>
      <c r="F32" s="956">
        <f t="shared" si="0"/>
        <v>52.67847870464879</v>
      </c>
    </row>
    <row r="33" spans="1:6" ht="21" customHeight="1">
      <c r="A33" s="19">
        <v>852</v>
      </c>
      <c r="B33" s="953" t="s">
        <v>424</v>
      </c>
      <c r="C33" s="900"/>
      <c r="D33" s="775">
        <f>D34+D35</f>
        <v>1005400</v>
      </c>
      <c r="E33" s="775">
        <f>E34+E35</f>
        <v>404401.93</v>
      </c>
      <c r="F33" s="55">
        <f>E33*100/D33</f>
        <v>40.22298886015516</v>
      </c>
    </row>
    <row r="34" spans="1:6" ht="45" customHeight="1">
      <c r="A34" s="954"/>
      <c r="B34" s="923"/>
      <c r="C34" s="94" t="s">
        <v>799</v>
      </c>
      <c r="D34" s="165">
        <f>558000+40400</f>
        <v>598400</v>
      </c>
      <c r="E34" s="165">
        <v>237565.5</v>
      </c>
      <c r="F34" s="55">
        <f t="shared" si="0"/>
        <v>39.70011697860963</v>
      </c>
    </row>
    <row r="35" spans="1:6" ht="42.75" customHeight="1">
      <c r="A35" s="955"/>
      <c r="B35" s="837"/>
      <c r="C35" s="94" t="s">
        <v>800</v>
      </c>
      <c r="D35" s="165">
        <v>407000</v>
      </c>
      <c r="E35" s="165">
        <v>166836.43</v>
      </c>
      <c r="F35" s="55">
        <f t="shared" si="0"/>
        <v>40.991751842751846</v>
      </c>
    </row>
    <row r="36" spans="1:6" ht="30" customHeight="1">
      <c r="A36" s="584">
        <v>853</v>
      </c>
      <c r="B36" s="855" t="s">
        <v>592</v>
      </c>
      <c r="C36" s="94"/>
      <c r="D36" s="775">
        <f>D37</f>
        <v>1150000</v>
      </c>
      <c r="E36" s="775">
        <f>E37</f>
        <v>731030</v>
      </c>
      <c r="F36" s="55">
        <f t="shared" si="0"/>
        <v>63.56782608695652</v>
      </c>
    </row>
    <row r="37" spans="1:6" ht="30.75" customHeight="1">
      <c r="A37" s="11"/>
      <c r="B37" s="1"/>
      <c r="C37" s="94" t="s">
        <v>801</v>
      </c>
      <c r="D37" s="165">
        <v>1150000</v>
      </c>
      <c r="E37" s="165">
        <v>731030</v>
      </c>
      <c r="F37" s="55">
        <f t="shared" si="0"/>
        <v>63.56782608695652</v>
      </c>
    </row>
    <row r="38" spans="1:6" ht="27.75" customHeight="1">
      <c r="A38" s="1163" t="s">
        <v>511</v>
      </c>
      <c r="B38" s="1164"/>
      <c r="C38" s="1162"/>
      <c r="D38" s="930">
        <f>D11+D28</f>
        <v>20711294.64</v>
      </c>
      <c r="E38" s="930">
        <f>E11+E28</f>
        <v>11309670.76</v>
      </c>
      <c r="F38" s="36">
        <f t="shared" si="0"/>
        <v>54.60629553382665</v>
      </c>
    </row>
    <row r="39" spans="4:5" ht="15.75">
      <c r="D39" s="280"/>
      <c r="E39" s="280"/>
    </row>
    <row r="40" spans="4:5" ht="15.75">
      <c r="D40" s="280"/>
      <c r="E40" s="280"/>
    </row>
    <row r="41" spans="4:5" ht="12.75">
      <c r="D41" s="51"/>
      <c r="E41" s="51"/>
    </row>
    <row r="42" spans="4:5" ht="12.75">
      <c r="D42" s="51"/>
      <c r="E42" s="51"/>
    </row>
    <row r="43" spans="4:5" ht="12.75">
      <c r="D43" s="51"/>
      <c r="E43" s="51"/>
    </row>
    <row r="44" spans="4:5" ht="12.75">
      <c r="D44" s="51"/>
      <c r="E44" s="51"/>
    </row>
    <row r="45" spans="4:5" ht="12.75">
      <c r="D45" s="51"/>
      <c r="E45" s="51"/>
    </row>
    <row r="46" spans="4:5" ht="12.75">
      <c r="D46" s="51"/>
      <c r="E46" s="51"/>
    </row>
  </sheetData>
  <sheetProtection/>
  <mergeCells count="1">
    <mergeCell ref="A38:C38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4.28125" style="23" customWidth="1"/>
    <col min="2" max="2" width="17.7109375" style="23" customWidth="1"/>
    <col min="3" max="3" width="6.28125" style="23" customWidth="1"/>
    <col min="4" max="4" width="14.140625" style="23" customWidth="1"/>
    <col min="5" max="5" width="14.57421875" style="23" customWidth="1"/>
    <col min="6" max="6" width="14.00390625" style="23" customWidth="1"/>
    <col min="7" max="7" width="13.7109375" style="23" customWidth="1"/>
    <col min="8" max="8" width="10.421875" style="23" customWidth="1"/>
    <col min="9" max="9" width="14.7109375" style="23" customWidth="1"/>
    <col min="10" max="10" width="14.28125" style="23" customWidth="1"/>
    <col min="11" max="11" width="8.140625" style="23" customWidth="1"/>
    <col min="12" max="12" width="14.140625" style="23" customWidth="1"/>
    <col min="13" max="13" width="12.8515625" style="23" customWidth="1"/>
    <col min="14" max="14" width="14.57421875" style="23" customWidth="1"/>
    <col min="15" max="16384" width="9.140625" style="23" customWidth="1"/>
  </cols>
  <sheetData>
    <row r="1" ht="20.25">
      <c r="J1" s="282" t="s">
        <v>823</v>
      </c>
    </row>
    <row r="2" spans="1:26" ht="18.75" customHeight="1">
      <c r="A2" s="957"/>
      <c r="B2" s="723"/>
      <c r="C2" s="43"/>
      <c r="D2" s="43"/>
      <c r="E2" s="43"/>
      <c r="F2" s="43"/>
      <c r="G2" s="43"/>
      <c r="H2" s="277"/>
      <c r="I2" s="277"/>
      <c r="J2" s="277"/>
      <c r="K2" s="958"/>
      <c r="L2" s="159"/>
      <c r="M2" s="160"/>
      <c r="N2" s="160"/>
      <c r="O2" s="160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2" customHeight="1">
      <c r="A3" s="957"/>
      <c r="B3" s="723"/>
      <c r="C3" s="43"/>
      <c r="D3" s="43"/>
      <c r="E3" s="43"/>
      <c r="F3" s="43"/>
      <c r="G3" s="43"/>
      <c r="H3" s="43"/>
      <c r="I3" s="43"/>
      <c r="J3" s="959"/>
      <c r="K3" s="958"/>
      <c r="L3" s="159"/>
      <c r="M3" s="160"/>
      <c r="N3" s="160"/>
      <c r="O3" s="160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963" customFormat="1" ht="18.75">
      <c r="A4" s="960" t="s">
        <v>803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962"/>
      <c r="M4" s="961"/>
      <c r="N4" s="961"/>
      <c r="O4" s="961"/>
      <c r="P4" s="961"/>
      <c r="Q4" s="961"/>
      <c r="R4" s="961"/>
      <c r="S4" s="961"/>
      <c r="T4" s="961"/>
      <c r="U4" s="961"/>
      <c r="V4" s="961"/>
      <c r="W4" s="961"/>
      <c r="X4" s="961"/>
      <c r="Y4" s="961"/>
      <c r="Z4" s="961"/>
    </row>
    <row r="5" spans="1:26" s="963" customFormat="1" ht="18.75">
      <c r="A5" s="960" t="s">
        <v>250</v>
      </c>
      <c r="B5" s="960"/>
      <c r="C5" s="961"/>
      <c r="D5" s="961"/>
      <c r="E5" s="961"/>
      <c r="F5" s="961"/>
      <c r="G5" s="961"/>
      <c r="H5" s="961"/>
      <c r="I5" s="961"/>
      <c r="J5" s="961"/>
      <c r="K5" s="961"/>
      <c r="L5" s="962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</row>
    <row r="6" spans="1:26" s="963" customFormat="1" ht="18.75">
      <c r="A6" s="960"/>
      <c r="B6" s="961"/>
      <c r="C6" s="961"/>
      <c r="D6" s="961"/>
      <c r="E6" s="961"/>
      <c r="F6" s="961"/>
      <c r="G6" s="961"/>
      <c r="H6" s="961"/>
      <c r="I6" s="961"/>
      <c r="J6" s="961"/>
      <c r="K6" s="673"/>
      <c r="L6" s="673" t="s">
        <v>411</v>
      </c>
      <c r="M6" s="961"/>
      <c r="N6" s="961"/>
      <c r="O6" s="961"/>
      <c r="P6" s="961"/>
      <c r="Q6" s="961"/>
      <c r="R6" s="961"/>
      <c r="S6" s="961"/>
      <c r="T6" s="961"/>
      <c r="U6" s="961"/>
      <c r="V6" s="961"/>
      <c r="W6" s="961"/>
      <c r="X6" s="961"/>
      <c r="Y6" s="961"/>
      <c r="Z6" s="961"/>
    </row>
    <row r="7" spans="1:26" ht="19.5" customHeight="1">
      <c r="A7" s="964"/>
      <c r="B7" s="965"/>
      <c r="C7" s="965"/>
      <c r="D7" s="965"/>
      <c r="E7" s="966" t="s">
        <v>804</v>
      </c>
      <c r="F7" s="967"/>
      <c r="G7" s="968" t="s">
        <v>805</v>
      </c>
      <c r="H7" s="969"/>
      <c r="I7" s="966" t="s">
        <v>804</v>
      </c>
      <c r="J7" s="970"/>
      <c r="K7" s="968" t="s">
        <v>805</v>
      </c>
      <c r="L7" s="971"/>
      <c r="M7" s="972"/>
      <c r="N7" s="160"/>
      <c r="O7" s="160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1.75" customHeight="1">
      <c r="A8" s="973"/>
      <c r="B8" s="973"/>
      <c r="C8" s="973"/>
      <c r="D8" s="1135" t="s">
        <v>806</v>
      </c>
      <c r="E8" s="974"/>
      <c r="F8" s="278"/>
      <c r="G8" s="975" t="s">
        <v>807</v>
      </c>
      <c r="H8" s="976"/>
      <c r="I8" s="249"/>
      <c r="J8" s="248"/>
      <c r="K8" s="977" t="s">
        <v>320</v>
      </c>
      <c r="L8" s="1135" t="s">
        <v>808</v>
      </c>
      <c r="M8" s="160"/>
      <c r="N8" s="160"/>
      <c r="O8" s="160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5.75">
      <c r="A9" s="978" t="s">
        <v>483</v>
      </c>
      <c r="B9" s="979" t="s">
        <v>809</v>
      </c>
      <c r="C9" s="980" t="s">
        <v>412</v>
      </c>
      <c r="D9" s="1136"/>
      <c r="E9" s="981" t="s">
        <v>810</v>
      </c>
      <c r="F9" s="982" t="s">
        <v>810</v>
      </c>
      <c r="G9" s="1166" t="s">
        <v>811</v>
      </c>
      <c r="H9" s="1168" t="s">
        <v>812</v>
      </c>
      <c r="I9" s="982" t="s">
        <v>813</v>
      </c>
      <c r="J9" s="982" t="s">
        <v>813</v>
      </c>
      <c r="K9" s="1170" t="s">
        <v>814</v>
      </c>
      <c r="L9" s="1136"/>
      <c r="M9" s="160"/>
      <c r="N9" s="160"/>
      <c r="O9" s="160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9.5" customHeight="1">
      <c r="A10" s="983"/>
      <c r="B10" s="983"/>
      <c r="C10" s="984" t="s">
        <v>815</v>
      </c>
      <c r="D10" s="1165"/>
      <c r="E10" s="491"/>
      <c r="F10" s="985"/>
      <c r="G10" s="1167"/>
      <c r="H10" s="1169"/>
      <c r="I10" s="986"/>
      <c r="J10" s="72"/>
      <c r="K10" s="1171"/>
      <c r="L10" s="1165"/>
      <c r="M10" s="160"/>
      <c r="N10" s="160"/>
      <c r="O10" s="16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>
      <c r="A11" s="987">
        <v>1</v>
      </c>
      <c r="B11" s="987">
        <v>2</v>
      </c>
      <c r="C11" s="987">
        <v>3</v>
      </c>
      <c r="D11" s="987">
        <v>4</v>
      </c>
      <c r="E11" s="988">
        <v>5</v>
      </c>
      <c r="F11" s="987">
        <v>6</v>
      </c>
      <c r="G11" s="987">
        <v>7</v>
      </c>
      <c r="H11" s="987">
        <v>8</v>
      </c>
      <c r="I11" s="987">
        <v>9</v>
      </c>
      <c r="J11" s="987">
        <v>10</v>
      </c>
      <c r="K11" s="987">
        <v>11</v>
      </c>
      <c r="L11" s="987">
        <v>12</v>
      </c>
      <c r="M11" s="160"/>
      <c r="N11" s="160"/>
      <c r="O11" s="160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21" customHeight="1">
      <c r="A12" s="989"/>
      <c r="B12" s="1010" t="s">
        <v>511</v>
      </c>
      <c r="C12" s="983"/>
      <c r="D12" s="1017">
        <f>SUM(D14)</f>
        <v>-2569903.24</v>
      </c>
      <c r="E12" s="1017">
        <f>SUM(E14)</f>
        <v>27894368.14</v>
      </c>
      <c r="F12" s="1017">
        <f>SUM(F14:F18)</f>
        <v>14372674.14</v>
      </c>
      <c r="G12" s="1018">
        <f>SUM(G14,)</f>
        <v>6026338.83</v>
      </c>
      <c r="H12" s="1018"/>
      <c r="I12" s="1019">
        <f>SUM(I14)</f>
        <v>27860973.97</v>
      </c>
      <c r="J12" s="1020">
        <f>SUM(J14:J18)</f>
        <v>12901834.81</v>
      </c>
      <c r="K12" s="1017">
        <f>SUM(K14:K18)</f>
        <v>0</v>
      </c>
      <c r="L12" s="1017">
        <f>SUM(L14:L18)</f>
        <v>-1098751.9100000001</v>
      </c>
      <c r="M12" s="732"/>
      <c r="N12" s="732"/>
      <c r="O12" s="160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7.25" customHeight="1">
      <c r="A13" s="989"/>
      <c r="B13" s="990" t="s">
        <v>816</v>
      </c>
      <c r="C13" s="973"/>
      <c r="D13" s="973"/>
      <c r="E13" s="973"/>
      <c r="F13" s="991"/>
      <c r="G13" s="992"/>
      <c r="H13" s="989"/>
      <c r="I13" s="989"/>
      <c r="J13" s="993"/>
      <c r="K13" s="994"/>
      <c r="L13" s="995"/>
      <c r="M13" s="732"/>
      <c r="N13" s="732"/>
      <c r="O13" s="16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38.25" customHeight="1">
      <c r="A14" s="996" t="s">
        <v>817</v>
      </c>
      <c r="B14" s="997" t="s">
        <v>818</v>
      </c>
      <c r="C14" s="1011">
        <v>600</v>
      </c>
      <c r="D14" s="1012">
        <v>-2569903.24</v>
      </c>
      <c r="E14" s="1012">
        <f>27894368.14</f>
        <v>27894368.14</v>
      </c>
      <c r="F14" s="1013">
        <v>14372674.14</v>
      </c>
      <c r="G14" s="1014">
        <f>SUM(G16,)</f>
        <v>6026338.83</v>
      </c>
      <c r="H14" s="998"/>
      <c r="I14" s="998">
        <f>27860973.97</f>
        <v>27860973.97</v>
      </c>
      <c r="J14" s="1013">
        <v>12901834.81</v>
      </c>
      <c r="K14" s="1015"/>
      <c r="L14" s="1016">
        <f>D14+F14-J14+312</f>
        <v>-1098751.9100000001</v>
      </c>
      <c r="M14" s="405"/>
      <c r="N14" s="405"/>
      <c r="O14" s="999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6.5" customHeight="1">
      <c r="A15" s="88"/>
      <c r="B15" s="248" t="s">
        <v>320</v>
      </c>
      <c r="C15" s="687">
        <v>60004</v>
      </c>
      <c r="D15" s="687"/>
      <c r="E15" s="687"/>
      <c r="F15" s="95"/>
      <c r="G15" s="1000"/>
      <c r="H15" s="1001"/>
      <c r="I15" s="1001"/>
      <c r="J15" s="95"/>
      <c r="K15" s="151"/>
      <c r="L15" s="1002"/>
      <c r="M15" s="1003"/>
      <c r="N15" s="1003"/>
      <c r="O15" s="99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84" customHeight="1">
      <c r="A16" s="88"/>
      <c r="B16" s="1122" t="s">
        <v>819</v>
      </c>
      <c r="C16" s="687"/>
      <c r="D16" s="687"/>
      <c r="E16" s="1004">
        <f>10903932.14</f>
        <v>10903932.14</v>
      </c>
      <c r="F16" s="95"/>
      <c r="G16" s="1000">
        <v>6026338.83</v>
      </c>
      <c r="H16" s="1005" t="s">
        <v>820</v>
      </c>
      <c r="I16" s="1005"/>
      <c r="J16" s="95"/>
      <c r="K16" s="151"/>
      <c r="L16" s="1002"/>
      <c r="M16" s="1003"/>
      <c r="N16" s="1003"/>
      <c r="O16" s="61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2" customHeight="1">
      <c r="A17" s="88"/>
      <c r="B17" s="248" t="s">
        <v>821</v>
      </c>
      <c r="C17" s="687"/>
      <c r="D17" s="687"/>
      <c r="E17" s="687"/>
      <c r="F17" s="95"/>
      <c r="G17" s="1000"/>
      <c r="H17" s="1001"/>
      <c r="I17" s="1001"/>
      <c r="J17" s="95"/>
      <c r="K17" s="151"/>
      <c r="L17" s="1002"/>
      <c r="M17" s="1003"/>
      <c r="N17" s="1003"/>
      <c r="O17" s="6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32.25" customHeight="1">
      <c r="A18" s="96"/>
      <c r="B18" s="485" t="s">
        <v>822</v>
      </c>
      <c r="C18" s="392"/>
      <c r="D18" s="392"/>
      <c r="E18" s="1006">
        <f>1092382.14</f>
        <v>1092382.14</v>
      </c>
      <c r="F18" s="97"/>
      <c r="G18" s="1007">
        <v>537188.43</v>
      </c>
      <c r="H18" s="1008"/>
      <c r="I18" s="1008"/>
      <c r="J18" s="97"/>
      <c r="K18" s="169"/>
      <c r="L18" s="1009"/>
      <c r="M18" s="1003"/>
      <c r="N18" s="1003"/>
      <c r="O18" s="61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2.7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159"/>
      <c r="M19" s="160"/>
      <c r="N19" s="160"/>
      <c r="O19" s="160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159"/>
      <c r="M20" s="160"/>
      <c r="N20" s="160"/>
      <c r="O20" s="160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2.7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159"/>
      <c r="M21" s="160"/>
      <c r="N21" s="160"/>
      <c r="O21" s="160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>
      <c r="A22" s="43"/>
      <c r="B22" s="43"/>
      <c r="C22" s="43"/>
      <c r="D22" s="43"/>
      <c r="E22" s="43"/>
      <c r="F22" s="51"/>
      <c r="G22" s="43"/>
      <c r="H22" s="43"/>
      <c r="I22" s="43"/>
      <c r="J22" s="51"/>
      <c r="K22" s="43"/>
      <c r="L22" s="159"/>
      <c r="M22" s="160"/>
      <c r="N22" s="160"/>
      <c r="O22" s="160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159"/>
      <c r="M23" s="160"/>
      <c r="N23" s="160"/>
      <c r="O23" s="160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>
      <c r="A24" s="43"/>
      <c r="B24" s="43"/>
      <c r="C24" s="43"/>
      <c r="D24" s="43"/>
      <c r="E24" s="43"/>
      <c r="F24" s="51"/>
      <c r="G24" s="51"/>
      <c r="H24" s="51"/>
      <c r="I24" s="51"/>
      <c r="J24" s="51"/>
      <c r="K24" s="43"/>
      <c r="L24" s="159"/>
      <c r="M24" s="160"/>
      <c r="N24" s="160"/>
      <c r="O24" s="160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159"/>
      <c r="M25" s="160"/>
      <c r="N25" s="160"/>
      <c r="O25" s="160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>
      <c r="A26" s="43"/>
      <c r="B26" s="43"/>
      <c r="C26" s="51"/>
      <c r="D26" s="51"/>
      <c r="E26" s="51"/>
      <c r="F26" s="51"/>
      <c r="G26" s="51"/>
      <c r="H26" s="51"/>
      <c r="I26" s="51"/>
      <c r="J26" s="43"/>
      <c r="K26" s="43"/>
      <c r="L26" s="159"/>
      <c r="M26" s="160"/>
      <c r="N26" s="160"/>
      <c r="O26" s="160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>
      <c r="A27" s="43"/>
      <c r="B27" s="43"/>
      <c r="C27" s="51"/>
      <c r="D27" s="51"/>
      <c r="E27" s="51"/>
      <c r="F27" s="51"/>
      <c r="G27" s="51"/>
      <c r="H27" s="51"/>
      <c r="I27" s="51"/>
      <c r="J27" s="43"/>
      <c r="K27" s="43"/>
      <c r="L27" s="159"/>
      <c r="M27" s="160"/>
      <c r="N27" s="160"/>
      <c r="O27" s="160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>
      <c r="A28" s="43"/>
      <c r="B28" s="43"/>
      <c r="C28" s="51"/>
      <c r="D28" s="51"/>
      <c r="E28" s="51"/>
      <c r="F28" s="51"/>
      <c r="G28" s="51"/>
      <c r="H28" s="51"/>
      <c r="I28" s="51"/>
      <c r="J28" s="43"/>
      <c r="K28" s="43"/>
      <c r="L28" s="159"/>
      <c r="M28" s="160"/>
      <c r="N28" s="160"/>
      <c r="O28" s="160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2.75">
      <c r="A29" s="43"/>
      <c r="B29" s="43"/>
      <c r="C29" s="51"/>
      <c r="D29" s="51"/>
      <c r="E29" s="51"/>
      <c r="F29" s="51"/>
      <c r="G29" s="51"/>
      <c r="H29" s="51"/>
      <c r="I29" s="51"/>
      <c r="J29" s="43"/>
      <c r="K29" s="43"/>
      <c r="L29" s="159"/>
      <c r="M29" s="160"/>
      <c r="N29" s="160"/>
      <c r="O29" s="160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2.75">
      <c r="A30" s="43"/>
      <c r="B30" s="43"/>
      <c r="C30" s="51"/>
      <c r="D30" s="51"/>
      <c r="E30" s="51"/>
      <c r="F30" s="51"/>
      <c r="G30" s="51"/>
      <c r="H30" s="51"/>
      <c r="I30" s="51"/>
      <c r="J30" s="43"/>
      <c r="K30" s="43"/>
      <c r="L30" s="159"/>
      <c r="M30" s="160"/>
      <c r="N30" s="160"/>
      <c r="O30" s="160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>
      <c r="A31" s="43"/>
      <c r="B31" s="43"/>
      <c r="C31" s="51"/>
      <c r="D31" s="51"/>
      <c r="E31" s="51"/>
      <c r="F31" s="51"/>
      <c r="G31" s="51"/>
      <c r="H31" s="51"/>
      <c r="I31" s="51"/>
      <c r="J31" s="43"/>
      <c r="K31" s="43"/>
      <c r="L31" s="159"/>
      <c r="M31" s="160"/>
      <c r="N31" s="160"/>
      <c r="O31" s="160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>
      <c r="A32" s="43"/>
      <c r="B32" s="43"/>
      <c r="C32" s="51"/>
      <c r="D32" s="51"/>
      <c r="E32" s="51"/>
      <c r="F32" s="51"/>
      <c r="G32" s="51"/>
      <c r="H32" s="51"/>
      <c r="I32" s="51"/>
      <c r="J32" s="43"/>
      <c r="K32" s="43"/>
      <c r="L32" s="159"/>
      <c r="M32" s="160"/>
      <c r="N32" s="160"/>
      <c r="O32" s="160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59"/>
      <c r="M33" s="160"/>
      <c r="N33" s="160"/>
      <c r="O33" s="160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59"/>
      <c r="M34" s="160"/>
      <c r="N34" s="160"/>
      <c r="O34" s="160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59"/>
      <c r="M35" s="160"/>
      <c r="N35" s="160"/>
      <c r="O35" s="160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159"/>
      <c r="M36" s="160"/>
      <c r="N36" s="160"/>
      <c r="O36" s="160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159"/>
      <c r="M37" s="160"/>
      <c r="N37" s="160"/>
      <c r="O37" s="160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159"/>
      <c r="M38" s="160"/>
      <c r="N38" s="160"/>
      <c r="O38" s="16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59"/>
      <c r="M39" s="160"/>
      <c r="N39" s="160"/>
      <c r="O39" s="160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59"/>
      <c r="M40" s="160"/>
      <c r="N40" s="160"/>
      <c r="O40" s="160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59"/>
      <c r="M41" s="160"/>
      <c r="N41" s="160"/>
      <c r="O41" s="160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59"/>
      <c r="M42" s="160"/>
      <c r="N42" s="160"/>
      <c r="O42" s="16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59"/>
      <c r="M43" s="160"/>
      <c r="N43" s="160"/>
      <c r="O43" s="160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159"/>
      <c r="M44" s="160"/>
      <c r="N44" s="160"/>
      <c r="O44" s="160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159"/>
      <c r="M45" s="160"/>
      <c r="N45" s="160"/>
      <c r="O45" s="160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159"/>
      <c r="M46" s="160"/>
      <c r="N46" s="160"/>
      <c r="O46" s="16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159"/>
      <c r="M47" s="160"/>
      <c r="N47" s="160"/>
      <c r="O47" s="160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159"/>
      <c r="M48" s="160"/>
      <c r="N48" s="160"/>
      <c r="O48" s="160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159"/>
      <c r="M49" s="160"/>
      <c r="N49" s="160"/>
      <c r="O49" s="160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159"/>
      <c r="M50" s="160"/>
      <c r="N50" s="160"/>
      <c r="O50" s="16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59"/>
      <c r="M51" s="160"/>
      <c r="N51" s="160"/>
      <c r="O51" s="160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159"/>
      <c r="M52" s="160"/>
      <c r="N52" s="160"/>
      <c r="O52" s="160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159"/>
      <c r="M53" s="160"/>
      <c r="N53" s="160"/>
      <c r="O53" s="160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159"/>
      <c r="M54" s="160"/>
      <c r="N54" s="160"/>
      <c r="O54" s="160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59"/>
      <c r="M55" s="160"/>
      <c r="N55" s="160"/>
      <c r="O55" s="160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159"/>
      <c r="M56" s="160"/>
      <c r="N56" s="160"/>
      <c r="O56" s="160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159"/>
      <c r="M57" s="160"/>
      <c r="N57" s="160"/>
      <c r="O57" s="160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59"/>
      <c r="M58" s="160"/>
      <c r="N58" s="160"/>
      <c r="O58" s="160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159"/>
      <c r="M59" s="160"/>
      <c r="N59" s="160"/>
      <c r="O59" s="160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159"/>
      <c r="M60" s="160"/>
      <c r="N60" s="160"/>
      <c r="O60" s="16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159"/>
      <c r="M61" s="160"/>
      <c r="N61" s="160"/>
      <c r="O61" s="160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159"/>
      <c r="M62" s="160"/>
      <c r="N62" s="160"/>
      <c r="O62" s="160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159"/>
      <c r="M63" s="160"/>
      <c r="N63" s="160"/>
      <c r="O63" s="160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159"/>
      <c r="M64" s="160"/>
      <c r="N64" s="160"/>
      <c r="O64" s="160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159"/>
      <c r="M65" s="160"/>
      <c r="N65" s="160"/>
      <c r="O65" s="160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159"/>
      <c r="M66" s="160"/>
      <c r="N66" s="160"/>
      <c r="O66" s="160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159"/>
      <c r="M67" s="160"/>
      <c r="N67" s="160"/>
      <c r="O67" s="160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159"/>
      <c r="M68" s="160"/>
      <c r="N68" s="160"/>
      <c r="O68" s="160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159"/>
      <c r="M69" s="160"/>
      <c r="N69" s="160"/>
      <c r="O69" s="160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159"/>
      <c r="M70" s="160"/>
      <c r="N70" s="160"/>
      <c r="O70" s="160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159"/>
      <c r="M71" s="160"/>
      <c r="N71" s="160"/>
      <c r="O71" s="160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159"/>
      <c r="M72" s="160"/>
      <c r="N72" s="160"/>
      <c r="O72" s="160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159"/>
      <c r="M73" s="160"/>
      <c r="N73" s="160"/>
      <c r="O73" s="160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159"/>
      <c r="M74" s="160"/>
      <c r="N74" s="160"/>
      <c r="O74" s="16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159"/>
      <c r="M75" s="160"/>
      <c r="N75" s="160"/>
      <c r="O75" s="16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159"/>
      <c r="M76" s="160"/>
      <c r="N76" s="160"/>
      <c r="O76" s="160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159"/>
      <c r="M77" s="160"/>
      <c r="N77" s="160"/>
      <c r="O77" s="160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159"/>
      <c r="M78" s="160"/>
      <c r="N78" s="160"/>
      <c r="O78" s="16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159"/>
      <c r="M79" s="160"/>
      <c r="N79" s="160"/>
      <c r="O79" s="160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159"/>
      <c r="M80" s="160"/>
      <c r="N80" s="160"/>
      <c r="O80" s="160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159"/>
      <c r="M81" s="160"/>
      <c r="N81" s="160"/>
      <c r="O81" s="160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159"/>
      <c r="M82" s="160"/>
      <c r="N82" s="160"/>
      <c r="O82" s="160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159"/>
      <c r="M83" s="160"/>
      <c r="N83" s="160"/>
      <c r="O83" s="160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159"/>
      <c r="M84" s="160"/>
      <c r="N84" s="160"/>
      <c r="O84" s="160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159"/>
      <c r="M85" s="160"/>
      <c r="N85" s="160"/>
      <c r="O85" s="160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159"/>
      <c r="M86" s="160"/>
      <c r="N86" s="160"/>
      <c r="O86" s="160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159"/>
      <c r="M87" s="160"/>
      <c r="N87" s="160"/>
      <c r="O87" s="16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159"/>
      <c r="M88" s="160"/>
      <c r="N88" s="160"/>
      <c r="O88" s="160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159"/>
      <c r="M89" s="160"/>
      <c r="N89" s="160"/>
      <c r="O89" s="160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159"/>
      <c r="M90" s="160"/>
      <c r="N90" s="160"/>
      <c r="O90" s="160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159"/>
      <c r="M91" s="160"/>
      <c r="N91" s="160"/>
      <c r="O91" s="160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159"/>
      <c r="M92" s="160"/>
      <c r="N92" s="160"/>
      <c r="O92" s="160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159"/>
      <c r="M93" s="160"/>
      <c r="N93" s="160"/>
      <c r="O93" s="160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159"/>
      <c r="M94" s="160"/>
      <c r="N94" s="160"/>
      <c r="O94" s="160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159"/>
      <c r="M95" s="160"/>
      <c r="N95" s="160"/>
      <c r="O95" s="160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159"/>
      <c r="M96" s="160"/>
      <c r="N96" s="160"/>
      <c r="O96" s="160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159"/>
      <c r="M97" s="160"/>
      <c r="N97" s="160"/>
      <c r="O97" s="160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159"/>
      <c r="M98" s="160"/>
      <c r="N98" s="160"/>
      <c r="O98" s="160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159"/>
      <c r="M99" s="160"/>
      <c r="N99" s="160"/>
      <c r="O99" s="160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159"/>
      <c r="M100" s="160"/>
      <c r="N100" s="160"/>
      <c r="O100" s="160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159"/>
      <c r="M101" s="160"/>
      <c r="N101" s="160"/>
      <c r="O101" s="160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159"/>
      <c r="M102" s="160"/>
      <c r="N102" s="160"/>
      <c r="O102" s="160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159"/>
      <c r="M103" s="160"/>
      <c r="N103" s="160"/>
      <c r="O103" s="160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159"/>
      <c r="M104" s="160"/>
      <c r="N104" s="160"/>
      <c r="O104" s="160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159"/>
      <c r="M105" s="160"/>
      <c r="N105" s="160"/>
      <c r="O105" s="160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159"/>
      <c r="M106" s="160"/>
      <c r="N106" s="160"/>
      <c r="O106" s="160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159"/>
      <c r="M107" s="160"/>
      <c r="N107" s="160"/>
      <c r="O107" s="160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159"/>
      <c r="M108" s="160"/>
      <c r="N108" s="160"/>
      <c r="O108" s="160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159"/>
      <c r="M109" s="160"/>
      <c r="N109" s="160"/>
      <c r="O109" s="160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159"/>
      <c r="M110" s="160"/>
      <c r="N110" s="160"/>
      <c r="O110" s="160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159"/>
      <c r="M111" s="160"/>
      <c r="N111" s="160"/>
      <c r="O111" s="160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159"/>
      <c r="M112" s="160"/>
      <c r="N112" s="160"/>
      <c r="O112" s="160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159"/>
      <c r="M113" s="160"/>
      <c r="N113" s="160"/>
      <c r="O113" s="160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159"/>
      <c r="M114" s="160"/>
      <c r="N114" s="160"/>
      <c r="O114" s="160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159"/>
      <c r="M115" s="160"/>
      <c r="N115" s="160"/>
      <c r="O115" s="160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159"/>
      <c r="M116" s="160"/>
      <c r="N116" s="160"/>
      <c r="O116" s="160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159"/>
      <c r="M117" s="160"/>
      <c r="N117" s="160"/>
      <c r="O117" s="160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159"/>
      <c r="M118" s="160"/>
      <c r="N118" s="160"/>
      <c r="O118" s="160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159"/>
      <c r="M119" s="160"/>
      <c r="N119" s="160"/>
      <c r="O119" s="160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159"/>
      <c r="M120" s="160"/>
      <c r="N120" s="160"/>
      <c r="O120" s="160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159"/>
      <c r="M121" s="160"/>
      <c r="N121" s="160"/>
      <c r="O121" s="160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159"/>
      <c r="M122" s="160"/>
      <c r="N122" s="160"/>
      <c r="O122" s="160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159"/>
      <c r="M123" s="160"/>
      <c r="N123" s="160"/>
      <c r="O123" s="160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159"/>
      <c r="M124" s="160"/>
      <c r="N124" s="160"/>
      <c r="O124" s="160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159"/>
      <c r="M125" s="160"/>
      <c r="N125" s="160"/>
      <c r="O125" s="160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159"/>
      <c r="M126" s="160"/>
      <c r="N126" s="160"/>
      <c r="O126" s="160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159"/>
      <c r="M127" s="160"/>
      <c r="N127" s="160"/>
      <c r="O127" s="160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159"/>
      <c r="M128" s="160"/>
      <c r="N128" s="160"/>
      <c r="O128" s="160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159"/>
      <c r="M129" s="160"/>
      <c r="N129" s="160"/>
      <c r="O129" s="160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159"/>
      <c r="M130" s="160"/>
      <c r="N130" s="160"/>
      <c r="O130" s="160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159"/>
      <c r="M131" s="160"/>
      <c r="N131" s="160"/>
      <c r="O131" s="160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159"/>
      <c r="M132" s="160"/>
      <c r="N132" s="160"/>
      <c r="O132" s="160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159"/>
      <c r="M133" s="160"/>
      <c r="N133" s="160"/>
      <c r="O133" s="160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159"/>
      <c r="M134" s="160"/>
      <c r="N134" s="160"/>
      <c r="O134" s="160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159"/>
      <c r="M135" s="160"/>
      <c r="N135" s="160"/>
      <c r="O135" s="160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159"/>
      <c r="M136" s="160"/>
      <c r="N136" s="160"/>
      <c r="O136" s="160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159"/>
      <c r="M137" s="160"/>
      <c r="N137" s="160"/>
      <c r="O137" s="160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159"/>
      <c r="M138" s="160"/>
      <c r="N138" s="160"/>
      <c r="O138" s="160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159"/>
      <c r="M139" s="160"/>
      <c r="N139" s="160"/>
      <c r="O139" s="160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159"/>
      <c r="M140" s="160"/>
      <c r="N140" s="160"/>
      <c r="O140" s="160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159"/>
      <c r="M141" s="160"/>
      <c r="N141" s="160"/>
      <c r="O141" s="160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159"/>
      <c r="M142" s="160"/>
      <c r="N142" s="160"/>
      <c r="O142" s="160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159"/>
      <c r="M143" s="160"/>
      <c r="N143" s="160"/>
      <c r="O143" s="160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159"/>
      <c r="M144" s="160"/>
      <c r="N144" s="160"/>
      <c r="O144" s="160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159"/>
      <c r="M145" s="160"/>
      <c r="N145" s="160"/>
      <c r="O145" s="160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159"/>
      <c r="M146" s="160"/>
      <c r="N146" s="160"/>
      <c r="O146" s="160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159"/>
      <c r="M147" s="160"/>
      <c r="N147" s="160"/>
      <c r="O147" s="160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159"/>
      <c r="M148" s="160"/>
      <c r="N148" s="160"/>
      <c r="O148" s="160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159"/>
      <c r="M149" s="160"/>
      <c r="N149" s="160"/>
      <c r="O149" s="160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159"/>
      <c r="M150" s="160"/>
      <c r="N150" s="160"/>
      <c r="O150" s="160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159"/>
      <c r="M151" s="160"/>
      <c r="N151" s="160"/>
      <c r="O151" s="160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159"/>
      <c r="M152" s="160"/>
      <c r="N152" s="160"/>
      <c r="O152" s="160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159"/>
      <c r="M153" s="160"/>
      <c r="N153" s="160"/>
      <c r="O153" s="160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159"/>
      <c r="M154" s="160"/>
      <c r="N154" s="160"/>
      <c r="O154" s="160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159"/>
      <c r="M155" s="160"/>
      <c r="N155" s="160"/>
      <c r="O155" s="160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159"/>
      <c r="M156" s="160"/>
      <c r="N156" s="160"/>
      <c r="O156" s="160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159"/>
      <c r="M157" s="160"/>
      <c r="N157" s="160"/>
      <c r="O157" s="160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159"/>
      <c r="M158" s="160"/>
      <c r="N158" s="160"/>
      <c r="O158" s="160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159"/>
      <c r="M159" s="160"/>
      <c r="N159" s="160"/>
      <c r="O159" s="160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159"/>
      <c r="M160" s="160"/>
      <c r="N160" s="160"/>
      <c r="O160" s="160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159"/>
      <c r="M161" s="160"/>
      <c r="N161" s="160"/>
      <c r="O161" s="160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159"/>
      <c r="M162" s="160"/>
      <c r="N162" s="160"/>
      <c r="O162" s="160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159"/>
      <c r="M163" s="160"/>
      <c r="N163" s="160"/>
      <c r="O163" s="160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159"/>
      <c r="M164" s="160"/>
      <c r="N164" s="160"/>
      <c r="O164" s="160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159"/>
      <c r="M165" s="160"/>
      <c r="N165" s="160"/>
      <c r="O165" s="160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159"/>
      <c r="M166" s="160"/>
      <c r="N166" s="160"/>
      <c r="O166" s="160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159"/>
      <c r="M167" s="160"/>
      <c r="N167" s="160"/>
      <c r="O167" s="160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159"/>
      <c r="M168" s="160"/>
      <c r="N168" s="160"/>
      <c r="O168" s="160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159"/>
      <c r="M169" s="160"/>
      <c r="N169" s="160"/>
      <c r="O169" s="160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159"/>
      <c r="M170" s="160"/>
      <c r="N170" s="160"/>
      <c r="O170" s="160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59"/>
      <c r="M171" s="160"/>
      <c r="N171" s="160"/>
      <c r="O171" s="160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159"/>
      <c r="M172" s="160"/>
      <c r="N172" s="160"/>
      <c r="O172" s="160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159"/>
      <c r="M173" s="160"/>
      <c r="N173" s="160"/>
      <c r="O173" s="160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159"/>
      <c r="M174" s="160"/>
      <c r="N174" s="160"/>
      <c r="O174" s="160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159"/>
      <c r="M175" s="160"/>
      <c r="N175" s="160"/>
      <c r="O175" s="160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159"/>
      <c r="M176" s="160"/>
      <c r="N176" s="160"/>
      <c r="O176" s="160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159"/>
      <c r="M177" s="160"/>
      <c r="N177" s="160"/>
      <c r="O177" s="160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159"/>
      <c r="M178" s="160"/>
      <c r="N178" s="160"/>
      <c r="O178" s="160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159"/>
      <c r="M179" s="160"/>
      <c r="N179" s="160"/>
      <c r="O179" s="160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159"/>
      <c r="M180" s="160"/>
      <c r="N180" s="160"/>
      <c r="O180" s="160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159"/>
      <c r="M181" s="160"/>
      <c r="N181" s="160"/>
      <c r="O181" s="160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159"/>
      <c r="M182" s="160"/>
      <c r="N182" s="160"/>
      <c r="O182" s="160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159"/>
      <c r="M183" s="160"/>
      <c r="N183" s="160"/>
      <c r="O183" s="160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159"/>
      <c r="M184" s="160"/>
      <c r="N184" s="160"/>
      <c r="O184" s="160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159"/>
      <c r="M185" s="160"/>
      <c r="N185" s="160"/>
      <c r="O185" s="160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159"/>
      <c r="M186" s="160"/>
      <c r="N186" s="160"/>
      <c r="O186" s="160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159"/>
      <c r="M187" s="160"/>
      <c r="N187" s="160"/>
      <c r="O187" s="160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159"/>
      <c r="M188" s="160"/>
      <c r="N188" s="160"/>
      <c r="O188" s="160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159"/>
      <c r="M189" s="160"/>
      <c r="N189" s="160"/>
      <c r="O189" s="160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159"/>
      <c r="M190" s="160"/>
      <c r="N190" s="160"/>
      <c r="O190" s="160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159"/>
      <c r="M191" s="160"/>
      <c r="N191" s="160"/>
      <c r="O191" s="160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159"/>
      <c r="M192" s="160"/>
      <c r="N192" s="160"/>
      <c r="O192" s="160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159"/>
      <c r="M193" s="160"/>
      <c r="N193" s="160"/>
      <c r="O193" s="160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159"/>
      <c r="M194" s="160"/>
      <c r="N194" s="160"/>
      <c r="O194" s="160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159"/>
      <c r="M195" s="160"/>
      <c r="N195" s="160"/>
      <c r="O195" s="160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159"/>
      <c r="M196" s="160"/>
      <c r="N196" s="160"/>
      <c r="O196" s="160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159"/>
      <c r="M197" s="160"/>
      <c r="N197" s="160"/>
      <c r="O197" s="160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159"/>
      <c r="M198" s="160"/>
      <c r="N198" s="160"/>
      <c r="O198" s="160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159"/>
      <c r="M199" s="160"/>
      <c r="N199" s="160"/>
      <c r="O199" s="160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159"/>
      <c r="M200" s="160"/>
      <c r="N200" s="160"/>
      <c r="O200" s="160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159"/>
      <c r="M201" s="160"/>
      <c r="N201" s="160"/>
      <c r="O201" s="160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159"/>
      <c r="M202" s="160"/>
      <c r="N202" s="160"/>
      <c r="O202" s="160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159"/>
      <c r="M203" s="160"/>
      <c r="N203" s="160"/>
      <c r="O203" s="160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159"/>
      <c r="M204" s="160"/>
      <c r="N204" s="160"/>
      <c r="O204" s="160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159"/>
      <c r="M205" s="160"/>
      <c r="N205" s="160"/>
      <c r="O205" s="160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159"/>
      <c r="M206" s="160"/>
      <c r="N206" s="160"/>
      <c r="O206" s="160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159"/>
      <c r="M207" s="160"/>
      <c r="N207" s="160"/>
      <c r="O207" s="160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159"/>
      <c r="M208" s="160"/>
      <c r="N208" s="160"/>
      <c r="O208" s="160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159"/>
      <c r="M209" s="160"/>
      <c r="N209" s="160"/>
      <c r="O209" s="160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159"/>
      <c r="M210" s="160"/>
      <c r="N210" s="160"/>
      <c r="O210" s="160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159"/>
      <c r="M211" s="160"/>
      <c r="N211" s="160"/>
      <c r="O211" s="160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159"/>
      <c r="M212" s="160"/>
      <c r="N212" s="160"/>
      <c r="O212" s="160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159"/>
      <c r="M213" s="160"/>
      <c r="N213" s="160"/>
      <c r="O213" s="160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159"/>
      <c r="M214" s="160"/>
      <c r="N214" s="160"/>
      <c r="O214" s="160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159"/>
      <c r="M215" s="160"/>
      <c r="N215" s="160"/>
      <c r="O215" s="160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159"/>
      <c r="M216" s="160"/>
      <c r="N216" s="160"/>
      <c r="O216" s="160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159"/>
      <c r="M217" s="160"/>
      <c r="N217" s="160"/>
      <c r="O217" s="160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159"/>
      <c r="M218" s="160"/>
      <c r="N218" s="160"/>
      <c r="O218" s="160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159"/>
      <c r="M219" s="160"/>
      <c r="N219" s="160"/>
      <c r="O219" s="160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159"/>
      <c r="M220" s="160"/>
      <c r="N220" s="160"/>
      <c r="O220" s="160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</sheetData>
  <sheetProtection/>
  <mergeCells count="5">
    <mergeCell ref="D8:D10"/>
    <mergeCell ref="L8:L10"/>
    <mergeCell ref="G9:G10"/>
    <mergeCell ref="H9:H10"/>
    <mergeCell ref="K9:K10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63"/>
  <sheetViews>
    <sheetView zoomScalePageLayoutView="0" workbookViewId="0" topLeftCell="A1">
      <selection activeCell="D122" sqref="D122"/>
    </sheetView>
  </sheetViews>
  <sheetFormatPr defaultColWidth="9.140625" defaultRowHeight="12.75"/>
  <cols>
    <col min="1" max="1" width="4.7109375" style="0" customWidth="1"/>
    <col min="2" max="2" width="21.8515625" style="0" customWidth="1"/>
    <col min="3" max="3" width="7.7109375" style="0" customWidth="1"/>
    <col min="4" max="4" width="14.28125" style="0" customWidth="1"/>
    <col min="5" max="16" width="11.7109375" style="0" customWidth="1"/>
  </cols>
  <sheetData>
    <row r="1" ht="20.25">
      <c r="G1" s="282" t="s">
        <v>127</v>
      </c>
    </row>
    <row r="2" spans="1:33" ht="16.5" customHeight="1">
      <c r="A2" s="454" t="s">
        <v>686</v>
      </c>
      <c r="B2" s="411"/>
      <c r="C2" s="411"/>
      <c r="D2" s="411"/>
      <c r="E2" s="411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</row>
    <row r="3" spans="1:33" ht="15" customHeight="1">
      <c r="A3" s="454" t="s">
        <v>51</v>
      </c>
      <c r="B3" s="411"/>
      <c r="C3" s="411"/>
      <c r="D3" s="411"/>
      <c r="E3" s="411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</row>
    <row r="4" spans="1:33" ht="9" customHeight="1">
      <c r="A4" s="411"/>
      <c r="B4" s="411"/>
      <c r="C4" s="411"/>
      <c r="D4" s="411"/>
      <c r="E4" s="411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</row>
    <row r="5" spans="1:16" ht="12" customHeight="1">
      <c r="A5" s="1181" t="s">
        <v>52</v>
      </c>
      <c r="B5" s="1182" t="s">
        <v>53</v>
      </c>
      <c r="C5" s="1183" t="s">
        <v>54</v>
      </c>
      <c r="D5" s="1182" t="s">
        <v>55</v>
      </c>
      <c r="E5" s="1172" t="s">
        <v>56</v>
      </c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</row>
    <row r="6" spans="1:16" ht="5.25" customHeight="1" hidden="1">
      <c r="A6" s="1181"/>
      <c r="B6" s="1182"/>
      <c r="C6" s="1183"/>
      <c r="D6" s="1182"/>
      <c r="E6" s="1174"/>
      <c r="F6" s="1175"/>
      <c r="G6" s="1175"/>
      <c r="H6" s="1175"/>
      <c r="I6" s="1175"/>
      <c r="J6" s="1175"/>
      <c r="K6" s="1175"/>
      <c r="L6" s="1175"/>
      <c r="M6" s="1175"/>
      <c r="N6" s="1175"/>
      <c r="O6" s="1175"/>
      <c r="P6" s="1175"/>
    </row>
    <row r="7" spans="1:16" ht="39" customHeight="1">
      <c r="A7" s="1181"/>
      <c r="B7" s="1182"/>
      <c r="C7" s="1183"/>
      <c r="D7" s="1182"/>
      <c r="E7" s="414" t="s">
        <v>57</v>
      </c>
      <c r="F7" s="414" t="s">
        <v>58</v>
      </c>
      <c r="G7" s="414" t="s">
        <v>59</v>
      </c>
      <c r="H7" s="414" t="s">
        <v>60</v>
      </c>
      <c r="I7" s="414" t="s">
        <v>61</v>
      </c>
      <c r="J7" s="414" t="s">
        <v>62</v>
      </c>
      <c r="K7" s="414" t="s">
        <v>63</v>
      </c>
      <c r="L7" s="414" t="s">
        <v>64</v>
      </c>
      <c r="M7" s="414" t="s">
        <v>65</v>
      </c>
      <c r="N7" s="414" t="s">
        <v>66</v>
      </c>
      <c r="O7" s="414" t="s">
        <v>67</v>
      </c>
      <c r="P7" s="414" t="s">
        <v>68</v>
      </c>
    </row>
    <row r="8" spans="1:16" ht="20.25" customHeight="1">
      <c r="A8" s="1176" t="s">
        <v>69</v>
      </c>
      <c r="B8" s="1177"/>
      <c r="C8" s="1177"/>
      <c r="D8" s="1177"/>
      <c r="E8" s="415" t="s">
        <v>70</v>
      </c>
      <c r="F8" s="416" t="s">
        <v>71</v>
      </c>
      <c r="G8" s="416" t="s">
        <v>72</v>
      </c>
      <c r="H8" s="416" t="s">
        <v>73</v>
      </c>
      <c r="I8" s="416" t="s">
        <v>74</v>
      </c>
      <c r="J8" s="416" t="s">
        <v>75</v>
      </c>
      <c r="K8" s="416" t="s">
        <v>76</v>
      </c>
      <c r="L8" s="416" t="s">
        <v>77</v>
      </c>
      <c r="M8" s="416" t="s">
        <v>78</v>
      </c>
      <c r="N8" s="416" t="s">
        <v>79</v>
      </c>
      <c r="O8" s="416" t="s">
        <v>80</v>
      </c>
      <c r="P8" s="416" t="s">
        <v>81</v>
      </c>
    </row>
    <row r="9" spans="1:16" ht="12" customHeight="1">
      <c r="A9" s="1178">
        <v>1</v>
      </c>
      <c r="B9" s="1179" t="s">
        <v>82</v>
      </c>
      <c r="C9" s="1180" t="s">
        <v>834</v>
      </c>
      <c r="D9" s="417" t="s">
        <v>83</v>
      </c>
      <c r="E9" s="418">
        <v>0</v>
      </c>
      <c r="F9" s="419">
        <f>E9+F10+F11</f>
        <v>0</v>
      </c>
      <c r="G9" s="419">
        <f aca="true" t="shared" si="0" ref="G9:P9">F9+G10+G11</f>
        <v>0</v>
      </c>
      <c r="H9" s="419">
        <f t="shared" si="0"/>
        <v>0</v>
      </c>
      <c r="I9" s="419">
        <f t="shared" si="0"/>
        <v>0</v>
      </c>
      <c r="J9" s="419">
        <f t="shared" si="0"/>
        <v>0</v>
      </c>
      <c r="K9" s="419">
        <f t="shared" si="0"/>
        <v>1383604</v>
      </c>
      <c r="L9" s="419">
        <f t="shared" si="0"/>
        <v>1383604</v>
      </c>
      <c r="M9" s="419">
        <f t="shared" si="0"/>
        <v>1383604</v>
      </c>
      <c r="N9" s="419">
        <f t="shared" si="0"/>
        <v>1383604</v>
      </c>
      <c r="O9" s="419">
        <f>N9+O10+O11</f>
        <v>1383604</v>
      </c>
      <c r="P9" s="419">
        <f t="shared" si="0"/>
        <v>1383604</v>
      </c>
    </row>
    <row r="10" spans="1:16" ht="12" customHeight="1">
      <c r="A10" s="1178"/>
      <c r="B10" s="1179"/>
      <c r="C10" s="1180"/>
      <c r="D10" s="417" t="s">
        <v>84</v>
      </c>
      <c r="E10" s="420"/>
      <c r="F10" s="421"/>
      <c r="G10" s="421"/>
      <c r="H10" s="421"/>
      <c r="I10" s="421"/>
      <c r="J10" s="421"/>
      <c r="K10" s="421"/>
      <c r="L10" s="421"/>
      <c r="M10" s="421"/>
      <c r="N10" s="421"/>
      <c r="O10" s="421">
        <v>-12180</v>
      </c>
      <c r="P10" s="421"/>
    </row>
    <row r="11" spans="1:16" ht="12" customHeight="1">
      <c r="A11" s="1178"/>
      <c r="B11" s="1179"/>
      <c r="C11" s="1180"/>
      <c r="D11" s="417" t="s">
        <v>85</v>
      </c>
      <c r="E11" s="420"/>
      <c r="F11" s="421"/>
      <c r="G11" s="421"/>
      <c r="H11" s="421"/>
      <c r="I11" s="421"/>
      <c r="J11" s="421"/>
      <c r="K11" s="421">
        <v>1383604</v>
      </c>
      <c r="L11" s="421"/>
      <c r="M11" s="421"/>
      <c r="N11" s="421"/>
      <c r="O11" s="421">
        <v>12180</v>
      </c>
      <c r="P11" s="421"/>
    </row>
    <row r="12" spans="1:16" ht="12" customHeight="1">
      <c r="A12" s="1178"/>
      <c r="B12" s="1179"/>
      <c r="C12" s="1180"/>
      <c r="D12" s="417" t="s">
        <v>86</v>
      </c>
      <c r="E12" s="420"/>
      <c r="F12" s="421"/>
      <c r="G12" s="421"/>
      <c r="H12" s="421"/>
      <c r="I12" s="421"/>
      <c r="J12" s="422"/>
      <c r="K12" s="423" t="s">
        <v>87</v>
      </c>
      <c r="L12" s="421"/>
      <c r="M12" s="421"/>
      <c r="N12" s="421"/>
      <c r="O12" s="421"/>
      <c r="P12" s="421"/>
    </row>
    <row r="13" spans="1:16" ht="12" customHeight="1">
      <c r="A13" s="1184">
        <v>2</v>
      </c>
      <c r="B13" s="1185" t="s">
        <v>88</v>
      </c>
      <c r="C13" s="1186" t="s">
        <v>572</v>
      </c>
      <c r="D13" s="424" t="s">
        <v>83</v>
      </c>
      <c r="E13" s="425">
        <f>33150+187850+60546.79+343098.46</f>
        <v>624645.25</v>
      </c>
      <c r="F13" s="426">
        <f>E13+F14+F15</f>
        <v>624645.25</v>
      </c>
      <c r="G13" s="426">
        <f aca="true" t="shared" si="1" ref="G13:P13">F13+G14+G15</f>
        <v>624645.25</v>
      </c>
      <c r="H13" s="426">
        <f t="shared" si="1"/>
        <v>624645.25</v>
      </c>
      <c r="I13" s="426">
        <f t="shared" si="1"/>
        <v>624645.25</v>
      </c>
      <c r="J13" s="426">
        <f t="shared" si="1"/>
        <v>624645.25</v>
      </c>
      <c r="K13" s="426">
        <f t="shared" si="1"/>
        <v>685632.57</v>
      </c>
      <c r="L13" s="426">
        <f t="shared" si="1"/>
        <v>685632.57</v>
      </c>
      <c r="M13" s="426">
        <f t="shared" si="1"/>
        <v>685632.57</v>
      </c>
      <c r="N13" s="426">
        <f t="shared" si="1"/>
        <v>685632.57</v>
      </c>
      <c r="O13" s="426">
        <f>N13+O14+O15</f>
        <v>685632.57</v>
      </c>
      <c r="P13" s="426">
        <f t="shared" si="1"/>
        <v>685632.57</v>
      </c>
    </row>
    <row r="14" spans="1:16" ht="12" customHeight="1">
      <c r="A14" s="1184"/>
      <c r="B14" s="1185"/>
      <c r="C14" s="1186"/>
      <c r="D14" s="424" t="s">
        <v>84</v>
      </c>
      <c r="E14" s="427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</row>
    <row r="15" spans="1:16" ht="12" customHeight="1">
      <c r="A15" s="1184"/>
      <c r="B15" s="1185"/>
      <c r="C15" s="1186"/>
      <c r="D15" s="424" t="s">
        <v>85</v>
      </c>
      <c r="E15" s="427"/>
      <c r="F15" s="428"/>
      <c r="G15" s="428"/>
      <c r="H15" s="428"/>
      <c r="I15" s="428"/>
      <c r="J15" s="428"/>
      <c r="K15" s="428">
        <v>60987.32</v>
      </c>
      <c r="L15" s="428"/>
      <c r="M15" s="428"/>
      <c r="N15" s="428"/>
      <c r="O15" s="428"/>
      <c r="P15" s="428"/>
    </row>
    <row r="16" spans="1:16" ht="12" customHeight="1">
      <c r="A16" s="1184"/>
      <c r="B16" s="1185"/>
      <c r="C16" s="1186"/>
      <c r="D16" s="424" t="s">
        <v>86</v>
      </c>
      <c r="E16" s="427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</row>
    <row r="17" spans="1:16" ht="12" customHeight="1">
      <c r="A17" s="1178">
        <v>3</v>
      </c>
      <c r="B17" s="1179" t="s">
        <v>89</v>
      </c>
      <c r="C17" s="1180" t="s">
        <v>572</v>
      </c>
      <c r="D17" s="417" t="s">
        <v>83</v>
      </c>
      <c r="E17" s="418">
        <f>32377.98+183475.22</f>
        <v>215853.2</v>
      </c>
      <c r="F17" s="419">
        <f>E17+F18+F19</f>
        <v>215853.2</v>
      </c>
      <c r="G17" s="419">
        <f aca="true" t="shared" si="2" ref="G17:P17">F17+G18+G19</f>
        <v>215853.2</v>
      </c>
      <c r="H17" s="419">
        <f t="shared" si="2"/>
        <v>215853.2</v>
      </c>
      <c r="I17" s="419">
        <f t="shared" si="2"/>
        <v>215853.2</v>
      </c>
      <c r="J17" s="419">
        <f t="shared" si="2"/>
        <v>215853.2</v>
      </c>
      <c r="K17" s="419">
        <f t="shared" si="2"/>
        <v>237031.47</v>
      </c>
      <c r="L17" s="419">
        <f t="shared" si="2"/>
        <v>237031.47</v>
      </c>
      <c r="M17" s="419">
        <f t="shared" si="2"/>
        <v>237031.47</v>
      </c>
      <c r="N17" s="419">
        <f t="shared" si="2"/>
        <v>237031.47</v>
      </c>
      <c r="O17" s="419">
        <f>N17+O18+O19</f>
        <v>237031.47</v>
      </c>
      <c r="P17" s="419">
        <f t="shared" si="2"/>
        <v>237031.47</v>
      </c>
    </row>
    <row r="18" spans="1:16" ht="12" customHeight="1">
      <c r="A18" s="1178"/>
      <c r="B18" s="1179"/>
      <c r="C18" s="1180"/>
      <c r="D18" s="417" t="s">
        <v>84</v>
      </c>
      <c r="E18" s="420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</row>
    <row r="19" spans="1:16" ht="12" customHeight="1">
      <c r="A19" s="1178"/>
      <c r="B19" s="1179"/>
      <c r="C19" s="1180"/>
      <c r="D19" s="417" t="s">
        <v>85</v>
      </c>
      <c r="E19" s="420"/>
      <c r="F19" s="421"/>
      <c r="G19" s="421"/>
      <c r="H19" s="421"/>
      <c r="I19" s="421"/>
      <c r="J19" s="421"/>
      <c r="K19" s="421">
        <v>21178.27</v>
      </c>
      <c r="L19" s="421"/>
      <c r="M19" s="421"/>
      <c r="N19" s="421"/>
      <c r="O19" s="421"/>
      <c r="P19" s="421"/>
    </row>
    <row r="20" spans="1:16" ht="12" customHeight="1">
      <c r="A20" s="1178"/>
      <c r="B20" s="1179"/>
      <c r="C20" s="1180"/>
      <c r="D20" s="417" t="s">
        <v>86</v>
      </c>
      <c r="E20" s="420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</row>
    <row r="21" spans="1:16" ht="12" customHeight="1">
      <c r="A21" s="1187">
        <v>4</v>
      </c>
      <c r="B21" s="1185" t="s">
        <v>90</v>
      </c>
      <c r="C21" s="1188" t="s">
        <v>572</v>
      </c>
      <c r="D21" s="424" t="s">
        <v>83</v>
      </c>
      <c r="E21" s="429">
        <f>5382+30498</f>
        <v>35880</v>
      </c>
      <c r="F21" s="430">
        <f>F22+F23+E21</f>
        <v>35880</v>
      </c>
      <c r="G21" s="430">
        <f>F21+G22+G23</f>
        <v>35880</v>
      </c>
      <c r="H21" s="430">
        <f aca="true" t="shared" si="3" ref="H21:P21">G21+H22+H23</f>
        <v>35880</v>
      </c>
      <c r="I21" s="430">
        <f t="shared" si="3"/>
        <v>35880</v>
      </c>
      <c r="J21" s="430">
        <f t="shared" si="3"/>
        <v>35880</v>
      </c>
      <c r="K21" s="430">
        <f t="shared" si="3"/>
        <v>55159.53</v>
      </c>
      <c r="L21" s="430">
        <f t="shared" si="3"/>
        <v>55159.53</v>
      </c>
      <c r="M21" s="430">
        <f t="shared" si="3"/>
        <v>55159.53</v>
      </c>
      <c r="N21" s="430">
        <f t="shared" si="3"/>
        <v>55159.53</v>
      </c>
      <c r="O21" s="430">
        <f>N21+O22+O23</f>
        <v>55159.53</v>
      </c>
      <c r="P21" s="430">
        <f t="shared" si="3"/>
        <v>55159.53</v>
      </c>
    </row>
    <row r="22" spans="1:16" ht="12" customHeight="1">
      <c r="A22" s="1187"/>
      <c r="B22" s="1185"/>
      <c r="C22" s="1188"/>
      <c r="D22" s="424" t="s">
        <v>84</v>
      </c>
      <c r="E22" s="429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</row>
    <row r="23" spans="1:16" ht="12" customHeight="1">
      <c r="A23" s="1187"/>
      <c r="B23" s="1185"/>
      <c r="C23" s="1188"/>
      <c r="D23" s="424" t="s">
        <v>85</v>
      </c>
      <c r="E23" s="429"/>
      <c r="F23" s="431"/>
      <c r="G23" s="431"/>
      <c r="H23" s="431"/>
      <c r="I23" s="431"/>
      <c r="J23" s="431"/>
      <c r="K23" s="431">
        <v>19279.53</v>
      </c>
      <c r="L23" s="431"/>
      <c r="M23" s="431"/>
      <c r="N23" s="431"/>
      <c r="O23" s="431"/>
      <c r="P23" s="431"/>
    </row>
    <row r="24" spans="1:16" ht="12" customHeight="1">
      <c r="A24" s="1187"/>
      <c r="B24" s="1185"/>
      <c r="C24" s="1188"/>
      <c r="D24" s="424" t="s">
        <v>86</v>
      </c>
      <c r="E24" s="429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</row>
    <row r="25" spans="1:16" ht="12" customHeight="1">
      <c r="A25" s="1178">
        <v>5</v>
      </c>
      <c r="B25" s="1189" t="s">
        <v>91</v>
      </c>
      <c r="C25" s="1180" t="s">
        <v>572</v>
      </c>
      <c r="D25" s="417" t="s">
        <v>83</v>
      </c>
      <c r="E25" s="418">
        <f>136899+775761</f>
        <v>912660</v>
      </c>
      <c r="F25" s="419">
        <f>E25+F27+F26</f>
        <v>912660</v>
      </c>
      <c r="G25" s="419">
        <f aca="true" t="shared" si="4" ref="G25:P25">F25+G27+G26</f>
        <v>912660</v>
      </c>
      <c r="H25" s="419">
        <f t="shared" si="4"/>
        <v>912660</v>
      </c>
      <c r="I25" s="419">
        <f t="shared" si="4"/>
        <v>912660</v>
      </c>
      <c r="J25" s="419">
        <f t="shared" si="4"/>
        <v>912660</v>
      </c>
      <c r="K25" s="419">
        <f t="shared" si="4"/>
        <v>912660</v>
      </c>
      <c r="L25" s="419">
        <f t="shared" si="4"/>
        <v>912660</v>
      </c>
      <c r="M25" s="419">
        <f t="shared" si="4"/>
        <v>912660</v>
      </c>
      <c r="N25" s="419">
        <f t="shared" si="4"/>
        <v>912660</v>
      </c>
      <c r="O25" s="419">
        <f t="shared" si="4"/>
        <v>912660</v>
      </c>
      <c r="P25" s="419">
        <f t="shared" si="4"/>
        <v>912660</v>
      </c>
    </row>
    <row r="26" spans="1:16" ht="12" customHeight="1">
      <c r="A26" s="1178"/>
      <c r="B26" s="1189"/>
      <c r="C26" s="1180"/>
      <c r="D26" s="417" t="s">
        <v>84</v>
      </c>
      <c r="E26" s="418"/>
      <c r="F26" s="421"/>
      <c r="G26" s="419"/>
      <c r="H26" s="421"/>
      <c r="I26" s="421"/>
      <c r="J26" s="421"/>
      <c r="K26" s="421"/>
      <c r="L26" s="421"/>
      <c r="M26" s="421"/>
      <c r="N26" s="421"/>
      <c r="O26" s="421"/>
      <c r="P26" s="421"/>
    </row>
    <row r="27" spans="1:16" ht="12" customHeight="1">
      <c r="A27" s="1178"/>
      <c r="B27" s="1189"/>
      <c r="C27" s="1180"/>
      <c r="D27" s="417" t="s">
        <v>85</v>
      </c>
      <c r="E27" s="418"/>
      <c r="F27" s="421"/>
      <c r="G27" s="419"/>
      <c r="H27" s="421"/>
      <c r="I27" s="421"/>
      <c r="J27" s="421"/>
      <c r="K27" s="421"/>
      <c r="L27" s="421"/>
      <c r="M27" s="421"/>
      <c r="N27" s="421"/>
      <c r="O27" s="421"/>
      <c r="P27" s="421"/>
    </row>
    <row r="28" spans="1:16" ht="12" customHeight="1">
      <c r="A28" s="1178"/>
      <c r="B28" s="1189"/>
      <c r="C28" s="1180"/>
      <c r="D28" s="417" t="s">
        <v>86</v>
      </c>
      <c r="E28" s="418"/>
      <c r="F28" s="421"/>
      <c r="G28" s="419"/>
      <c r="H28" s="421"/>
      <c r="I28" s="421"/>
      <c r="J28" s="421"/>
      <c r="K28" s="421"/>
      <c r="L28" s="421"/>
      <c r="M28" s="421"/>
      <c r="N28" s="421"/>
      <c r="O28" s="421"/>
      <c r="P28" s="421"/>
    </row>
    <row r="29" spans="1:16" ht="12" customHeight="1">
      <c r="A29" s="1187">
        <v>6</v>
      </c>
      <c r="B29" s="1185" t="s">
        <v>92</v>
      </c>
      <c r="C29" s="1188" t="s">
        <v>93</v>
      </c>
      <c r="D29" s="424" t="s">
        <v>83</v>
      </c>
      <c r="E29" s="429">
        <v>250886</v>
      </c>
      <c r="F29" s="429">
        <f>E29+F31+F30</f>
        <v>250886</v>
      </c>
      <c r="G29" s="429">
        <f aca="true" t="shared" si="5" ref="G29:P29">F29+G31+G30</f>
        <v>250886</v>
      </c>
      <c r="H29" s="429">
        <f t="shared" si="5"/>
        <v>250886</v>
      </c>
      <c r="I29" s="429">
        <f t="shared" si="5"/>
        <v>250886</v>
      </c>
      <c r="J29" s="429">
        <f t="shared" si="5"/>
        <v>250886</v>
      </c>
      <c r="K29" s="429">
        <f t="shared" si="5"/>
        <v>311081.44</v>
      </c>
      <c r="L29" s="429">
        <f t="shared" si="5"/>
        <v>311081.44</v>
      </c>
      <c r="M29" s="429">
        <f t="shared" si="5"/>
        <v>311081.44</v>
      </c>
      <c r="N29" s="429">
        <f t="shared" si="5"/>
        <v>311081.44</v>
      </c>
      <c r="O29" s="429">
        <f>N29+O31+O30</f>
        <v>311081.44</v>
      </c>
      <c r="P29" s="429">
        <f t="shared" si="5"/>
        <v>311081.44</v>
      </c>
    </row>
    <row r="30" spans="1:16" ht="12" customHeight="1">
      <c r="A30" s="1187"/>
      <c r="B30" s="1185"/>
      <c r="C30" s="1188"/>
      <c r="D30" s="424" t="s">
        <v>84</v>
      </c>
      <c r="E30" s="429"/>
      <c r="F30" s="431"/>
      <c r="G30" s="430"/>
      <c r="H30" s="431"/>
      <c r="I30" s="431"/>
      <c r="J30" s="431"/>
      <c r="K30" s="431"/>
      <c r="L30" s="431"/>
      <c r="M30" s="431"/>
      <c r="N30" s="431">
        <v>-33715.95</v>
      </c>
      <c r="O30" s="431"/>
      <c r="P30" s="431"/>
    </row>
    <row r="31" spans="1:16" ht="12" customHeight="1">
      <c r="A31" s="1187"/>
      <c r="B31" s="1185"/>
      <c r="C31" s="1188"/>
      <c r="D31" s="424" t="s">
        <v>85</v>
      </c>
      <c r="E31" s="429"/>
      <c r="F31" s="431"/>
      <c r="G31" s="430"/>
      <c r="H31" s="431"/>
      <c r="I31" s="431"/>
      <c r="J31" s="431"/>
      <c r="K31" s="431">
        <v>60195.44</v>
      </c>
      <c r="L31" s="431"/>
      <c r="M31" s="431"/>
      <c r="N31" s="431">
        <v>33715.95</v>
      </c>
      <c r="O31" s="431"/>
      <c r="P31" s="431"/>
    </row>
    <row r="32" spans="1:16" ht="12" customHeight="1">
      <c r="A32" s="1187"/>
      <c r="B32" s="1185"/>
      <c r="C32" s="1188"/>
      <c r="D32" s="424" t="s">
        <v>86</v>
      </c>
      <c r="E32" s="429"/>
      <c r="F32" s="431"/>
      <c r="G32" s="430"/>
      <c r="H32" s="431"/>
      <c r="I32" s="431"/>
      <c r="J32" s="431"/>
      <c r="K32" s="431"/>
      <c r="L32" s="431"/>
      <c r="M32" s="431"/>
      <c r="N32" s="431"/>
      <c r="O32" s="431"/>
      <c r="P32" s="431"/>
    </row>
    <row r="33" spans="1:16" ht="12" customHeight="1">
      <c r="A33" s="1178">
        <v>7</v>
      </c>
      <c r="B33" s="1179" t="s">
        <v>94</v>
      </c>
      <c r="C33" s="1190" t="s">
        <v>95</v>
      </c>
      <c r="D33" s="417" t="s">
        <v>83</v>
      </c>
      <c r="E33" s="418">
        <f>1540.61+10459.39</f>
        <v>12000</v>
      </c>
      <c r="F33" s="418">
        <f>E33+F35+F34</f>
        <v>12000</v>
      </c>
      <c r="G33" s="418">
        <f aca="true" t="shared" si="6" ref="G33:P33">F33+G35+G34</f>
        <v>12000</v>
      </c>
      <c r="H33" s="418">
        <f t="shared" si="6"/>
        <v>12000</v>
      </c>
      <c r="I33" s="418">
        <f t="shared" si="6"/>
        <v>12000</v>
      </c>
      <c r="J33" s="418">
        <f t="shared" si="6"/>
        <v>12000</v>
      </c>
      <c r="K33" s="418">
        <f t="shared" si="6"/>
        <v>12000</v>
      </c>
      <c r="L33" s="418">
        <f t="shared" si="6"/>
        <v>12000</v>
      </c>
      <c r="M33" s="418">
        <f t="shared" si="6"/>
        <v>12000</v>
      </c>
      <c r="N33" s="418">
        <f t="shared" si="6"/>
        <v>12000</v>
      </c>
      <c r="O33" s="418">
        <f>N33+O35+O34</f>
        <v>12000</v>
      </c>
      <c r="P33" s="418">
        <f t="shared" si="6"/>
        <v>12000</v>
      </c>
    </row>
    <row r="34" spans="1:16" ht="12" customHeight="1">
      <c r="A34" s="1178"/>
      <c r="B34" s="1179"/>
      <c r="C34" s="1191"/>
      <c r="D34" s="417" t="s">
        <v>84</v>
      </c>
      <c r="E34" s="418"/>
      <c r="F34" s="421"/>
      <c r="G34" s="419"/>
      <c r="H34" s="421"/>
      <c r="I34" s="421"/>
      <c r="J34" s="421"/>
      <c r="K34" s="421"/>
      <c r="L34" s="421"/>
      <c r="M34" s="421"/>
      <c r="N34" s="421"/>
      <c r="O34" s="421"/>
      <c r="P34" s="421"/>
    </row>
    <row r="35" spans="1:16" ht="12" customHeight="1">
      <c r="A35" s="1178"/>
      <c r="B35" s="1179"/>
      <c r="C35" s="1191"/>
      <c r="D35" s="417" t="s">
        <v>85</v>
      </c>
      <c r="E35" s="418"/>
      <c r="F35" s="421"/>
      <c r="G35" s="419"/>
      <c r="H35" s="421"/>
      <c r="I35" s="421"/>
      <c r="J35" s="421"/>
      <c r="K35" s="421"/>
      <c r="L35" s="421"/>
      <c r="M35" s="421"/>
      <c r="N35" s="421"/>
      <c r="O35" s="421"/>
      <c r="P35" s="421"/>
    </row>
    <row r="36" spans="1:16" ht="12" customHeight="1">
      <c r="A36" s="1178"/>
      <c r="B36" s="1179"/>
      <c r="C36" s="1192"/>
      <c r="D36" s="417" t="s">
        <v>86</v>
      </c>
      <c r="E36" s="418"/>
      <c r="F36" s="421"/>
      <c r="G36" s="419"/>
      <c r="H36" s="421"/>
      <c r="I36" s="421"/>
      <c r="J36" s="421"/>
      <c r="K36" s="421"/>
      <c r="L36" s="421"/>
      <c r="M36" s="421"/>
      <c r="N36" s="421"/>
      <c r="O36" s="421"/>
      <c r="P36" s="421"/>
    </row>
    <row r="37" spans="1:16" ht="12" customHeight="1">
      <c r="A37" s="1187">
        <v>8</v>
      </c>
      <c r="B37" s="1185" t="s">
        <v>96</v>
      </c>
      <c r="C37" s="1188" t="s">
        <v>97</v>
      </c>
      <c r="D37" s="424" t="s">
        <v>83</v>
      </c>
      <c r="E37" s="429">
        <v>71940</v>
      </c>
      <c r="F37" s="430">
        <f>E37+F38+F39</f>
        <v>71940</v>
      </c>
      <c r="G37" s="430">
        <f aca="true" t="shared" si="7" ref="G37:P37">F37+G38+G39</f>
        <v>71940</v>
      </c>
      <c r="H37" s="430">
        <f t="shared" si="7"/>
        <v>71940</v>
      </c>
      <c r="I37" s="430">
        <f t="shared" si="7"/>
        <v>71940</v>
      </c>
      <c r="J37" s="430">
        <f t="shared" si="7"/>
        <v>71940</v>
      </c>
      <c r="K37" s="430">
        <f t="shared" si="7"/>
        <v>77530.02</v>
      </c>
      <c r="L37" s="430">
        <f t="shared" si="7"/>
        <v>77530.02</v>
      </c>
      <c r="M37" s="430">
        <f t="shared" si="7"/>
        <v>77530.02</v>
      </c>
      <c r="N37" s="430">
        <f t="shared" si="7"/>
        <v>77530.02</v>
      </c>
      <c r="O37" s="430">
        <f>N37+O38+O39</f>
        <v>77530.02</v>
      </c>
      <c r="P37" s="430">
        <f t="shared" si="7"/>
        <v>77530.02</v>
      </c>
    </row>
    <row r="38" spans="1:16" ht="12" customHeight="1">
      <c r="A38" s="1187"/>
      <c r="B38" s="1185"/>
      <c r="C38" s="1188"/>
      <c r="D38" s="424" t="s">
        <v>84</v>
      </c>
      <c r="E38" s="432"/>
      <c r="F38" s="431"/>
      <c r="G38" s="430"/>
      <c r="H38" s="431"/>
      <c r="I38" s="431"/>
      <c r="J38" s="431"/>
      <c r="K38" s="431"/>
      <c r="L38" s="431"/>
      <c r="M38" s="431"/>
      <c r="N38" s="431"/>
      <c r="O38" s="431"/>
      <c r="P38" s="431"/>
    </row>
    <row r="39" spans="1:16" ht="12" customHeight="1">
      <c r="A39" s="1187"/>
      <c r="B39" s="1185"/>
      <c r="C39" s="1188"/>
      <c r="D39" s="424" t="s">
        <v>85</v>
      </c>
      <c r="E39" s="432"/>
      <c r="F39" s="431"/>
      <c r="G39" s="431"/>
      <c r="H39" s="431"/>
      <c r="I39" s="431"/>
      <c r="J39" s="431"/>
      <c r="K39" s="431">
        <v>5590.02</v>
      </c>
      <c r="L39" s="431"/>
      <c r="M39" s="431"/>
      <c r="N39" s="431"/>
      <c r="O39" s="431"/>
      <c r="P39" s="431"/>
    </row>
    <row r="40" spans="1:16" ht="12" customHeight="1">
      <c r="A40" s="1187"/>
      <c r="B40" s="1185"/>
      <c r="C40" s="1188"/>
      <c r="D40" s="424" t="s">
        <v>86</v>
      </c>
      <c r="E40" s="432"/>
      <c r="F40" s="431"/>
      <c r="G40" s="430"/>
      <c r="H40" s="431"/>
      <c r="I40" s="431"/>
      <c r="J40" s="431"/>
      <c r="K40" s="431"/>
      <c r="L40" s="431"/>
      <c r="M40" s="431"/>
      <c r="N40" s="431"/>
      <c r="O40" s="431"/>
      <c r="P40" s="431"/>
    </row>
    <row r="41" spans="1:16" ht="12" customHeight="1">
      <c r="A41" s="1178">
        <v>9</v>
      </c>
      <c r="B41" s="1179" t="s">
        <v>98</v>
      </c>
      <c r="C41" s="1180" t="s">
        <v>99</v>
      </c>
      <c r="D41" s="417" t="s">
        <v>83</v>
      </c>
      <c r="E41" s="418">
        <v>105742</v>
      </c>
      <c r="F41" s="419">
        <f>F42+F43+E41</f>
        <v>106142</v>
      </c>
      <c r="G41" s="419">
        <f aca="true" t="shared" si="8" ref="G41:P41">G42+G43+F41</f>
        <v>106142</v>
      </c>
      <c r="H41" s="419">
        <f t="shared" si="8"/>
        <v>106142</v>
      </c>
      <c r="I41" s="419">
        <f t="shared" si="8"/>
        <v>106142</v>
      </c>
      <c r="J41" s="419">
        <f t="shared" si="8"/>
        <v>106142</v>
      </c>
      <c r="K41" s="419">
        <f t="shared" si="8"/>
        <v>107514.24</v>
      </c>
      <c r="L41" s="419">
        <f t="shared" si="8"/>
        <v>107514.24</v>
      </c>
      <c r="M41" s="419">
        <f t="shared" si="8"/>
        <v>107514.24</v>
      </c>
      <c r="N41" s="419">
        <f t="shared" si="8"/>
        <v>107514.24</v>
      </c>
      <c r="O41" s="419">
        <f>O42+O43+N41</f>
        <v>107514.24</v>
      </c>
      <c r="P41" s="419">
        <f t="shared" si="8"/>
        <v>107514.24</v>
      </c>
    </row>
    <row r="42" spans="1:16" ht="12" customHeight="1">
      <c r="A42" s="1178"/>
      <c r="B42" s="1179"/>
      <c r="C42" s="1180"/>
      <c r="D42" s="417" t="s">
        <v>84</v>
      </c>
      <c r="E42" s="418"/>
      <c r="F42" s="421"/>
      <c r="G42" s="419"/>
      <c r="H42" s="421"/>
      <c r="I42" s="421"/>
      <c r="J42" s="421"/>
      <c r="K42" s="421"/>
      <c r="L42" s="421"/>
      <c r="M42" s="421"/>
      <c r="N42" s="421"/>
      <c r="O42" s="421"/>
      <c r="P42" s="421"/>
    </row>
    <row r="43" spans="1:16" ht="12" customHeight="1">
      <c r="A43" s="1178"/>
      <c r="B43" s="1179"/>
      <c r="C43" s="1180"/>
      <c r="D43" s="417" t="s">
        <v>85</v>
      </c>
      <c r="E43" s="418"/>
      <c r="F43" s="421">
        <v>400</v>
      </c>
      <c r="G43" s="419"/>
      <c r="H43" s="421"/>
      <c r="I43" s="421"/>
      <c r="J43" s="421"/>
      <c r="K43" s="421">
        <v>1372.24</v>
      </c>
      <c r="L43" s="421"/>
      <c r="M43" s="421"/>
      <c r="N43" s="421"/>
      <c r="O43" s="421"/>
      <c r="P43" s="421"/>
    </row>
    <row r="44" spans="1:16" ht="12" customHeight="1">
      <c r="A44" s="1178"/>
      <c r="B44" s="1179"/>
      <c r="C44" s="1180"/>
      <c r="D44" s="417" t="s">
        <v>86</v>
      </c>
      <c r="E44" s="418"/>
      <c r="F44" s="421"/>
      <c r="G44" s="419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1:16" ht="12" customHeight="1">
      <c r="A45" s="1193">
        <v>10</v>
      </c>
      <c r="B45" s="1194" t="s">
        <v>100</v>
      </c>
      <c r="C45" s="1195" t="s">
        <v>572</v>
      </c>
      <c r="D45" s="433" t="s">
        <v>83</v>
      </c>
      <c r="E45" s="434">
        <f>68355+387345</f>
        <v>455700</v>
      </c>
      <c r="F45" s="435">
        <f>F46+F47+E45</f>
        <v>455700</v>
      </c>
      <c r="G45" s="435">
        <f aca="true" t="shared" si="9" ref="G45:N45">G46+G47+F45</f>
        <v>455700</v>
      </c>
      <c r="H45" s="435">
        <f t="shared" si="9"/>
        <v>455700</v>
      </c>
      <c r="I45" s="435">
        <f t="shared" si="9"/>
        <v>455700</v>
      </c>
      <c r="J45" s="435">
        <f t="shared" si="9"/>
        <v>455700</v>
      </c>
      <c r="K45" s="435">
        <f t="shared" si="9"/>
        <v>455700</v>
      </c>
      <c r="L45" s="435">
        <f t="shared" si="9"/>
        <v>455700</v>
      </c>
      <c r="M45" s="435">
        <f t="shared" si="9"/>
        <v>455700</v>
      </c>
      <c r="N45" s="435">
        <f t="shared" si="9"/>
        <v>455700</v>
      </c>
      <c r="O45" s="435">
        <f>O46+O47+N45</f>
        <v>455700</v>
      </c>
      <c r="P45" s="435">
        <f>P46+P47+O45</f>
        <v>671125.76</v>
      </c>
    </row>
    <row r="46" spans="1:16" ht="12" customHeight="1">
      <c r="A46" s="1193"/>
      <c r="B46" s="1194"/>
      <c r="C46" s="1195"/>
      <c r="D46" s="433" t="s">
        <v>84</v>
      </c>
      <c r="E46" s="434"/>
      <c r="F46" s="436"/>
      <c r="G46" s="435"/>
      <c r="H46" s="436"/>
      <c r="I46" s="436"/>
      <c r="J46" s="436"/>
      <c r="K46" s="436"/>
      <c r="L46" s="436"/>
      <c r="M46" s="436"/>
      <c r="N46" s="436"/>
      <c r="O46" s="436"/>
      <c r="P46" s="436"/>
    </row>
    <row r="47" spans="1:16" ht="12" customHeight="1">
      <c r="A47" s="1193"/>
      <c r="B47" s="1194"/>
      <c r="C47" s="1195"/>
      <c r="D47" s="433" t="s">
        <v>85</v>
      </c>
      <c r="E47" s="434"/>
      <c r="F47" s="436"/>
      <c r="G47" s="435"/>
      <c r="H47" s="436"/>
      <c r="I47" s="436"/>
      <c r="J47" s="436"/>
      <c r="K47" s="436"/>
      <c r="L47" s="436"/>
      <c r="M47" s="436"/>
      <c r="N47" s="436"/>
      <c r="O47" s="436"/>
      <c r="P47" s="436">
        <v>215425.76</v>
      </c>
    </row>
    <row r="48" spans="1:16" ht="12" customHeight="1">
      <c r="A48" s="1193"/>
      <c r="B48" s="1194"/>
      <c r="C48" s="1195"/>
      <c r="D48" s="433" t="s">
        <v>86</v>
      </c>
      <c r="E48" s="434"/>
      <c r="F48" s="436"/>
      <c r="G48" s="435"/>
      <c r="H48" s="436"/>
      <c r="I48" s="436"/>
      <c r="J48" s="436"/>
      <c r="K48" s="436"/>
      <c r="L48" s="436"/>
      <c r="M48" s="436"/>
      <c r="N48" s="436"/>
      <c r="O48" s="436"/>
      <c r="P48" s="436"/>
    </row>
    <row r="49" spans="1:16" ht="12" customHeight="1">
      <c r="A49" s="1178">
        <v>11</v>
      </c>
      <c r="B49" s="1179" t="s">
        <v>101</v>
      </c>
      <c r="C49" s="1180" t="s">
        <v>572</v>
      </c>
      <c r="D49" s="417" t="s">
        <v>83</v>
      </c>
      <c r="E49" s="418">
        <f>240000+1360000+130298.25+738356.75</f>
        <v>2468655</v>
      </c>
      <c r="F49" s="419">
        <f>F50+F51+E49</f>
        <v>2468655</v>
      </c>
      <c r="G49" s="419">
        <f aca="true" t="shared" si="10" ref="G49:N49">G50+G51+F49</f>
        <v>2468655</v>
      </c>
      <c r="H49" s="419">
        <f t="shared" si="10"/>
        <v>2468655</v>
      </c>
      <c r="I49" s="419">
        <f t="shared" si="10"/>
        <v>2493225.1</v>
      </c>
      <c r="J49" s="419">
        <f t="shared" si="10"/>
        <v>2493225.1</v>
      </c>
      <c r="K49" s="419">
        <f t="shared" si="10"/>
        <v>2493225.1</v>
      </c>
      <c r="L49" s="419">
        <f t="shared" si="10"/>
        <v>2493225.1</v>
      </c>
      <c r="M49" s="419">
        <f t="shared" si="10"/>
        <v>2493225.1</v>
      </c>
      <c r="N49" s="419">
        <f t="shared" si="10"/>
        <v>2493225.1</v>
      </c>
      <c r="O49" s="419">
        <f>O50+O51+N49</f>
        <v>2493225.1</v>
      </c>
      <c r="P49" s="419">
        <f>P50+P51+O49</f>
        <v>2493225.1</v>
      </c>
    </row>
    <row r="50" spans="1:16" ht="12" customHeight="1">
      <c r="A50" s="1178"/>
      <c r="B50" s="1179"/>
      <c r="C50" s="1180"/>
      <c r="D50" s="417" t="s">
        <v>84</v>
      </c>
      <c r="E50" s="418"/>
      <c r="F50" s="421"/>
      <c r="G50" s="419"/>
      <c r="H50" s="421"/>
      <c r="I50" s="421"/>
      <c r="J50" s="421"/>
      <c r="K50" s="421"/>
      <c r="L50" s="421"/>
      <c r="M50" s="421">
        <v>-40784.68</v>
      </c>
      <c r="N50" s="421"/>
      <c r="O50" s="421"/>
      <c r="P50" s="421"/>
    </row>
    <row r="51" spans="1:16" ht="12" customHeight="1">
      <c r="A51" s="1178"/>
      <c r="B51" s="1179"/>
      <c r="C51" s="1180"/>
      <c r="D51" s="417" t="s">
        <v>85</v>
      </c>
      <c r="E51" s="418"/>
      <c r="F51" s="421"/>
      <c r="G51" s="419"/>
      <c r="H51" s="421"/>
      <c r="I51" s="421">
        <v>24570.1</v>
      </c>
      <c r="J51" s="421"/>
      <c r="K51" s="421"/>
      <c r="L51" s="421"/>
      <c r="M51" s="421">
        <v>40784.68</v>
      </c>
      <c r="N51" s="421"/>
      <c r="O51" s="421"/>
      <c r="P51" s="421"/>
    </row>
    <row r="52" spans="1:16" ht="12" customHeight="1">
      <c r="A52" s="1178"/>
      <c r="B52" s="1179"/>
      <c r="C52" s="1180"/>
      <c r="D52" s="417" t="s">
        <v>86</v>
      </c>
      <c r="E52" s="418"/>
      <c r="F52" s="421"/>
      <c r="G52" s="419"/>
      <c r="H52" s="421"/>
      <c r="I52" s="421"/>
      <c r="J52" s="421"/>
      <c r="K52" s="421"/>
      <c r="L52" s="421"/>
      <c r="M52" s="421"/>
      <c r="N52" s="421"/>
      <c r="O52" s="421"/>
      <c r="P52" s="421"/>
    </row>
    <row r="53" spans="1:16" ht="12" customHeight="1">
      <c r="A53" s="1193">
        <v>12</v>
      </c>
      <c r="B53" s="1194" t="s">
        <v>102</v>
      </c>
      <c r="C53" s="1195" t="s">
        <v>572</v>
      </c>
      <c r="D53" s="433" t="s">
        <v>83</v>
      </c>
      <c r="E53" s="434">
        <f>89935.11+509632.28</f>
        <v>599567.39</v>
      </c>
      <c r="F53" s="435">
        <f>F54+F55+E53</f>
        <v>599567.39</v>
      </c>
      <c r="G53" s="435">
        <f aca="true" t="shared" si="11" ref="G53:N53">G54+G55+F53</f>
        <v>599567.39</v>
      </c>
      <c r="H53" s="435">
        <f t="shared" si="11"/>
        <v>599567.39</v>
      </c>
      <c r="I53" s="435">
        <f t="shared" si="11"/>
        <v>599567.39</v>
      </c>
      <c r="J53" s="435">
        <f t="shared" si="11"/>
        <v>599567.39</v>
      </c>
      <c r="K53" s="435">
        <f t="shared" si="11"/>
        <v>604597.7000000001</v>
      </c>
      <c r="L53" s="435">
        <f t="shared" si="11"/>
        <v>604597.7000000001</v>
      </c>
      <c r="M53" s="435">
        <f t="shared" si="11"/>
        <v>604597.7000000001</v>
      </c>
      <c r="N53" s="435">
        <f t="shared" si="11"/>
        <v>604597.7000000001</v>
      </c>
      <c r="O53" s="435">
        <f>O54+O55+N53</f>
        <v>604597.7000000001</v>
      </c>
      <c r="P53" s="435">
        <f>P54+P55+O53</f>
        <v>604597.7000000001</v>
      </c>
    </row>
    <row r="54" spans="1:16" ht="12" customHeight="1">
      <c r="A54" s="1193"/>
      <c r="B54" s="1194"/>
      <c r="C54" s="1195"/>
      <c r="D54" s="433" t="s">
        <v>84</v>
      </c>
      <c r="E54" s="434"/>
      <c r="F54" s="436"/>
      <c r="G54" s="436">
        <v>-1904</v>
      </c>
      <c r="H54" s="436"/>
      <c r="I54" s="436"/>
      <c r="J54" s="436"/>
      <c r="K54" s="436"/>
      <c r="L54" s="436"/>
      <c r="M54" s="436"/>
      <c r="N54" s="436"/>
      <c r="O54" s="436"/>
      <c r="P54" s="436"/>
    </row>
    <row r="55" spans="1:16" ht="12" customHeight="1">
      <c r="A55" s="1193"/>
      <c r="B55" s="1194"/>
      <c r="C55" s="1195"/>
      <c r="D55" s="433" t="s">
        <v>85</v>
      </c>
      <c r="E55" s="434"/>
      <c r="F55" s="436"/>
      <c r="G55" s="436">
        <v>1904</v>
      </c>
      <c r="H55" s="436"/>
      <c r="I55" s="436"/>
      <c r="J55" s="436"/>
      <c r="K55" s="436">
        <v>5030.31</v>
      </c>
      <c r="L55" s="436"/>
      <c r="M55" s="436"/>
      <c r="N55" s="436"/>
      <c r="O55" s="436"/>
      <c r="P55" s="436"/>
    </row>
    <row r="56" spans="1:16" ht="12" customHeight="1">
      <c r="A56" s="1193"/>
      <c r="B56" s="1194"/>
      <c r="C56" s="1195"/>
      <c r="D56" s="433" t="s">
        <v>86</v>
      </c>
      <c r="E56" s="434"/>
      <c r="F56" s="436"/>
      <c r="G56" s="435"/>
      <c r="H56" s="436"/>
      <c r="I56" s="436"/>
      <c r="J56" s="436"/>
      <c r="K56" s="436"/>
      <c r="L56" s="436"/>
      <c r="M56" s="436"/>
      <c r="N56" s="436"/>
      <c r="O56" s="436"/>
      <c r="P56" s="436"/>
    </row>
    <row r="57" spans="1:16" ht="12" customHeight="1">
      <c r="A57" s="1178">
        <v>13</v>
      </c>
      <c r="B57" s="1179" t="s">
        <v>103</v>
      </c>
      <c r="C57" s="1180" t="s">
        <v>104</v>
      </c>
      <c r="D57" s="417" t="s">
        <v>83</v>
      </c>
      <c r="E57" s="418">
        <f>1980.96+298488.76</f>
        <v>300469.72000000003</v>
      </c>
      <c r="F57" s="419">
        <f>F58+F59+E57</f>
        <v>300469.72000000003</v>
      </c>
      <c r="G57" s="419">
        <f aca="true" t="shared" si="12" ref="G57:N57">G58+G59+F57</f>
        <v>300469.72000000003</v>
      </c>
      <c r="H57" s="419">
        <f t="shared" si="12"/>
        <v>300469.72000000003</v>
      </c>
      <c r="I57" s="419">
        <f t="shared" si="12"/>
        <v>300469.72000000003</v>
      </c>
      <c r="J57" s="419">
        <f t="shared" si="12"/>
        <v>300469.72000000003</v>
      </c>
      <c r="K57" s="419">
        <f t="shared" si="12"/>
        <v>303453.55000000005</v>
      </c>
      <c r="L57" s="419">
        <f t="shared" si="12"/>
        <v>303453.55000000005</v>
      </c>
      <c r="M57" s="419">
        <f t="shared" si="12"/>
        <v>303453.55000000005</v>
      </c>
      <c r="N57" s="419">
        <f t="shared" si="12"/>
        <v>303453.55000000005</v>
      </c>
      <c r="O57" s="419">
        <f>O58+O59+N57</f>
        <v>303453.55000000005</v>
      </c>
      <c r="P57" s="419">
        <f>P58+P59+O57</f>
        <v>303453.55000000005</v>
      </c>
    </row>
    <row r="58" spans="1:16" ht="12" customHeight="1">
      <c r="A58" s="1178"/>
      <c r="B58" s="1179"/>
      <c r="C58" s="1180"/>
      <c r="D58" s="417" t="s">
        <v>84</v>
      </c>
      <c r="E58" s="418"/>
      <c r="F58" s="421"/>
      <c r="G58" s="419"/>
      <c r="H58" s="421"/>
      <c r="I58" s="421"/>
      <c r="J58" s="421"/>
      <c r="K58" s="421"/>
      <c r="L58" s="421"/>
      <c r="M58" s="421"/>
      <c r="N58" s="421"/>
      <c r="O58" s="421">
        <v>-8400</v>
      </c>
      <c r="P58" s="421"/>
    </row>
    <row r="59" spans="1:16" ht="12" customHeight="1">
      <c r="A59" s="1178"/>
      <c r="B59" s="1179"/>
      <c r="C59" s="1180"/>
      <c r="D59" s="417" t="s">
        <v>85</v>
      </c>
      <c r="E59" s="418"/>
      <c r="F59" s="421"/>
      <c r="G59" s="419"/>
      <c r="H59" s="421"/>
      <c r="I59" s="421"/>
      <c r="J59" s="421"/>
      <c r="K59" s="421">
        <v>2983.83</v>
      </c>
      <c r="L59" s="421"/>
      <c r="M59" s="421"/>
      <c r="N59" s="421"/>
      <c r="O59" s="421">
        <v>8400</v>
      </c>
      <c r="P59" s="421"/>
    </row>
    <row r="60" spans="1:16" ht="12" customHeight="1">
      <c r="A60" s="1178"/>
      <c r="B60" s="1179"/>
      <c r="C60" s="1180"/>
      <c r="D60" s="417" t="s">
        <v>86</v>
      </c>
      <c r="E60" s="418"/>
      <c r="F60" s="421"/>
      <c r="G60" s="419"/>
      <c r="H60" s="421"/>
      <c r="I60" s="421"/>
      <c r="J60" s="421"/>
      <c r="K60" s="421"/>
      <c r="L60" s="421"/>
      <c r="M60" s="421"/>
      <c r="N60" s="421"/>
      <c r="O60" s="421"/>
      <c r="P60" s="421"/>
    </row>
    <row r="61" spans="1:16" ht="12" customHeight="1">
      <c r="A61" s="1193">
        <v>14</v>
      </c>
      <c r="B61" s="1194" t="s">
        <v>105</v>
      </c>
      <c r="C61" s="1195" t="s">
        <v>99</v>
      </c>
      <c r="D61" s="433" t="s">
        <v>83</v>
      </c>
      <c r="E61" s="434">
        <v>45885</v>
      </c>
      <c r="F61" s="435">
        <f>F62+F63+E61</f>
        <v>45885</v>
      </c>
      <c r="G61" s="435">
        <f aca="true" t="shared" si="13" ref="G61:N61">G62+G63+F61</f>
        <v>45885</v>
      </c>
      <c r="H61" s="435">
        <f t="shared" si="13"/>
        <v>45885</v>
      </c>
      <c r="I61" s="435">
        <f t="shared" si="13"/>
        <v>45885</v>
      </c>
      <c r="J61" s="435">
        <f t="shared" si="13"/>
        <v>45885</v>
      </c>
      <c r="K61" s="435">
        <f t="shared" si="13"/>
        <v>53147.01</v>
      </c>
      <c r="L61" s="435">
        <f t="shared" si="13"/>
        <v>53147.01</v>
      </c>
      <c r="M61" s="435">
        <f t="shared" si="13"/>
        <v>53147.01</v>
      </c>
      <c r="N61" s="435">
        <f t="shared" si="13"/>
        <v>53147.01</v>
      </c>
      <c r="O61" s="435">
        <f>O62+O63+N61</f>
        <v>53147.01</v>
      </c>
      <c r="P61" s="435">
        <f>P62+P63+O61</f>
        <v>53147.01</v>
      </c>
    </row>
    <row r="62" spans="1:16" ht="12" customHeight="1">
      <c r="A62" s="1193"/>
      <c r="B62" s="1194"/>
      <c r="C62" s="1195"/>
      <c r="D62" s="433" t="s">
        <v>84</v>
      </c>
      <c r="E62" s="434"/>
      <c r="F62" s="436"/>
      <c r="G62" s="435"/>
      <c r="H62" s="436">
        <v>-4000</v>
      </c>
      <c r="I62" s="436"/>
      <c r="J62" s="436"/>
      <c r="K62" s="436"/>
      <c r="L62" s="436"/>
      <c r="M62" s="436"/>
      <c r="N62" s="436"/>
      <c r="O62" s="436"/>
      <c r="P62" s="436"/>
    </row>
    <row r="63" spans="1:16" ht="12" customHeight="1">
      <c r="A63" s="1193"/>
      <c r="B63" s="1194"/>
      <c r="C63" s="1195"/>
      <c r="D63" s="433" t="s">
        <v>85</v>
      </c>
      <c r="E63" s="434"/>
      <c r="F63" s="436"/>
      <c r="G63" s="435"/>
      <c r="H63" s="436">
        <v>4000</v>
      </c>
      <c r="I63" s="436"/>
      <c r="J63" s="436"/>
      <c r="K63" s="436">
        <v>7262.01</v>
      </c>
      <c r="L63" s="436"/>
      <c r="M63" s="436"/>
      <c r="N63" s="436"/>
      <c r="O63" s="436"/>
      <c r="P63" s="436"/>
    </row>
    <row r="64" spans="1:16" ht="12" customHeight="1">
      <c r="A64" s="1193"/>
      <c r="B64" s="1194"/>
      <c r="C64" s="1195"/>
      <c r="D64" s="433" t="s">
        <v>86</v>
      </c>
      <c r="E64" s="434"/>
      <c r="F64" s="436"/>
      <c r="G64" s="435"/>
      <c r="H64" s="436"/>
      <c r="I64" s="436"/>
      <c r="J64" s="436"/>
      <c r="K64" s="436"/>
      <c r="L64" s="436"/>
      <c r="M64" s="436"/>
      <c r="N64" s="436"/>
      <c r="O64" s="436"/>
      <c r="P64" s="436"/>
    </row>
    <row r="65" spans="1:16" ht="12" customHeight="1">
      <c r="A65" s="1178">
        <v>15</v>
      </c>
      <c r="B65" s="1179" t="s">
        <v>106</v>
      </c>
      <c r="C65" s="1180" t="s">
        <v>107</v>
      </c>
      <c r="D65" s="417" t="s">
        <v>83</v>
      </c>
      <c r="E65" s="418">
        <f>26400+77240</f>
        <v>103640</v>
      </c>
      <c r="F65" s="419">
        <f>F66+F67+E65</f>
        <v>248855</v>
      </c>
      <c r="G65" s="419">
        <f aca="true" t="shared" si="14" ref="G65:N65">G66+G67+F65</f>
        <v>248855</v>
      </c>
      <c r="H65" s="419">
        <f t="shared" si="14"/>
        <v>248855</v>
      </c>
      <c r="I65" s="419">
        <f t="shared" si="14"/>
        <v>248855</v>
      </c>
      <c r="J65" s="419">
        <f t="shared" si="14"/>
        <v>248855</v>
      </c>
      <c r="K65" s="419">
        <f t="shared" si="14"/>
        <v>248895.04</v>
      </c>
      <c r="L65" s="419">
        <f t="shared" si="14"/>
        <v>248895.04</v>
      </c>
      <c r="M65" s="419">
        <f t="shared" si="14"/>
        <v>248895.04</v>
      </c>
      <c r="N65" s="419">
        <f t="shared" si="14"/>
        <v>248895.04</v>
      </c>
      <c r="O65" s="419">
        <f>O66+O67+N65</f>
        <v>248895.04</v>
      </c>
      <c r="P65" s="419">
        <f>P66+P67+O65</f>
        <v>240495.04</v>
      </c>
    </row>
    <row r="66" spans="1:16" ht="12" customHeight="1">
      <c r="A66" s="1178"/>
      <c r="B66" s="1179"/>
      <c r="C66" s="1180"/>
      <c r="D66" s="417" t="s">
        <v>84</v>
      </c>
      <c r="E66" s="418"/>
      <c r="F66" s="421"/>
      <c r="G66" s="419"/>
      <c r="H66" s="421">
        <v>-36000</v>
      </c>
      <c r="I66" s="421"/>
      <c r="J66" s="421"/>
      <c r="K66" s="421"/>
      <c r="L66" s="421"/>
      <c r="M66" s="421">
        <v>-8007</v>
      </c>
      <c r="N66" s="421"/>
      <c r="O66" s="421"/>
      <c r="P66" s="421">
        <v>-25400</v>
      </c>
    </row>
    <row r="67" spans="1:16" ht="12" customHeight="1">
      <c r="A67" s="1178"/>
      <c r="B67" s="1179"/>
      <c r="C67" s="1180"/>
      <c r="D67" s="417" t="s">
        <v>85</v>
      </c>
      <c r="E67" s="418"/>
      <c r="F67" s="421">
        <v>145215</v>
      </c>
      <c r="G67" s="419"/>
      <c r="H67" s="421">
        <v>36000</v>
      </c>
      <c r="I67" s="421"/>
      <c r="J67" s="421"/>
      <c r="K67" s="421">
        <v>40.04</v>
      </c>
      <c r="L67" s="421"/>
      <c r="M67" s="421">
        <v>8007</v>
      </c>
      <c r="N67" s="421"/>
      <c r="O67" s="421"/>
      <c r="P67" s="421">
        <v>17000</v>
      </c>
    </row>
    <row r="68" spans="1:16" ht="12" customHeight="1">
      <c r="A68" s="1178"/>
      <c r="B68" s="1179"/>
      <c r="C68" s="1180"/>
      <c r="D68" s="417" t="s">
        <v>86</v>
      </c>
      <c r="E68" s="418"/>
      <c r="F68" s="421"/>
      <c r="G68" s="419"/>
      <c r="H68" s="421"/>
      <c r="I68" s="421"/>
      <c r="J68" s="421"/>
      <c r="K68" s="421"/>
      <c r="L68" s="421"/>
      <c r="M68" s="421"/>
      <c r="N68" s="421"/>
      <c r="O68" s="421"/>
      <c r="P68" s="421"/>
    </row>
    <row r="69" spans="1:16" ht="12" customHeight="1">
      <c r="A69" s="1193">
        <v>16</v>
      </c>
      <c r="B69" s="1194" t="s">
        <v>108</v>
      </c>
      <c r="C69" s="1195" t="s">
        <v>572</v>
      </c>
      <c r="D69" s="433" t="s">
        <v>83</v>
      </c>
      <c r="E69" s="434">
        <f>25172.76+142645.62</f>
        <v>167818.38</v>
      </c>
      <c r="F69" s="435">
        <f>F70+F71+E69</f>
        <v>167818.38</v>
      </c>
      <c r="G69" s="435">
        <f aca="true" t="shared" si="15" ref="G69:N69">G70+G71+F69</f>
        <v>167818.38</v>
      </c>
      <c r="H69" s="435">
        <f t="shared" si="15"/>
        <v>167818.38</v>
      </c>
      <c r="I69" s="435">
        <f t="shared" si="15"/>
        <v>167818.38</v>
      </c>
      <c r="J69" s="435">
        <f t="shared" si="15"/>
        <v>167818.38</v>
      </c>
      <c r="K69" s="435">
        <f t="shared" si="15"/>
        <v>167818.38</v>
      </c>
      <c r="L69" s="435">
        <f t="shared" si="15"/>
        <v>167818.38</v>
      </c>
      <c r="M69" s="435">
        <f t="shared" si="15"/>
        <v>167818.38</v>
      </c>
      <c r="N69" s="435">
        <f t="shared" si="15"/>
        <v>167818.38</v>
      </c>
      <c r="O69" s="435">
        <f>O70+O71+N69</f>
        <v>167818.38</v>
      </c>
      <c r="P69" s="435">
        <f>P70+P71+O69</f>
        <v>167818.38</v>
      </c>
    </row>
    <row r="70" spans="1:16" ht="12" customHeight="1">
      <c r="A70" s="1193"/>
      <c r="B70" s="1194"/>
      <c r="C70" s="1195"/>
      <c r="D70" s="433" t="s">
        <v>84</v>
      </c>
      <c r="E70" s="434"/>
      <c r="F70" s="436"/>
      <c r="G70" s="435"/>
      <c r="H70" s="436"/>
      <c r="I70" s="436"/>
      <c r="J70" s="436"/>
      <c r="K70" s="436"/>
      <c r="L70" s="436">
        <v>-1735</v>
      </c>
      <c r="M70" s="436"/>
      <c r="N70" s="436"/>
      <c r="O70" s="436"/>
      <c r="P70" s="436"/>
    </row>
    <row r="71" spans="1:16" ht="12" customHeight="1">
      <c r="A71" s="1193"/>
      <c r="B71" s="1194"/>
      <c r="C71" s="1195"/>
      <c r="D71" s="433" t="s">
        <v>85</v>
      </c>
      <c r="E71" s="434"/>
      <c r="F71" s="436"/>
      <c r="G71" s="435"/>
      <c r="H71" s="436"/>
      <c r="I71" s="436"/>
      <c r="J71" s="436"/>
      <c r="K71" s="436"/>
      <c r="L71" s="436">
        <v>1735</v>
      </c>
      <c r="M71" s="436"/>
      <c r="N71" s="436"/>
      <c r="O71" s="436"/>
      <c r="P71" s="436"/>
    </row>
    <row r="72" spans="1:16" ht="12" customHeight="1">
      <c r="A72" s="1193"/>
      <c r="B72" s="1194"/>
      <c r="C72" s="1195"/>
      <c r="D72" s="433" t="s">
        <v>86</v>
      </c>
      <c r="E72" s="434"/>
      <c r="F72" s="436"/>
      <c r="G72" s="435"/>
      <c r="H72" s="436"/>
      <c r="I72" s="436"/>
      <c r="J72" s="436"/>
      <c r="K72" s="436"/>
      <c r="L72" s="436"/>
      <c r="M72" s="436"/>
      <c r="N72" s="436"/>
      <c r="O72" s="436"/>
      <c r="P72" s="436"/>
    </row>
    <row r="73" spans="1:16" ht="12" customHeight="1">
      <c r="A73" s="1178">
        <v>17</v>
      </c>
      <c r="B73" s="1179" t="s">
        <v>109</v>
      </c>
      <c r="C73" s="1180" t="s">
        <v>572</v>
      </c>
      <c r="D73" s="417" t="s">
        <v>83</v>
      </c>
      <c r="E73" s="418">
        <f>133415.64+756021.95</f>
        <v>889437.59</v>
      </c>
      <c r="F73" s="419">
        <f>F74+F75+E73</f>
        <v>889437.59</v>
      </c>
      <c r="G73" s="419">
        <f aca="true" t="shared" si="16" ref="G73:N73">G74+G75+F73</f>
        <v>889437.59</v>
      </c>
      <c r="H73" s="419">
        <f t="shared" si="16"/>
        <v>889437.59</v>
      </c>
      <c r="I73" s="419">
        <f t="shared" si="16"/>
        <v>889437.59</v>
      </c>
      <c r="J73" s="419">
        <f t="shared" si="16"/>
        <v>889437.59</v>
      </c>
      <c r="K73" s="419">
        <f t="shared" si="16"/>
        <v>889437.59</v>
      </c>
      <c r="L73" s="419">
        <f t="shared" si="16"/>
        <v>889437.59</v>
      </c>
      <c r="M73" s="419">
        <f t="shared" si="16"/>
        <v>889437.59</v>
      </c>
      <c r="N73" s="419">
        <f t="shared" si="16"/>
        <v>889437.59</v>
      </c>
      <c r="O73" s="419">
        <f>O74+O75+N73</f>
        <v>889437.59</v>
      </c>
      <c r="P73" s="419">
        <f>P74+P75+O73</f>
        <v>889437.59</v>
      </c>
    </row>
    <row r="74" spans="1:16" ht="12" customHeight="1">
      <c r="A74" s="1178"/>
      <c r="B74" s="1179"/>
      <c r="C74" s="1180"/>
      <c r="D74" s="417" t="s">
        <v>84</v>
      </c>
      <c r="E74" s="418"/>
      <c r="F74" s="421"/>
      <c r="G74" s="419"/>
      <c r="H74" s="421"/>
      <c r="I74" s="421"/>
      <c r="J74" s="421"/>
      <c r="K74" s="421"/>
      <c r="L74" s="421"/>
      <c r="M74" s="421"/>
      <c r="N74" s="421"/>
      <c r="O74" s="421"/>
      <c r="P74" s="421"/>
    </row>
    <row r="75" spans="1:16" ht="12" customHeight="1">
      <c r="A75" s="1178"/>
      <c r="B75" s="1179"/>
      <c r="C75" s="1180"/>
      <c r="D75" s="417" t="s">
        <v>85</v>
      </c>
      <c r="E75" s="418"/>
      <c r="F75" s="421"/>
      <c r="G75" s="419"/>
      <c r="H75" s="421"/>
      <c r="I75" s="421"/>
      <c r="J75" s="421"/>
      <c r="K75" s="421"/>
      <c r="L75" s="421"/>
      <c r="M75" s="421"/>
      <c r="N75" s="421"/>
      <c r="O75" s="421"/>
      <c r="P75" s="421"/>
    </row>
    <row r="76" spans="1:16" ht="12" customHeight="1">
      <c r="A76" s="1178"/>
      <c r="B76" s="1179"/>
      <c r="C76" s="1180"/>
      <c r="D76" s="417" t="s">
        <v>86</v>
      </c>
      <c r="E76" s="418"/>
      <c r="F76" s="421"/>
      <c r="G76" s="419"/>
      <c r="H76" s="421"/>
      <c r="I76" s="421"/>
      <c r="J76" s="421"/>
      <c r="K76" s="421"/>
      <c r="L76" s="421"/>
      <c r="M76" s="421"/>
      <c r="N76" s="421"/>
      <c r="O76" s="421"/>
      <c r="P76" s="421"/>
    </row>
    <row r="77" spans="1:16" ht="12" customHeight="1">
      <c r="A77" s="1193">
        <v>18</v>
      </c>
      <c r="B77" s="1194" t="s">
        <v>110</v>
      </c>
      <c r="C77" s="1195" t="s">
        <v>111</v>
      </c>
      <c r="D77" s="433" t="s">
        <v>83</v>
      </c>
      <c r="E77" s="434">
        <v>0</v>
      </c>
      <c r="F77" s="435">
        <v>0</v>
      </c>
      <c r="G77" s="435">
        <f aca="true" t="shared" si="17" ref="G77:N77">G78+G79+F77</f>
        <v>0</v>
      </c>
      <c r="H77" s="435">
        <f t="shared" si="17"/>
        <v>0</v>
      </c>
      <c r="I77" s="435">
        <f t="shared" si="17"/>
        <v>392366.5</v>
      </c>
      <c r="J77" s="435">
        <f t="shared" si="17"/>
        <v>392366.5</v>
      </c>
      <c r="K77" s="435">
        <f t="shared" si="17"/>
        <v>392366.5</v>
      </c>
      <c r="L77" s="435">
        <f t="shared" si="17"/>
        <v>392366.5</v>
      </c>
      <c r="M77" s="435">
        <f t="shared" si="17"/>
        <v>392366.5</v>
      </c>
      <c r="N77" s="435">
        <f t="shared" si="17"/>
        <v>392366.5</v>
      </c>
      <c r="O77" s="435">
        <f>O78+O79+N77</f>
        <v>392366.5</v>
      </c>
      <c r="P77" s="435">
        <f>P78+P79+O77</f>
        <v>382126.5</v>
      </c>
    </row>
    <row r="78" spans="1:16" ht="12" customHeight="1">
      <c r="A78" s="1193"/>
      <c r="B78" s="1194"/>
      <c r="C78" s="1195"/>
      <c r="D78" s="433" t="s">
        <v>84</v>
      </c>
      <c r="E78" s="434"/>
      <c r="F78" s="436"/>
      <c r="G78" s="435"/>
      <c r="H78" s="436"/>
      <c r="I78" s="436"/>
      <c r="J78" s="436"/>
      <c r="K78" s="436"/>
      <c r="L78" s="436"/>
      <c r="M78" s="436"/>
      <c r="N78" s="436">
        <v>-34500</v>
      </c>
      <c r="O78" s="436"/>
      <c r="P78" s="436">
        <v>-13740</v>
      </c>
    </row>
    <row r="79" spans="1:16" ht="12" customHeight="1">
      <c r="A79" s="1193"/>
      <c r="B79" s="1194"/>
      <c r="C79" s="1195"/>
      <c r="D79" s="433" t="s">
        <v>85</v>
      </c>
      <c r="E79" s="434"/>
      <c r="F79" s="436"/>
      <c r="G79" s="435"/>
      <c r="H79" s="436"/>
      <c r="I79" s="436">
        <v>392366.5</v>
      </c>
      <c r="J79" s="436"/>
      <c r="K79" s="436"/>
      <c r="L79" s="436"/>
      <c r="M79" s="436"/>
      <c r="N79" s="436">
        <v>34500</v>
      </c>
      <c r="O79" s="436"/>
      <c r="P79" s="436">
        <v>3500</v>
      </c>
    </row>
    <row r="80" spans="1:16" ht="12" customHeight="1">
      <c r="A80" s="1193"/>
      <c r="B80" s="1194"/>
      <c r="C80" s="1195"/>
      <c r="D80" s="433" t="s">
        <v>86</v>
      </c>
      <c r="E80" s="434"/>
      <c r="F80" s="436"/>
      <c r="G80" s="435"/>
      <c r="H80" s="436"/>
      <c r="I80" s="437" t="s">
        <v>87</v>
      </c>
      <c r="J80" s="436"/>
      <c r="K80" s="436"/>
      <c r="L80" s="436"/>
      <c r="M80" s="436"/>
      <c r="N80" s="436"/>
      <c r="O80" s="436"/>
      <c r="P80" s="436"/>
    </row>
    <row r="81" spans="1:16" ht="12" customHeight="1">
      <c r="A81" s="1178">
        <v>19</v>
      </c>
      <c r="B81" s="1179" t="s">
        <v>112</v>
      </c>
      <c r="C81" s="1180" t="s">
        <v>113</v>
      </c>
      <c r="D81" s="417" t="s">
        <v>83</v>
      </c>
      <c r="E81" s="418">
        <v>0</v>
      </c>
      <c r="F81" s="419">
        <v>0</v>
      </c>
      <c r="G81" s="419">
        <f aca="true" t="shared" si="18" ref="G81:N81">G82+G83+F81</f>
        <v>0</v>
      </c>
      <c r="H81" s="419">
        <f t="shared" si="18"/>
        <v>0</v>
      </c>
      <c r="I81" s="419">
        <f t="shared" si="18"/>
        <v>0</v>
      </c>
      <c r="J81" s="419">
        <f t="shared" si="18"/>
        <v>263378</v>
      </c>
      <c r="K81" s="419">
        <f t="shared" si="18"/>
        <v>263378</v>
      </c>
      <c r="L81" s="419">
        <f t="shared" si="18"/>
        <v>263378</v>
      </c>
      <c r="M81" s="419">
        <f t="shared" si="18"/>
        <v>263378</v>
      </c>
      <c r="N81" s="419">
        <f t="shared" si="18"/>
        <v>263378</v>
      </c>
      <c r="O81" s="419">
        <f>O82+O83+N81</f>
        <v>263378</v>
      </c>
      <c r="P81" s="419">
        <f>P82+P83+O81</f>
        <v>255530</v>
      </c>
    </row>
    <row r="82" spans="1:16" ht="12" customHeight="1">
      <c r="A82" s="1178"/>
      <c r="B82" s="1179"/>
      <c r="C82" s="1180"/>
      <c r="D82" s="417" t="s">
        <v>84</v>
      </c>
      <c r="E82" s="418"/>
      <c r="F82" s="421"/>
      <c r="G82" s="419"/>
      <c r="H82" s="421"/>
      <c r="I82" s="421"/>
      <c r="J82" s="421"/>
      <c r="K82" s="421"/>
      <c r="L82" s="421">
        <v>-1558</v>
      </c>
      <c r="M82" s="421"/>
      <c r="N82" s="421"/>
      <c r="O82" s="421"/>
      <c r="P82" s="421">
        <f>-6820-1028</f>
        <v>-7848</v>
      </c>
    </row>
    <row r="83" spans="1:16" ht="12" customHeight="1">
      <c r="A83" s="1178"/>
      <c r="B83" s="1179"/>
      <c r="C83" s="1180"/>
      <c r="D83" s="417" t="s">
        <v>85</v>
      </c>
      <c r="E83" s="418"/>
      <c r="F83" s="421"/>
      <c r="G83" s="419"/>
      <c r="H83" s="421"/>
      <c r="I83" s="421"/>
      <c r="J83" s="421">
        <v>263378</v>
      </c>
      <c r="K83" s="421"/>
      <c r="L83" s="421">
        <v>1558</v>
      </c>
      <c r="M83" s="421"/>
      <c r="N83" s="421"/>
      <c r="O83" s="421"/>
      <c r="P83" s="421"/>
    </row>
    <row r="84" spans="1:16" ht="12" customHeight="1">
      <c r="A84" s="1178"/>
      <c r="B84" s="1179"/>
      <c r="C84" s="1180"/>
      <c r="D84" s="417" t="s">
        <v>86</v>
      </c>
      <c r="E84" s="418"/>
      <c r="F84" s="421"/>
      <c r="G84" s="419"/>
      <c r="H84" s="421"/>
      <c r="I84" s="423"/>
      <c r="J84" s="423" t="s">
        <v>87</v>
      </c>
      <c r="K84" s="421"/>
      <c r="L84" s="421"/>
      <c r="M84" s="421"/>
      <c r="N84" s="421"/>
      <c r="O84" s="421"/>
      <c r="P84" s="421"/>
    </row>
    <row r="85" spans="1:16" ht="18" customHeight="1">
      <c r="A85" s="1196" t="s">
        <v>114</v>
      </c>
      <c r="B85" s="1197"/>
      <c r="C85" s="1197"/>
      <c r="D85" s="1197"/>
      <c r="E85" s="1197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</row>
    <row r="86" spans="1:16" ht="12" customHeight="1">
      <c r="A86" s="1187">
        <v>20</v>
      </c>
      <c r="B86" s="1185" t="s">
        <v>115</v>
      </c>
      <c r="C86" s="1198" t="s">
        <v>116</v>
      </c>
      <c r="D86" s="424" t="s">
        <v>83</v>
      </c>
      <c r="E86" s="438">
        <v>0</v>
      </c>
      <c r="F86" s="430">
        <f>E86+F88+F87</f>
        <v>1075</v>
      </c>
      <c r="G86" s="430">
        <f aca="true" t="shared" si="19" ref="G86:P86">F86+G88+G87</f>
        <v>1075</v>
      </c>
      <c r="H86" s="430">
        <f t="shared" si="19"/>
        <v>1075</v>
      </c>
      <c r="I86" s="430">
        <f t="shared" si="19"/>
        <v>1075</v>
      </c>
      <c r="J86" s="430">
        <f t="shared" si="19"/>
        <v>1075</v>
      </c>
      <c r="K86" s="430">
        <f t="shared" si="19"/>
        <v>1075</v>
      </c>
      <c r="L86" s="430">
        <f t="shared" si="19"/>
        <v>1075</v>
      </c>
      <c r="M86" s="430">
        <f t="shared" si="19"/>
        <v>1075</v>
      </c>
      <c r="N86" s="430">
        <f t="shared" si="19"/>
        <v>1075</v>
      </c>
      <c r="O86" s="430">
        <f t="shared" si="19"/>
        <v>1075</v>
      </c>
      <c r="P86" s="430">
        <f t="shared" si="19"/>
        <v>1075</v>
      </c>
    </row>
    <row r="87" spans="1:16" ht="12" customHeight="1">
      <c r="A87" s="1187"/>
      <c r="B87" s="1185"/>
      <c r="C87" s="1198"/>
      <c r="D87" s="424" t="s">
        <v>84</v>
      </c>
      <c r="E87" s="413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</row>
    <row r="88" spans="1:16" ht="12" customHeight="1">
      <c r="A88" s="1187"/>
      <c r="B88" s="1185"/>
      <c r="C88" s="1198"/>
      <c r="D88" s="424" t="s">
        <v>85</v>
      </c>
      <c r="E88" s="413"/>
      <c r="F88" s="431">
        <v>1075</v>
      </c>
      <c r="G88" s="431"/>
      <c r="H88" s="431"/>
      <c r="I88" s="431"/>
      <c r="J88" s="431"/>
      <c r="K88" s="431"/>
      <c r="L88" s="431"/>
      <c r="M88" s="431"/>
      <c r="N88" s="431"/>
      <c r="O88" s="431"/>
      <c r="P88" s="431"/>
    </row>
    <row r="89" spans="1:16" ht="12" customHeight="1">
      <c r="A89" s="1187"/>
      <c r="B89" s="1185"/>
      <c r="C89" s="1198"/>
      <c r="D89" s="424" t="s">
        <v>86</v>
      </c>
      <c r="E89" s="413"/>
      <c r="F89" s="431"/>
      <c r="G89" s="431"/>
      <c r="H89" s="431"/>
      <c r="I89" s="431"/>
      <c r="J89" s="431"/>
      <c r="K89" s="431"/>
      <c r="L89" s="431"/>
      <c r="M89" s="431"/>
      <c r="N89" s="431"/>
      <c r="O89" s="431"/>
      <c r="P89" s="431"/>
    </row>
    <row r="90" spans="1:16" ht="12" customHeight="1">
      <c r="A90" s="1178">
        <v>21</v>
      </c>
      <c r="B90" s="1179" t="s">
        <v>117</v>
      </c>
      <c r="C90" s="1199" t="s">
        <v>116</v>
      </c>
      <c r="D90" s="417" t="s">
        <v>83</v>
      </c>
      <c r="E90" s="439">
        <f>35403.08+200617.54</f>
        <v>236020.62</v>
      </c>
      <c r="F90" s="439">
        <f>E90+F92+F91</f>
        <v>236020.62</v>
      </c>
      <c r="G90" s="439">
        <f aca="true" t="shared" si="20" ref="G90:P90">F90+G92+G91</f>
        <v>236020.62</v>
      </c>
      <c r="H90" s="439">
        <f t="shared" si="20"/>
        <v>236020.62</v>
      </c>
      <c r="I90" s="439">
        <f t="shared" si="20"/>
        <v>236020.62</v>
      </c>
      <c r="J90" s="439">
        <f t="shared" si="20"/>
        <v>236020.62</v>
      </c>
      <c r="K90" s="439">
        <f t="shared" si="20"/>
        <v>266315.81</v>
      </c>
      <c r="L90" s="439">
        <f t="shared" si="20"/>
        <v>266315.81</v>
      </c>
      <c r="M90" s="439">
        <f t="shared" si="20"/>
        <v>266315.81</v>
      </c>
      <c r="N90" s="439">
        <f t="shared" si="20"/>
        <v>266315.81</v>
      </c>
      <c r="O90" s="439">
        <f>N90+O92+O91</f>
        <v>266315.81</v>
      </c>
      <c r="P90" s="439">
        <f t="shared" si="20"/>
        <v>266315.81</v>
      </c>
    </row>
    <row r="91" spans="1:16" ht="12" customHeight="1">
      <c r="A91" s="1178"/>
      <c r="B91" s="1179"/>
      <c r="C91" s="1199"/>
      <c r="D91" s="417" t="s">
        <v>84</v>
      </c>
      <c r="E91" s="440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</row>
    <row r="92" spans="1:16" ht="12" customHeight="1">
      <c r="A92" s="1178"/>
      <c r="B92" s="1179"/>
      <c r="C92" s="1199"/>
      <c r="D92" s="417" t="s">
        <v>85</v>
      </c>
      <c r="E92" s="441"/>
      <c r="F92" s="421"/>
      <c r="G92" s="421"/>
      <c r="H92" s="421"/>
      <c r="I92" s="421"/>
      <c r="J92" s="421"/>
      <c r="K92" s="421">
        <v>30295.19</v>
      </c>
      <c r="L92" s="421"/>
      <c r="M92" s="421"/>
      <c r="N92" s="421"/>
      <c r="O92" s="421"/>
      <c r="P92" s="421"/>
    </row>
    <row r="93" spans="1:16" ht="12" customHeight="1">
      <c r="A93" s="1178"/>
      <c r="B93" s="1179"/>
      <c r="C93" s="1199"/>
      <c r="D93" s="417" t="s">
        <v>86</v>
      </c>
      <c r="E93" s="44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</row>
    <row r="94" spans="1:16" ht="12" customHeight="1">
      <c r="A94" s="1193">
        <v>22</v>
      </c>
      <c r="B94" s="1194" t="s">
        <v>118</v>
      </c>
      <c r="C94" s="1200" t="s">
        <v>119</v>
      </c>
      <c r="D94" s="433" t="s">
        <v>83</v>
      </c>
      <c r="E94" s="442">
        <v>625470</v>
      </c>
      <c r="F94" s="435">
        <f>E94+F95+F96</f>
        <v>625470</v>
      </c>
      <c r="G94" s="435">
        <f aca="true" t="shared" si="21" ref="G94:P94">F94+G95+G96</f>
        <v>625470</v>
      </c>
      <c r="H94" s="435">
        <f t="shared" si="21"/>
        <v>625470</v>
      </c>
      <c r="I94" s="435">
        <f t="shared" si="21"/>
        <v>625470</v>
      </c>
      <c r="J94" s="435">
        <f t="shared" si="21"/>
        <v>625470</v>
      </c>
      <c r="K94" s="435">
        <f t="shared" si="21"/>
        <v>632936.42</v>
      </c>
      <c r="L94" s="435">
        <f t="shared" si="21"/>
        <v>632936.42</v>
      </c>
      <c r="M94" s="435">
        <f t="shared" si="21"/>
        <v>632936.42</v>
      </c>
      <c r="N94" s="435">
        <f t="shared" si="21"/>
        <v>632936.42</v>
      </c>
      <c r="O94" s="435">
        <f>N94+O95+O96</f>
        <v>632936.42</v>
      </c>
      <c r="P94" s="435">
        <f t="shared" si="21"/>
        <v>632936.42</v>
      </c>
    </row>
    <row r="95" spans="1:16" ht="12" customHeight="1">
      <c r="A95" s="1193"/>
      <c r="B95" s="1194"/>
      <c r="C95" s="1200"/>
      <c r="D95" s="433" t="s">
        <v>84</v>
      </c>
      <c r="E95" s="443"/>
      <c r="F95" s="436"/>
      <c r="G95" s="436"/>
      <c r="H95" s="436"/>
      <c r="I95" s="436"/>
      <c r="J95" s="436"/>
      <c r="K95" s="436"/>
      <c r="L95" s="436"/>
      <c r="M95" s="436"/>
      <c r="N95" s="436"/>
      <c r="O95" s="436"/>
      <c r="P95" s="436"/>
    </row>
    <row r="96" spans="1:16" ht="12" customHeight="1">
      <c r="A96" s="1193"/>
      <c r="B96" s="1194"/>
      <c r="C96" s="1200"/>
      <c r="D96" s="433" t="s">
        <v>85</v>
      </c>
      <c r="E96" s="443"/>
      <c r="F96" s="436"/>
      <c r="G96" s="436"/>
      <c r="H96" s="436"/>
      <c r="I96" s="436"/>
      <c r="J96" s="436"/>
      <c r="K96" s="436">
        <v>7466.42</v>
      </c>
      <c r="L96" s="436"/>
      <c r="M96" s="436"/>
      <c r="N96" s="436"/>
      <c r="O96" s="436"/>
      <c r="P96" s="436"/>
    </row>
    <row r="97" spans="1:16" ht="12" customHeight="1">
      <c r="A97" s="1193"/>
      <c r="B97" s="1194"/>
      <c r="C97" s="1200"/>
      <c r="D97" s="433" t="s">
        <v>86</v>
      </c>
      <c r="E97" s="443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</row>
    <row r="98" spans="1:16" ht="12" customHeight="1">
      <c r="A98" s="1178">
        <v>23</v>
      </c>
      <c r="B98" s="1179" t="s">
        <v>120</v>
      </c>
      <c r="C98" s="1199" t="s">
        <v>119</v>
      </c>
      <c r="D98" s="417" t="s">
        <v>83</v>
      </c>
      <c r="E98" s="439">
        <v>416830</v>
      </c>
      <c r="F98" s="419">
        <f>E98+F99+F100</f>
        <v>416830</v>
      </c>
      <c r="G98" s="419">
        <f aca="true" t="shared" si="22" ref="G98:N98">F98+G99+G100</f>
        <v>416830</v>
      </c>
      <c r="H98" s="419">
        <f t="shared" si="22"/>
        <v>416830</v>
      </c>
      <c r="I98" s="419">
        <f t="shared" si="22"/>
        <v>416830</v>
      </c>
      <c r="J98" s="419">
        <f t="shared" si="22"/>
        <v>416830</v>
      </c>
      <c r="K98" s="419">
        <f t="shared" si="22"/>
        <v>409637.54000000004</v>
      </c>
      <c r="L98" s="419">
        <f t="shared" si="22"/>
        <v>409637.54000000004</v>
      </c>
      <c r="M98" s="419">
        <f t="shared" si="22"/>
        <v>409637.54000000004</v>
      </c>
      <c r="N98" s="419">
        <f t="shared" si="22"/>
        <v>409637.54000000004</v>
      </c>
      <c r="O98" s="419">
        <f>N98+O99+O100</f>
        <v>409637.54000000004</v>
      </c>
      <c r="P98" s="419">
        <f>O98+P99+P100</f>
        <v>409637.54000000004</v>
      </c>
    </row>
    <row r="99" spans="1:16" ht="12" customHeight="1">
      <c r="A99" s="1178"/>
      <c r="B99" s="1179"/>
      <c r="C99" s="1199"/>
      <c r="D99" s="417" t="s">
        <v>84</v>
      </c>
      <c r="E99" s="441"/>
      <c r="F99" s="421"/>
      <c r="G99" s="421"/>
      <c r="H99" s="421"/>
      <c r="I99" s="421"/>
      <c r="J99" s="421"/>
      <c r="K99" s="421">
        <v>-11495.97</v>
      </c>
      <c r="L99" s="421"/>
      <c r="M99" s="421"/>
      <c r="N99" s="421"/>
      <c r="O99" s="421"/>
      <c r="P99" s="421"/>
    </row>
    <row r="100" spans="1:16" ht="12" customHeight="1">
      <c r="A100" s="1178"/>
      <c r="B100" s="1179"/>
      <c r="C100" s="1199"/>
      <c r="D100" s="417" t="s">
        <v>85</v>
      </c>
      <c r="E100" s="441"/>
      <c r="F100" s="421"/>
      <c r="G100" s="421"/>
      <c r="H100" s="421"/>
      <c r="I100" s="421"/>
      <c r="J100" s="421"/>
      <c r="K100" s="421">
        <v>4303.51</v>
      </c>
      <c r="L100" s="421"/>
      <c r="M100" s="421"/>
      <c r="N100" s="421"/>
      <c r="O100" s="421"/>
      <c r="P100" s="421"/>
    </row>
    <row r="101" spans="1:16" ht="12" customHeight="1">
      <c r="A101" s="1178"/>
      <c r="B101" s="1179"/>
      <c r="C101" s="1199"/>
      <c r="D101" s="417" t="s">
        <v>86</v>
      </c>
      <c r="E101" s="44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421"/>
    </row>
    <row r="102" spans="1:16" ht="12" customHeight="1">
      <c r="A102" s="1193">
        <v>24</v>
      </c>
      <c r="B102" s="1194" t="s">
        <v>121</v>
      </c>
      <c r="C102" s="1200" t="s">
        <v>122</v>
      </c>
      <c r="D102" s="433" t="s">
        <v>83</v>
      </c>
      <c r="E102" s="442">
        <v>62610.4</v>
      </c>
      <c r="F102" s="435">
        <f>E102+F103+F104</f>
        <v>62610.4</v>
      </c>
      <c r="G102" s="435">
        <f aca="true" t="shared" si="23" ref="G102:N102">F102+G103+G104</f>
        <v>62610.4</v>
      </c>
      <c r="H102" s="435">
        <f t="shared" si="23"/>
        <v>62610.4</v>
      </c>
      <c r="I102" s="435">
        <f t="shared" si="23"/>
        <v>62610.4</v>
      </c>
      <c r="J102" s="435">
        <f t="shared" si="23"/>
        <v>62610.4</v>
      </c>
      <c r="K102" s="435">
        <f t="shared" si="23"/>
        <v>60768.119999999995</v>
      </c>
      <c r="L102" s="435">
        <f t="shared" si="23"/>
        <v>60768.119999999995</v>
      </c>
      <c r="M102" s="435">
        <f t="shared" si="23"/>
        <v>60768.119999999995</v>
      </c>
      <c r="N102" s="435">
        <f t="shared" si="23"/>
        <v>60768.119999999995</v>
      </c>
      <c r="O102" s="435">
        <f>N102+O103+O104</f>
        <v>60768.119999999995</v>
      </c>
      <c r="P102" s="435">
        <f>O102+P103+P104</f>
        <v>60768.119999999995</v>
      </c>
    </row>
    <row r="103" spans="1:16" ht="12" customHeight="1">
      <c r="A103" s="1193"/>
      <c r="B103" s="1194"/>
      <c r="C103" s="1200"/>
      <c r="D103" s="433" t="s">
        <v>84</v>
      </c>
      <c r="E103" s="443"/>
      <c r="F103" s="436"/>
      <c r="G103" s="436">
        <v>-1600</v>
      </c>
      <c r="H103" s="436"/>
      <c r="I103" s="436"/>
      <c r="J103" s="436"/>
      <c r="K103" s="436">
        <v>-2148.8</v>
      </c>
      <c r="L103" s="436"/>
      <c r="M103" s="436"/>
      <c r="N103" s="436"/>
      <c r="O103" s="436"/>
      <c r="P103" s="436"/>
    </row>
    <row r="104" spans="1:16" ht="12" customHeight="1">
      <c r="A104" s="1193"/>
      <c r="B104" s="1194"/>
      <c r="C104" s="1200"/>
      <c r="D104" s="433" t="s">
        <v>85</v>
      </c>
      <c r="E104" s="443"/>
      <c r="F104" s="436"/>
      <c r="G104" s="436">
        <v>1600</v>
      </c>
      <c r="H104" s="436"/>
      <c r="I104" s="436"/>
      <c r="J104" s="436"/>
      <c r="K104" s="436">
        <v>306.52</v>
      </c>
      <c r="L104" s="436"/>
      <c r="M104" s="436"/>
      <c r="N104" s="436"/>
      <c r="O104" s="436"/>
      <c r="P104" s="436"/>
    </row>
    <row r="105" spans="1:16" ht="12" customHeight="1">
      <c r="A105" s="1193"/>
      <c r="B105" s="1194"/>
      <c r="C105" s="1200"/>
      <c r="D105" s="433" t="s">
        <v>86</v>
      </c>
      <c r="E105" s="443"/>
      <c r="F105" s="436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</row>
    <row r="106" spans="1:16" ht="12" customHeight="1">
      <c r="A106" s="1178">
        <v>25</v>
      </c>
      <c r="B106" s="1179" t="s">
        <v>123</v>
      </c>
      <c r="C106" s="1199" t="s">
        <v>572</v>
      </c>
      <c r="D106" s="417" t="s">
        <v>83</v>
      </c>
      <c r="E106" s="439">
        <v>30000</v>
      </c>
      <c r="F106" s="419">
        <f>E106+F107+F108</f>
        <v>30000</v>
      </c>
      <c r="G106" s="419">
        <f aca="true" t="shared" si="24" ref="G106:N106">F106+G107+G108</f>
        <v>30000</v>
      </c>
      <c r="H106" s="419">
        <f t="shared" si="24"/>
        <v>30000</v>
      </c>
      <c r="I106" s="419">
        <f t="shared" si="24"/>
        <v>30000</v>
      </c>
      <c r="J106" s="419">
        <f t="shared" si="24"/>
        <v>30000</v>
      </c>
      <c r="K106" s="419">
        <f t="shared" si="24"/>
        <v>30000</v>
      </c>
      <c r="L106" s="419">
        <f t="shared" si="24"/>
        <v>30000</v>
      </c>
      <c r="M106" s="419">
        <f t="shared" si="24"/>
        <v>30000</v>
      </c>
      <c r="N106" s="419">
        <f t="shared" si="24"/>
        <v>30000</v>
      </c>
      <c r="O106" s="419">
        <f>N106+O107+O108</f>
        <v>30000</v>
      </c>
      <c r="P106" s="419">
        <f>O106+P107+P108</f>
        <v>30000</v>
      </c>
    </row>
    <row r="107" spans="1:16" ht="12" customHeight="1">
      <c r="A107" s="1178"/>
      <c r="B107" s="1179"/>
      <c r="C107" s="1199"/>
      <c r="D107" s="417" t="s">
        <v>84</v>
      </c>
      <c r="E107" s="44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</row>
    <row r="108" spans="1:16" ht="12" customHeight="1">
      <c r="A108" s="1178"/>
      <c r="B108" s="1179"/>
      <c r="C108" s="1199"/>
      <c r="D108" s="417" t="s">
        <v>85</v>
      </c>
      <c r="E108" s="44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</row>
    <row r="109" spans="1:16" ht="12" customHeight="1">
      <c r="A109" s="1178"/>
      <c r="B109" s="1179"/>
      <c r="C109" s="1199"/>
      <c r="D109" s="417" t="s">
        <v>86</v>
      </c>
      <c r="E109" s="44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</row>
    <row r="110" spans="1:16" ht="12" customHeight="1">
      <c r="A110" s="1193">
        <v>26</v>
      </c>
      <c r="B110" s="1194" t="s">
        <v>124</v>
      </c>
      <c r="C110" s="1200" t="s">
        <v>125</v>
      </c>
      <c r="D110" s="433" t="s">
        <v>83</v>
      </c>
      <c r="E110" s="442">
        <v>30000</v>
      </c>
      <c r="F110" s="435">
        <v>0</v>
      </c>
      <c r="G110" s="435">
        <f aca="true" t="shared" si="25" ref="G110:N110">F110+G111+G112</f>
        <v>0</v>
      </c>
      <c r="H110" s="435">
        <f t="shared" si="25"/>
        <v>0</v>
      </c>
      <c r="I110" s="435">
        <f t="shared" si="25"/>
        <v>0</v>
      </c>
      <c r="J110" s="435">
        <f t="shared" si="25"/>
        <v>0</v>
      </c>
      <c r="K110" s="435">
        <f t="shared" si="25"/>
        <v>0</v>
      </c>
      <c r="L110" s="435">
        <f t="shared" si="25"/>
        <v>0</v>
      </c>
      <c r="M110" s="435">
        <f t="shared" si="25"/>
        <v>0</v>
      </c>
      <c r="N110" s="435">
        <f t="shared" si="25"/>
        <v>0</v>
      </c>
      <c r="O110" s="435">
        <f>N110+O111+O112</f>
        <v>0</v>
      </c>
      <c r="P110" s="435">
        <f>O110+P111+P112</f>
        <v>153200</v>
      </c>
    </row>
    <row r="111" spans="1:16" ht="12" customHeight="1">
      <c r="A111" s="1193"/>
      <c r="B111" s="1194"/>
      <c r="C111" s="1200"/>
      <c r="D111" s="433" t="s">
        <v>84</v>
      </c>
      <c r="E111" s="443"/>
      <c r="F111" s="436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</row>
    <row r="112" spans="1:16" ht="12" customHeight="1">
      <c r="A112" s="1193"/>
      <c r="B112" s="1194"/>
      <c r="C112" s="1200"/>
      <c r="D112" s="433" t="s">
        <v>85</v>
      </c>
      <c r="E112" s="443"/>
      <c r="F112" s="436"/>
      <c r="G112" s="436"/>
      <c r="H112" s="436"/>
      <c r="I112" s="436"/>
      <c r="J112" s="436"/>
      <c r="K112" s="436"/>
      <c r="L112" s="436"/>
      <c r="M112" s="436"/>
      <c r="N112" s="436"/>
      <c r="O112" s="436"/>
      <c r="P112" s="436">
        <v>153200</v>
      </c>
    </row>
    <row r="113" spans="1:16" ht="12" customHeight="1">
      <c r="A113" s="1193"/>
      <c r="B113" s="1194"/>
      <c r="C113" s="1200"/>
      <c r="D113" s="433" t="s">
        <v>86</v>
      </c>
      <c r="E113" s="443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7" t="s">
        <v>87</v>
      </c>
    </row>
    <row r="114" spans="1:16" ht="25.5" customHeight="1">
      <c r="A114" s="1201" t="s">
        <v>126</v>
      </c>
      <c r="B114" s="1202"/>
      <c r="C114" s="1202"/>
      <c r="D114" s="1203"/>
      <c r="E114" s="444">
        <f>E9+E13+E17+E21+E25+E29+E33+E37+E41+E45+E49+E53+E57+E61+E65+E69+E73+E77+E81+E86+E90+E94+E98+E102+E106</f>
        <v>8631710.549999999</v>
      </c>
      <c r="F114" s="444">
        <f aca="true" t="shared" si="26" ref="F114:O114">F9+F13+F17+F21+F25+F29+F33+F37+F41+F45+F49+F53+F57+F61+F65+F69+F73+F77+F81+F86+F90+F94+F98+F102+F106</f>
        <v>8778400.549999999</v>
      </c>
      <c r="G114" s="444">
        <f t="shared" si="26"/>
        <v>8778400.549999999</v>
      </c>
      <c r="H114" s="444">
        <f t="shared" si="26"/>
        <v>8778400.549999999</v>
      </c>
      <c r="I114" s="444">
        <f t="shared" si="26"/>
        <v>9195337.15</v>
      </c>
      <c r="J114" s="444">
        <f t="shared" si="26"/>
        <v>9458715.15</v>
      </c>
      <c r="K114" s="444">
        <f t="shared" si="26"/>
        <v>11054965.03</v>
      </c>
      <c r="L114" s="444">
        <f t="shared" si="26"/>
        <v>11054965.03</v>
      </c>
      <c r="M114" s="444">
        <f t="shared" si="26"/>
        <v>11054965.03</v>
      </c>
      <c r="N114" s="444">
        <f t="shared" si="26"/>
        <v>11054965.03</v>
      </c>
      <c r="O114" s="444">
        <f t="shared" si="26"/>
        <v>11054965.03</v>
      </c>
      <c r="P114" s="444">
        <f>P9+P13+P17+P21+P25+P29+P33+P37+P41+P45+P49+P53+P57+P61+P65+P69+P73+P77+P81+P86+P90+P94+P98+P102+P106+P110</f>
        <v>11397102.790000001</v>
      </c>
    </row>
    <row r="115" spans="1:16" ht="14.25" customHeight="1">
      <c r="A115" s="445" t="s">
        <v>128</v>
      </c>
      <c r="B115" s="446"/>
      <c r="C115" s="447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</row>
    <row r="116" spans="1:16" ht="13.5" customHeight="1">
      <c r="A116" s="451"/>
      <c r="B116" s="449"/>
      <c r="C116" s="449"/>
      <c r="D116" s="23"/>
      <c r="E116" s="23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</row>
    <row r="117" spans="1:16" ht="12.75">
      <c r="A117" s="23"/>
      <c r="B117" s="23"/>
      <c r="C117" s="23"/>
      <c r="D117" s="23"/>
      <c r="E117" s="23"/>
      <c r="F117" s="449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</row>
    <row r="118" spans="6:16" ht="12.75"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</row>
    <row r="119" spans="6:16" ht="12.75"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</row>
    <row r="120" spans="6:16" ht="12.75"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</row>
    <row r="121" spans="6:16" ht="12.75"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</row>
    <row r="122" spans="5:16" ht="12.75">
      <c r="E122" s="452"/>
      <c r="F122" s="452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</row>
    <row r="123" spans="5:16" ht="12.75">
      <c r="E123" s="452"/>
      <c r="F123" s="452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</row>
    <row r="124" spans="5:16" ht="12.75">
      <c r="E124" s="452"/>
      <c r="F124" s="452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</row>
    <row r="125" spans="5:16" ht="12.75">
      <c r="E125" s="452"/>
      <c r="F125" s="452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</row>
    <row r="126" spans="5:16" ht="12.75">
      <c r="E126" s="452"/>
      <c r="F126" s="452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</row>
    <row r="127" spans="5:16" ht="12.75">
      <c r="E127" s="452"/>
      <c r="F127" s="452"/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</row>
    <row r="128" spans="5:16" ht="12.75">
      <c r="E128" s="452"/>
      <c r="F128" s="452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</row>
    <row r="129" spans="5:16" ht="19.5" customHeight="1">
      <c r="E129" s="452"/>
      <c r="F129" s="452"/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</row>
    <row r="130" spans="5:16" ht="12.75">
      <c r="E130" s="452"/>
      <c r="F130" s="452"/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</row>
    <row r="131" spans="5:16" ht="12.75">
      <c r="E131" s="452"/>
      <c r="F131" s="452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</row>
    <row r="132" spans="5:16" ht="12.75">
      <c r="E132" s="452"/>
      <c r="F132" s="452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</row>
    <row r="133" spans="5:16" ht="12.75">
      <c r="E133" s="452"/>
      <c r="F133" s="452"/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</row>
    <row r="134" spans="5:16" ht="12.75">
      <c r="E134" s="452"/>
      <c r="F134" s="452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</row>
    <row r="135" spans="5:16" ht="12.75">
      <c r="E135" s="452"/>
      <c r="F135" s="452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</row>
    <row r="136" spans="5:16" ht="12.75">
      <c r="E136" s="452"/>
      <c r="F136" s="452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</row>
    <row r="137" spans="5:16" ht="12.75">
      <c r="E137" s="452"/>
      <c r="F137" s="452"/>
      <c r="G137" s="450"/>
      <c r="H137" s="450"/>
      <c r="I137" s="450"/>
      <c r="J137" s="450"/>
      <c r="K137" s="450"/>
      <c r="L137" s="450"/>
      <c r="M137" s="450"/>
      <c r="N137" s="450"/>
      <c r="O137" s="450"/>
      <c r="P137" s="450"/>
    </row>
    <row r="138" spans="5:16" ht="12.75">
      <c r="E138" s="452"/>
      <c r="F138" s="452"/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</row>
    <row r="139" spans="5:16" ht="12.75">
      <c r="E139" s="452"/>
      <c r="F139" s="452"/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</row>
    <row r="140" spans="5:16" ht="12.75">
      <c r="E140" s="452"/>
      <c r="F140" s="452"/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</row>
    <row r="141" spans="5:16" ht="12.75">
      <c r="E141" s="452"/>
      <c r="F141" s="452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</row>
    <row r="142" spans="5:16" ht="12.75">
      <c r="E142" s="453"/>
      <c r="F142" s="452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</row>
    <row r="143" spans="6:16" ht="12.75"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</row>
    <row r="144" spans="6:16" ht="12.75">
      <c r="F144" s="450"/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</row>
    <row r="145" spans="6:16" ht="12.75"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</row>
    <row r="146" spans="6:16" ht="12.75">
      <c r="F146" s="450"/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</row>
    <row r="147" spans="6:16" ht="12.75"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</row>
    <row r="148" spans="6:16" ht="12.75">
      <c r="F148" s="450"/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</row>
    <row r="149" spans="6:16" ht="12.75"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</row>
    <row r="150" spans="6:16" ht="12.75">
      <c r="F150" s="450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</row>
    <row r="151" spans="6:16" ht="12.75">
      <c r="F151" s="450"/>
      <c r="G151" s="450"/>
      <c r="H151" s="450"/>
      <c r="I151" s="450"/>
      <c r="J151" s="450"/>
      <c r="K151" s="450"/>
      <c r="L151" s="450"/>
      <c r="M151" s="450"/>
      <c r="N151" s="450"/>
      <c r="O151" s="450"/>
      <c r="P151" s="450"/>
    </row>
    <row r="152" spans="6:16" ht="12.75">
      <c r="F152" s="450"/>
      <c r="G152" s="450"/>
      <c r="H152" s="450"/>
      <c r="I152" s="450"/>
      <c r="J152" s="450"/>
      <c r="K152" s="450"/>
      <c r="L152" s="450"/>
      <c r="M152" s="450"/>
      <c r="N152" s="450"/>
      <c r="O152" s="450"/>
      <c r="P152" s="450"/>
    </row>
    <row r="153" spans="6:16" ht="12.75"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</row>
    <row r="154" spans="6:16" ht="12.75"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</row>
    <row r="155" spans="6:16" ht="12.75"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</row>
    <row r="156" spans="6:16" ht="12.75"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</row>
    <row r="157" spans="6:16" ht="12.75">
      <c r="F157" s="450"/>
      <c r="G157" s="450"/>
      <c r="H157" s="450"/>
      <c r="I157" s="450"/>
      <c r="J157" s="450"/>
      <c r="K157" s="450"/>
      <c r="L157" s="450"/>
      <c r="M157" s="450"/>
      <c r="N157" s="450"/>
      <c r="O157" s="450"/>
      <c r="P157" s="450"/>
    </row>
    <row r="158" spans="6:16" ht="12.75"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</row>
    <row r="159" spans="6:16" ht="12.75"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</row>
    <row r="160" spans="6:16" ht="12.75"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</row>
    <row r="161" spans="6:16" ht="12.75">
      <c r="F161" s="450"/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</row>
    <row r="162" spans="6:16" ht="12.75">
      <c r="F162" s="450"/>
      <c r="G162" s="450"/>
      <c r="H162" s="450"/>
      <c r="I162" s="450"/>
      <c r="J162" s="450"/>
      <c r="K162" s="450"/>
      <c r="L162" s="450"/>
      <c r="M162" s="450"/>
      <c r="N162" s="450"/>
      <c r="O162" s="450"/>
      <c r="P162" s="450"/>
    </row>
    <row r="163" spans="6:16" ht="12.75">
      <c r="F163" s="450"/>
      <c r="G163" s="450"/>
      <c r="H163" s="450"/>
      <c r="I163" s="450"/>
      <c r="J163" s="450"/>
      <c r="K163" s="450"/>
      <c r="L163" s="450"/>
      <c r="M163" s="450"/>
      <c r="N163" s="450"/>
      <c r="O163" s="450"/>
      <c r="P163" s="450"/>
    </row>
  </sheetData>
  <sheetProtection/>
  <mergeCells count="86">
    <mergeCell ref="A102:A105"/>
    <mergeCell ref="B102:B105"/>
    <mergeCell ref="C102:C105"/>
    <mergeCell ref="A114:D114"/>
    <mergeCell ref="A106:A109"/>
    <mergeCell ref="B106:B109"/>
    <mergeCell ref="C106:C109"/>
    <mergeCell ref="A110:A113"/>
    <mergeCell ref="B110:B113"/>
    <mergeCell ref="C110:C113"/>
    <mergeCell ref="A94:A97"/>
    <mergeCell ref="B94:B97"/>
    <mergeCell ref="C94:C97"/>
    <mergeCell ref="A98:A101"/>
    <mergeCell ref="B98:B101"/>
    <mergeCell ref="C98:C101"/>
    <mergeCell ref="A85:E85"/>
    <mergeCell ref="A86:A89"/>
    <mergeCell ref="B86:B89"/>
    <mergeCell ref="C86:C89"/>
    <mergeCell ref="A90:A93"/>
    <mergeCell ref="B90:B93"/>
    <mergeCell ref="C90:C93"/>
    <mergeCell ref="A77:A80"/>
    <mergeCell ref="B77:B80"/>
    <mergeCell ref="C77:C80"/>
    <mergeCell ref="A81:A84"/>
    <mergeCell ref="B81:B84"/>
    <mergeCell ref="C81:C84"/>
    <mergeCell ref="A69:A72"/>
    <mergeCell ref="B69:B72"/>
    <mergeCell ref="C69:C72"/>
    <mergeCell ref="A73:A76"/>
    <mergeCell ref="B73:B76"/>
    <mergeCell ref="C73:C76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5:A48"/>
    <mergeCell ref="B45:B48"/>
    <mergeCell ref="C45:C48"/>
    <mergeCell ref="A49:A52"/>
    <mergeCell ref="B49:B52"/>
    <mergeCell ref="C49:C52"/>
    <mergeCell ref="A37:A40"/>
    <mergeCell ref="B37:B40"/>
    <mergeCell ref="C37:C40"/>
    <mergeCell ref="A41:A44"/>
    <mergeCell ref="B41:B44"/>
    <mergeCell ref="C41:C44"/>
    <mergeCell ref="A29:A32"/>
    <mergeCell ref="B29:B32"/>
    <mergeCell ref="C29:C32"/>
    <mergeCell ref="A33:A36"/>
    <mergeCell ref="B33:B36"/>
    <mergeCell ref="C33:C36"/>
    <mergeCell ref="A21:A24"/>
    <mergeCell ref="B21:B24"/>
    <mergeCell ref="C21:C24"/>
    <mergeCell ref="A25:A28"/>
    <mergeCell ref="B25:B28"/>
    <mergeCell ref="C25:C28"/>
    <mergeCell ref="A13:A16"/>
    <mergeCell ref="B13:B16"/>
    <mergeCell ref="C13:C16"/>
    <mergeCell ref="A17:A20"/>
    <mergeCell ref="B17:B20"/>
    <mergeCell ref="C17:C20"/>
    <mergeCell ref="E5:P6"/>
    <mergeCell ref="A8:D8"/>
    <mergeCell ref="A9:A12"/>
    <mergeCell ref="B9:B12"/>
    <mergeCell ref="C9:C12"/>
    <mergeCell ref="A5:A7"/>
    <mergeCell ref="B5:B7"/>
    <mergeCell ref="C5:C7"/>
    <mergeCell ref="D5:D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W196"/>
  <sheetViews>
    <sheetView zoomScalePageLayoutView="0" workbookViewId="0" topLeftCell="A1">
      <selection activeCell="G41" sqref="G40:G41"/>
    </sheetView>
  </sheetViews>
  <sheetFormatPr defaultColWidth="9.140625" defaultRowHeight="12.75"/>
  <cols>
    <col min="1" max="1" width="4.28125" style="23" customWidth="1"/>
    <col min="2" max="2" width="31.28125" style="23" customWidth="1"/>
    <col min="3" max="3" width="9.140625" style="23" customWidth="1"/>
    <col min="4" max="4" width="16.00390625" style="23" customWidth="1"/>
    <col min="5" max="5" width="15.7109375" style="23" customWidth="1"/>
    <col min="6" max="6" width="16.7109375" style="23" customWidth="1"/>
    <col min="7" max="7" width="20.421875" style="23" customWidth="1"/>
    <col min="8" max="8" width="20.140625" style="23" customWidth="1"/>
    <col min="9" max="9" width="14.00390625" style="23" customWidth="1"/>
    <col min="10" max="10" width="12.8515625" style="23" customWidth="1"/>
    <col min="11" max="11" width="14.57421875" style="23" customWidth="1"/>
    <col min="12" max="16384" width="9.140625" style="23" customWidth="1"/>
  </cols>
  <sheetData>
    <row r="2" spans="1:23" ht="12.75">
      <c r="A2" s="43"/>
      <c r="B2" s="43"/>
      <c r="C2" s="51"/>
      <c r="D2" s="51"/>
      <c r="E2" s="51"/>
      <c r="F2" s="51"/>
      <c r="G2" s="43"/>
      <c r="H2" s="43"/>
      <c r="I2" s="159"/>
      <c r="J2" s="160"/>
      <c r="K2" s="160"/>
      <c r="L2" s="160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2.75">
      <c r="A3" s="43"/>
      <c r="B3" s="43"/>
      <c r="C3" s="51"/>
      <c r="D3" s="51"/>
      <c r="E3" s="51"/>
      <c r="F3" s="51"/>
      <c r="G3" s="43"/>
      <c r="H3" s="43"/>
      <c r="I3" s="159"/>
      <c r="J3" s="160"/>
      <c r="K3" s="160"/>
      <c r="L3" s="160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2.75">
      <c r="A4" s="43"/>
      <c r="B4" s="43"/>
      <c r="C4" s="51"/>
      <c r="D4" s="51"/>
      <c r="E4" s="51"/>
      <c r="F4" s="51"/>
      <c r="G4" s="43"/>
      <c r="H4" s="43"/>
      <c r="I4" s="159"/>
      <c r="J4" s="160"/>
      <c r="K4" s="160"/>
      <c r="L4" s="160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2.75">
      <c r="A5" s="43"/>
      <c r="B5" s="43"/>
      <c r="C5" s="51"/>
      <c r="D5" s="51"/>
      <c r="E5" s="51"/>
      <c r="F5" s="51"/>
      <c r="G5" s="43"/>
      <c r="H5" s="43"/>
      <c r="I5" s="159"/>
      <c r="J5" s="160"/>
      <c r="K5" s="160"/>
      <c r="L5" s="160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2.75">
      <c r="A6" s="43"/>
      <c r="B6" s="43"/>
      <c r="C6" s="51"/>
      <c r="D6" s="51"/>
      <c r="E6" s="51"/>
      <c r="F6" s="51"/>
      <c r="G6" s="43"/>
      <c r="H6" s="43"/>
      <c r="I6" s="159"/>
      <c r="J6" s="160"/>
      <c r="K6" s="160"/>
      <c r="L6" s="160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2.75">
      <c r="A7" s="43"/>
      <c r="B7" s="43"/>
      <c r="C7" s="51"/>
      <c r="D7" s="51"/>
      <c r="E7" s="51"/>
      <c r="F7" s="51"/>
      <c r="G7" s="43"/>
      <c r="H7" s="43"/>
      <c r="I7" s="159"/>
      <c r="J7" s="160"/>
      <c r="K7" s="160"/>
      <c r="L7" s="160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2.75">
      <c r="A8" s="43"/>
      <c r="B8" s="43"/>
      <c r="C8" s="51"/>
      <c r="D8" s="51"/>
      <c r="E8" s="51"/>
      <c r="F8" s="51"/>
      <c r="G8" s="43"/>
      <c r="H8" s="43"/>
      <c r="I8" s="159"/>
      <c r="J8" s="160"/>
      <c r="K8" s="160"/>
      <c r="L8" s="160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2.75">
      <c r="A9" s="43"/>
      <c r="B9" s="43"/>
      <c r="C9" s="43"/>
      <c r="D9" s="43"/>
      <c r="E9" s="43"/>
      <c r="F9" s="43"/>
      <c r="G9" s="43"/>
      <c r="H9" s="43"/>
      <c r="I9" s="159"/>
      <c r="J9" s="160"/>
      <c r="K9" s="160"/>
      <c r="L9" s="160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2.75">
      <c r="A10" s="43"/>
      <c r="B10" s="43"/>
      <c r="C10" s="43"/>
      <c r="D10" s="43"/>
      <c r="E10" s="43"/>
      <c r="F10" s="43"/>
      <c r="G10" s="43"/>
      <c r="H10" s="43"/>
      <c r="I10" s="159"/>
      <c r="J10" s="160"/>
      <c r="K10" s="160"/>
      <c r="L10" s="160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12.75">
      <c r="A11" s="43"/>
      <c r="B11" s="43"/>
      <c r="C11" s="43"/>
      <c r="D11" s="43"/>
      <c r="E11" s="43"/>
      <c r="F11" s="43"/>
      <c r="G11" s="43"/>
      <c r="H11" s="43"/>
      <c r="I11" s="159"/>
      <c r="J11" s="160"/>
      <c r="K11" s="160"/>
      <c r="L11" s="160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2.75">
      <c r="A12" s="43"/>
      <c r="B12" s="43"/>
      <c r="C12" s="43"/>
      <c r="D12" s="43"/>
      <c r="E12" s="43"/>
      <c r="F12" s="43"/>
      <c r="G12" s="43"/>
      <c r="H12" s="43"/>
      <c r="I12" s="159"/>
      <c r="J12" s="160"/>
      <c r="K12" s="160"/>
      <c r="L12" s="160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2.75">
      <c r="A13" s="43"/>
      <c r="B13" s="43"/>
      <c r="C13" s="43"/>
      <c r="D13" s="43"/>
      <c r="E13" s="43"/>
      <c r="F13" s="43"/>
      <c r="G13" s="43"/>
      <c r="H13" s="43"/>
      <c r="I13" s="159"/>
      <c r="J13" s="160"/>
      <c r="K13" s="160"/>
      <c r="L13" s="160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12.75">
      <c r="A14" s="43"/>
      <c r="B14" s="43"/>
      <c r="C14" s="43"/>
      <c r="D14" s="43"/>
      <c r="E14" s="43"/>
      <c r="F14" s="43"/>
      <c r="G14" s="43"/>
      <c r="H14" s="43"/>
      <c r="I14" s="159"/>
      <c r="J14" s="160"/>
      <c r="K14" s="160"/>
      <c r="L14" s="160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12.75">
      <c r="A15" s="43"/>
      <c r="B15" s="43"/>
      <c r="C15" s="43"/>
      <c r="D15" s="43"/>
      <c r="E15" s="43"/>
      <c r="F15" s="43"/>
      <c r="G15" s="43"/>
      <c r="H15" s="43"/>
      <c r="I15" s="159"/>
      <c r="J15" s="160"/>
      <c r="K15" s="160"/>
      <c r="L15" s="160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2.75">
      <c r="A16" s="43"/>
      <c r="B16" s="43"/>
      <c r="C16" s="43"/>
      <c r="D16" s="43"/>
      <c r="E16" s="43"/>
      <c r="F16" s="43"/>
      <c r="G16" s="43"/>
      <c r="H16" s="43"/>
      <c r="I16" s="159"/>
      <c r="J16" s="160"/>
      <c r="K16" s="160"/>
      <c r="L16" s="160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12.75">
      <c r="A17" s="43"/>
      <c r="B17" s="43"/>
      <c r="C17" s="43"/>
      <c r="D17" s="43"/>
      <c r="E17" s="43"/>
      <c r="F17" s="43"/>
      <c r="G17" s="43"/>
      <c r="H17" s="43"/>
      <c r="I17" s="159"/>
      <c r="J17" s="160"/>
      <c r="K17" s="160"/>
      <c r="L17" s="160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2.75">
      <c r="A18" s="43"/>
      <c r="B18" s="43"/>
      <c r="C18" s="43"/>
      <c r="D18" s="43"/>
      <c r="E18" s="43"/>
      <c r="F18" s="43"/>
      <c r="G18" s="43"/>
      <c r="H18" s="43"/>
      <c r="I18" s="159"/>
      <c r="J18" s="160"/>
      <c r="K18" s="160"/>
      <c r="L18" s="160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2.75">
      <c r="A19" s="43"/>
      <c r="B19" s="43"/>
      <c r="C19" s="43"/>
      <c r="D19" s="43"/>
      <c r="E19" s="43"/>
      <c r="F19" s="43"/>
      <c r="G19" s="43"/>
      <c r="H19" s="43"/>
      <c r="I19" s="159"/>
      <c r="J19" s="160"/>
      <c r="K19" s="160"/>
      <c r="L19" s="160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2.75">
      <c r="A20" s="43"/>
      <c r="B20" s="43"/>
      <c r="C20" s="43"/>
      <c r="D20" s="43"/>
      <c r="E20" s="43"/>
      <c r="F20" s="43"/>
      <c r="G20" s="43"/>
      <c r="H20" s="43"/>
      <c r="I20" s="159"/>
      <c r="J20" s="160"/>
      <c r="K20" s="160"/>
      <c r="L20" s="160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2.75">
      <c r="A21" s="43"/>
      <c r="B21" s="43"/>
      <c r="C21" s="43"/>
      <c r="D21" s="43"/>
      <c r="E21" s="43"/>
      <c r="F21" s="43"/>
      <c r="G21" s="43"/>
      <c r="H21" s="43"/>
      <c r="I21" s="159"/>
      <c r="J21" s="160"/>
      <c r="K21" s="160"/>
      <c r="L21" s="160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2.75">
      <c r="A22" s="43"/>
      <c r="B22" s="43"/>
      <c r="C22" s="43"/>
      <c r="D22" s="43"/>
      <c r="E22" s="43"/>
      <c r="F22" s="43"/>
      <c r="G22" s="43"/>
      <c r="H22" s="43"/>
      <c r="I22" s="159"/>
      <c r="J22" s="160"/>
      <c r="K22" s="160"/>
      <c r="L22" s="160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2.75">
      <c r="A23" s="43"/>
      <c r="B23" s="43"/>
      <c r="C23" s="43"/>
      <c r="D23" s="43"/>
      <c r="E23" s="43"/>
      <c r="F23" s="43"/>
      <c r="G23" s="43"/>
      <c r="H23" s="43"/>
      <c r="I23" s="159"/>
      <c r="J23" s="160"/>
      <c r="K23" s="160"/>
      <c r="L23" s="160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2.75">
      <c r="A24" s="43"/>
      <c r="B24" s="43"/>
      <c r="C24" s="43"/>
      <c r="D24" s="43"/>
      <c r="E24" s="43"/>
      <c r="F24" s="43"/>
      <c r="G24" s="43"/>
      <c r="H24" s="43"/>
      <c r="I24" s="159"/>
      <c r="J24" s="160"/>
      <c r="K24" s="160"/>
      <c r="L24" s="160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2.75">
      <c r="A25" s="43"/>
      <c r="B25" s="43"/>
      <c r="C25" s="43"/>
      <c r="D25" s="43"/>
      <c r="E25" s="43"/>
      <c r="F25" s="43"/>
      <c r="G25" s="43"/>
      <c r="H25" s="43"/>
      <c r="I25" s="159"/>
      <c r="J25" s="160"/>
      <c r="K25" s="160"/>
      <c r="L25" s="160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2.75">
      <c r="A26" s="43"/>
      <c r="B26" s="43"/>
      <c r="C26" s="43"/>
      <c r="D26" s="43"/>
      <c r="E26" s="43"/>
      <c r="F26" s="43"/>
      <c r="G26" s="43"/>
      <c r="H26" s="43"/>
      <c r="I26" s="159"/>
      <c r="J26" s="160"/>
      <c r="K26" s="160"/>
      <c r="L26" s="160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2.75">
      <c r="A27" s="43"/>
      <c r="B27" s="43"/>
      <c r="C27" s="43"/>
      <c r="D27" s="43"/>
      <c r="E27" s="43"/>
      <c r="F27" s="43"/>
      <c r="G27" s="43"/>
      <c r="H27" s="43"/>
      <c r="I27" s="159"/>
      <c r="J27" s="160"/>
      <c r="K27" s="160"/>
      <c r="L27" s="160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2.75">
      <c r="A28" s="43"/>
      <c r="B28" s="43"/>
      <c r="C28" s="43"/>
      <c r="D28" s="43"/>
      <c r="E28" s="43"/>
      <c r="F28" s="43"/>
      <c r="G28" s="43"/>
      <c r="H28" s="43"/>
      <c r="I28" s="159"/>
      <c r="J28" s="160"/>
      <c r="K28" s="160"/>
      <c r="L28" s="160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2.75">
      <c r="A29" s="43"/>
      <c r="B29" s="43"/>
      <c r="C29" s="43"/>
      <c r="D29" s="43"/>
      <c r="E29" s="43"/>
      <c r="F29" s="43"/>
      <c r="G29" s="43"/>
      <c r="H29" s="43"/>
      <c r="I29" s="159"/>
      <c r="J29" s="160"/>
      <c r="K29" s="160"/>
      <c r="L29" s="160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2.75">
      <c r="A30" s="43"/>
      <c r="B30" s="43"/>
      <c r="C30" s="43"/>
      <c r="D30" s="43"/>
      <c r="E30" s="43"/>
      <c r="F30" s="43"/>
      <c r="G30" s="43"/>
      <c r="H30" s="43"/>
      <c r="I30" s="159"/>
      <c r="J30" s="160"/>
      <c r="K30" s="160"/>
      <c r="L30" s="160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2.75">
      <c r="A31" s="43"/>
      <c r="B31" s="43"/>
      <c r="C31" s="43"/>
      <c r="D31" s="43"/>
      <c r="E31" s="43"/>
      <c r="F31" s="43"/>
      <c r="G31" s="43"/>
      <c r="H31" s="43"/>
      <c r="I31" s="159"/>
      <c r="J31" s="160"/>
      <c r="K31" s="160"/>
      <c r="L31" s="160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2.75">
      <c r="A32" s="43"/>
      <c r="B32" s="43"/>
      <c r="C32" s="43"/>
      <c r="D32" s="43"/>
      <c r="E32" s="43"/>
      <c r="F32" s="43"/>
      <c r="G32" s="43"/>
      <c r="H32" s="43"/>
      <c r="I32" s="159"/>
      <c r="J32" s="160"/>
      <c r="K32" s="160"/>
      <c r="L32" s="160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2.75">
      <c r="A33" s="43"/>
      <c r="B33" s="43"/>
      <c r="C33" s="43"/>
      <c r="D33" s="43"/>
      <c r="E33" s="43"/>
      <c r="F33" s="43"/>
      <c r="G33" s="43"/>
      <c r="H33" s="43"/>
      <c r="I33" s="159"/>
      <c r="J33" s="160"/>
      <c r="K33" s="160"/>
      <c r="L33" s="160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2.75">
      <c r="A34" s="43"/>
      <c r="B34" s="43"/>
      <c r="C34" s="43"/>
      <c r="D34" s="43"/>
      <c r="E34" s="43"/>
      <c r="F34" s="43"/>
      <c r="G34" s="43"/>
      <c r="H34" s="43"/>
      <c r="I34" s="159"/>
      <c r="J34" s="160"/>
      <c r="K34" s="160"/>
      <c r="L34" s="160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2.75">
      <c r="A35" s="43"/>
      <c r="B35" s="43"/>
      <c r="C35" s="43"/>
      <c r="D35" s="43"/>
      <c r="E35" s="43"/>
      <c r="F35" s="43"/>
      <c r="G35" s="43"/>
      <c r="H35" s="43"/>
      <c r="I35" s="159"/>
      <c r="J35" s="160"/>
      <c r="K35" s="160"/>
      <c r="L35" s="160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2.75">
      <c r="A36" s="43"/>
      <c r="B36" s="43"/>
      <c r="C36" s="43"/>
      <c r="D36" s="43"/>
      <c r="E36" s="43"/>
      <c r="F36" s="43"/>
      <c r="G36" s="43"/>
      <c r="H36" s="43"/>
      <c r="I36" s="159"/>
      <c r="J36" s="160"/>
      <c r="K36" s="160"/>
      <c r="L36" s="160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ht="12.75">
      <c r="A37" s="43"/>
      <c r="B37" s="43"/>
      <c r="C37" s="43"/>
      <c r="D37" s="43"/>
      <c r="E37" s="43"/>
      <c r="F37" s="43"/>
      <c r="G37" s="43"/>
      <c r="H37" s="43"/>
      <c r="I37" s="159"/>
      <c r="J37" s="160"/>
      <c r="K37" s="160"/>
      <c r="L37" s="160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ht="12.75">
      <c r="A38" s="43"/>
      <c r="B38" s="43"/>
      <c r="C38" s="43"/>
      <c r="D38" s="43"/>
      <c r="E38" s="43"/>
      <c r="F38" s="43"/>
      <c r="G38" s="43"/>
      <c r="H38" s="43"/>
      <c r="I38" s="159"/>
      <c r="J38" s="160"/>
      <c r="K38" s="160"/>
      <c r="L38" s="160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ht="12.75">
      <c r="A39" s="43"/>
      <c r="B39" s="43"/>
      <c r="C39" s="43"/>
      <c r="D39" s="43"/>
      <c r="E39" s="43"/>
      <c r="F39" s="43"/>
      <c r="G39" s="43"/>
      <c r="H39" s="43"/>
      <c r="I39" s="159"/>
      <c r="J39" s="160"/>
      <c r="K39" s="160"/>
      <c r="L39" s="160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ht="12.75">
      <c r="A40" s="43"/>
      <c r="B40" s="43"/>
      <c r="C40" s="43"/>
      <c r="D40" s="43"/>
      <c r="E40" s="43"/>
      <c r="F40" s="43"/>
      <c r="G40" s="43"/>
      <c r="H40" s="43"/>
      <c r="I40" s="159"/>
      <c r="J40" s="160"/>
      <c r="K40" s="160"/>
      <c r="L40" s="160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ht="12.75">
      <c r="A41" s="43"/>
      <c r="B41" s="43"/>
      <c r="C41" s="43"/>
      <c r="D41" s="43"/>
      <c r="E41" s="43"/>
      <c r="F41" s="43"/>
      <c r="G41" s="43"/>
      <c r="H41" s="43"/>
      <c r="I41" s="159"/>
      <c r="J41" s="160"/>
      <c r="K41" s="160"/>
      <c r="L41" s="160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ht="12.75">
      <c r="A42" s="43"/>
      <c r="B42" s="43"/>
      <c r="C42" s="43"/>
      <c r="D42" s="43"/>
      <c r="E42" s="43"/>
      <c r="F42" s="43"/>
      <c r="G42" s="43"/>
      <c r="H42" s="43"/>
      <c r="I42" s="159"/>
      <c r="J42" s="160"/>
      <c r="K42" s="160"/>
      <c r="L42" s="160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ht="12.75">
      <c r="A43" s="43"/>
      <c r="B43" s="43"/>
      <c r="C43" s="43"/>
      <c r="D43" s="43"/>
      <c r="E43" s="43"/>
      <c r="F43" s="43"/>
      <c r="G43" s="43"/>
      <c r="H43" s="43"/>
      <c r="I43" s="159"/>
      <c r="J43" s="160"/>
      <c r="K43" s="160"/>
      <c r="L43" s="160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ht="12.75">
      <c r="A44" s="43"/>
      <c r="B44" s="43"/>
      <c r="C44" s="43"/>
      <c r="D44" s="43"/>
      <c r="E44" s="43"/>
      <c r="F44" s="43"/>
      <c r="G44" s="43"/>
      <c r="H44" s="43"/>
      <c r="I44" s="159"/>
      <c r="J44" s="160"/>
      <c r="K44" s="160"/>
      <c r="L44" s="160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ht="12.75">
      <c r="A45" s="43"/>
      <c r="B45" s="43"/>
      <c r="C45" s="43"/>
      <c r="D45" s="43"/>
      <c r="E45" s="43"/>
      <c r="F45" s="43"/>
      <c r="G45" s="43"/>
      <c r="H45" s="43"/>
      <c r="I45" s="159"/>
      <c r="J45" s="160"/>
      <c r="K45" s="160"/>
      <c r="L45" s="160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ht="12.75">
      <c r="A46" s="43"/>
      <c r="B46" s="43"/>
      <c r="C46" s="43"/>
      <c r="D46" s="43"/>
      <c r="E46" s="43"/>
      <c r="F46" s="43"/>
      <c r="G46" s="43"/>
      <c r="H46" s="43"/>
      <c r="I46" s="159"/>
      <c r="J46" s="160"/>
      <c r="K46" s="160"/>
      <c r="L46" s="160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12.75">
      <c r="A47" s="43"/>
      <c r="B47" s="43"/>
      <c r="C47" s="43"/>
      <c r="D47" s="43"/>
      <c r="E47" s="43"/>
      <c r="F47" s="43"/>
      <c r="G47" s="43"/>
      <c r="H47" s="43"/>
      <c r="I47" s="159"/>
      <c r="J47" s="160"/>
      <c r="K47" s="160"/>
      <c r="L47" s="160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12.75">
      <c r="A48" s="43"/>
      <c r="B48" s="43"/>
      <c r="C48" s="43"/>
      <c r="D48" s="43"/>
      <c r="E48" s="43"/>
      <c r="F48" s="43"/>
      <c r="G48" s="43"/>
      <c r="H48" s="43"/>
      <c r="I48" s="159"/>
      <c r="J48" s="160"/>
      <c r="K48" s="160"/>
      <c r="L48" s="160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2.75">
      <c r="A49" s="43"/>
      <c r="B49" s="43"/>
      <c r="C49" s="43"/>
      <c r="D49" s="43"/>
      <c r="E49" s="43"/>
      <c r="F49" s="43"/>
      <c r="G49" s="43"/>
      <c r="H49" s="43"/>
      <c r="I49" s="159"/>
      <c r="J49" s="160"/>
      <c r="K49" s="160"/>
      <c r="L49" s="160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2.75">
      <c r="A50" s="43"/>
      <c r="B50" s="43"/>
      <c r="C50" s="43"/>
      <c r="D50" s="43"/>
      <c r="E50" s="43"/>
      <c r="F50" s="43"/>
      <c r="G50" s="43"/>
      <c r="H50" s="43"/>
      <c r="I50" s="159"/>
      <c r="J50" s="160"/>
      <c r="K50" s="160"/>
      <c r="L50" s="160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12.75">
      <c r="A51" s="43"/>
      <c r="B51" s="43"/>
      <c r="C51" s="43"/>
      <c r="D51" s="43"/>
      <c r="E51" s="43"/>
      <c r="F51" s="43"/>
      <c r="G51" s="43"/>
      <c r="H51" s="43"/>
      <c r="I51" s="159"/>
      <c r="J51" s="160"/>
      <c r="K51" s="160"/>
      <c r="L51" s="160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2.75">
      <c r="A52" s="43"/>
      <c r="B52" s="43"/>
      <c r="C52" s="43"/>
      <c r="D52" s="43"/>
      <c r="E52" s="43"/>
      <c r="F52" s="43"/>
      <c r="G52" s="43"/>
      <c r="H52" s="43"/>
      <c r="I52" s="159"/>
      <c r="J52" s="160"/>
      <c r="K52" s="160"/>
      <c r="L52" s="160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2.75">
      <c r="A53" s="43"/>
      <c r="B53" s="43"/>
      <c r="C53" s="43"/>
      <c r="D53" s="43"/>
      <c r="E53" s="43"/>
      <c r="F53" s="43"/>
      <c r="G53" s="43"/>
      <c r="H53" s="43"/>
      <c r="I53" s="159"/>
      <c r="J53" s="160"/>
      <c r="K53" s="160"/>
      <c r="L53" s="160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12.75">
      <c r="A54" s="43"/>
      <c r="B54" s="43"/>
      <c r="C54" s="43"/>
      <c r="D54" s="43"/>
      <c r="E54" s="43"/>
      <c r="F54" s="43"/>
      <c r="G54" s="43"/>
      <c r="H54" s="43"/>
      <c r="I54" s="159"/>
      <c r="J54" s="160"/>
      <c r="K54" s="160"/>
      <c r="L54" s="160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2.75">
      <c r="A55" s="43"/>
      <c r="B55" s="43"/>
      <c r="C55" s="43"/>
      <c r="D55" s="43"/>
      <c r="E55" s="43"/>
      <c r="F55" s="43"/>
      <c r="G55" s="43"/>
      <c r="H55" s="43"/>
      <c r="I55" s="159"/>
      <c r="J55" s="160"/>
      <c r="K55" s="160"/>
      <c r="L55" s="160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12.75">
      <c r="A56" s="43"/>
      <c r="B56" s="43"/>
      <c r="C56" s="43"/>
      <c r="D56" s="43"/>
      <c r="E56" s="43"/>
      <c r="F56" s="43"/>
      <c r="G56" s="43"/>
      <c r="H56" s="43"/>
      <c r="I56" s="159"/>
      <c r="J56" s="160"/>
      <c r="K56" s="160"/>
      <c r="L56" s="160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2.75">
      <c r="A57" s="43"/>
      <c r="B57" s="43"/>
      <c r="C57" s="43"/>
      <c r="D57" s="43"/>
      <c r="E57" s="43"/>
      <c r="F57" s="43"/>
      <c r="G57" s="43"/>
      <c r="H57" s="43"/>
      <c r="I57" s="159"/>
      <c r="J57" s="160"/>
      <c r="K57" s="160"/>
      <c r="L57" s="160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t="12.75">
      <c r="A58" s="43"/>
      <c r="B58" s="43"/>
      <c r="C58" s="43"/>
      <c r="D58" s="43"/>
      <c r="E58" s="43"/>
      <c r="F58" s="43"/>
      <c r="G58" s="43"/>
      <c r="H58" s="43"/>
      <c r="I58" s="159"/>
      <c r="J58" s="160"/>
      <c r="K58" s="160"/>
      <c r="L58" s="160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ht="12.75">
      <c r="A59" s="43"/>
      <c r="B59" s="43"/>
      <c r="C59" s="43"/>
      <c r="D59" s="43"/>
      <c r="E59" s="43"/>
      <c r="F59" s="43"/>
      <c r="G59" s="43"/>
      <c r="H59" s="43"/>
      <c r="I59" s="159"/>
      <c r="J59" s="160"/>
      <c r="K59" s="160"/>
      <c r="L59" s="160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12.75">
      <c r="A60" s="43"/>
      <c r="B60" s="43"/>
      <c r="C60" s="43"/>
      <c r="D60" s="43"/>
      <c r="E60" s="43"/>
      <c r="F60" s="43"/>
      <c r="G60" s="43"/>
      <c r="H60" s="43"/>
      <c r="I60" s="159"/>
      <c r="J60" s="160"/>
      <c r="K60" s="160"/>
      <c r="L60" s="160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12.75">
      <c r="A61" s="43"/>
      <c r="B61" s="43"/>
      <c r="C61" s="43"/>
      <c r="D61" s="43"/>
      <c r="E61" s="43"/>
      <c r="F61" s="43"/>
      <c r="G61" s="43"/>
      <c r="H61" s="43"/>
      <c r="I61" s="159"/>
      <c r="J61" s="160"/>
      <c r="K61" s="160"/>
      <c r="L61" s="160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2.75">
      <c r="A62" s="43"/>
      <c r="B62" s="43"/>
      <c r="C62" s="43"/>
      <c r="D62" s="43"/>
      <c r="E62" s="43"/>
      <c r="F62" s="43"/>
      <c r="G62" s="43"/>
      <c r="H62" s="43"/>
      <c r="I62" s="159"/>
      <c r="J62" s="160"/>
      <c r="K62" s="160"/>
      <c r="L62" s="160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12.75">
      <c r="A63" s="43"/>
      <c r="B63" s="43"/>
      <c r="C63" s="43"/>
      <c r="D63" s="43"/>
      <c r="E63" s="43"/>
      <c r="F63" s="43"/>
      <c r="G63" s="43"/>
      <c r="H63" s="43"/>
      <c r="I63" s="159"/>
      <c r="J63" s="160"/>
      <c r="K63" s="160"/>
      <c r="L63" s="160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12.75">
      <c r="A64" s="43"/>
      <c r="B64" s="43"/>
      <c r="C64" s="43"/>
      <c r="D64" s="43"/>
      <c r="E64" s="43"/>
      <c r="F64" s="43"/>
      <c r="G64" s="43"/>
      <c r="H64" s="43"/>
      <c r="I64" s="159"/>
      <c r="J64" s="160"/>
      <c r="K64" s="160"/>
      <c r="L64" s="160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2.75">
      <c r="A65" s="43"/>
      <c r="B65" s="43"/>
      <c r="C65" s="43"/>
      <c r="D65" s="43"/>
      <c r="E65" s="43"/>
      <c r="F65" s="43"/>
      <c r="G65" s="43"/>
      <c r="H65" s="43"/>
      <c r="I65" s="159"/>
      <c r="J65" s="160"/>
      <c r="K65" s="160"/>
      <c r="L65" s="160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2.75">
      <c r="A66" s="43"/>
      <c r="B66" s="43"/>
      <c r="C66" s="43"/>
      <c r="D66" s="43"/>
      <c r="E66" s="43"/>
      <c r="F66" s="43"/>
      <c r="G66" s="43"/>
      <c r="H66" s="43"/>
      <c r="I66" s="159"/>
      <c r="J66" s="160"/>
      <c r="K66" s="160"/>
      <c r="L66" s="160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2.75">
      <c r="A67" s="43"/>
      <c r="B67" s="43"/>
      <c r="C67" s="43"/>
      <c r="D67" s="43"/>
      <c r="E67" s="43"/>
      <c r="F67" s="43"/>
      <c r="G67" s="43"/>
      <c r="H67" s="43"/>
      <c r="I67" s="159"/>
      <c r="J67" s="160"/>
      <c r="K67" s="160"/>
      <c r="L67" s="160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2.75">
      <c r="A68" s="43"/>
      <c r="B68" s="43"/>
      <c r="C68" s="43"/>
      <c r="D68" s="43"/>
      <c r="E68" s="43"/>
      <c r="F68" s="43"/>
      <c r="G68" s="43"/>
      <c r="H68" s="43"/>
      <c r="I68" s="159"/>
      <c r="J68" s="160"/>
      <c r="K68" s="160"/>
      <c r="L68" s="160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2.75">
      <c r="A69" s="43"/>
      <c r="B69" s="43"/>
      <c r="C69" s="43"/>
      <c r="D69" s="43"/>
      <c r="E69" s="43"/>
      <c r="F69" s="43"/>
      <c r="G69" s="43"/>
      <c r="H69" s="43"/>
      <c r="I69" s="159"/>
      <c r="J69" s="160"/>
      <c r="K69" s="160"/>
      <c r="L69" s="160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2.75">
      <c r="A70" s="43"/>
      <c r="B70" s="43"/>
      <c r="C70" s="43"/>
      <c r="D70" s="43"/>
      <c r="E70" s="43"/>
      <c r="F70" s="43"/>
      <c r="G70" s="43"/>
      <c r="H70" s="43"/>
      <c r="I70" s="159"/>
      <c r="J70" s="160"/>
      <c r="K70" s="160"/>
      <c r="L70" s="160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2.75">
      <c r="A71" s="43"/>
      <c r="B71" s="43"/>
      <c r="C71" s="43"/>
      <c r="D71" s="43"/>
      <c r="E71" s="43"/>
      <c r="F71" s="43"/>
      <c r="G71" s="43"/>
      <c r="H71" s="43"/>
      <c r="I71" s="159"/>
      <c r="J71" s="160"/>
      <c r="K71" s="160"/>
      <c r="L71" s="160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2.75">
      <c r="A72" s="43"/>
      <c r="B72" s="43"/>
      <c r="C72" s="43"/>
      <c r="D72" s="43"/>
      <c r="E72" s="43"/>
      <c r="F72" s="43"/>
      <c r="G72" s="43"/>
      <c r="H72" s="43"/>
      <c r="I72" s="159"/>
      <c r="J72" s="160"/>
      <c r="K72" s="160"/>
      <c r="L72" s="160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ht="12.75">
      <c r="A73" s="43"/>
      <c r="B73" s="43"/>
      <c r="C73" s="43"/>
      <c r="D73" s="43"/>
      <c r="E73" s="43"/>
      <c r="F73" s="43"/>
      <c r="G73" s="43"/>
      <c r="H73" s="43"/>
      <c r="I73" s="159"/>
      <c r="J73" s="160"/>
      <c r="K73" s="160"/>
      <c r="L73" s="160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ht="12.75">
      <c r="A74" s="43"/>
      <c r="B74" s="43"/>
      <c r="C74" s="43"/>
      <c r="D74" s="43"/>
      <c r="E74" s="43"/>
      <c r="F74" s="43"/>
      <c r="G74" s="43"/>
      <c r="H74" s="43"/>
      <c r="I74" s="159"/>
      <c r="J74" s="160"/>
      <c r="K74" s="160"/>
      <c r="L74" s="160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ht="12.75">
      <c r="A75" s="43"/>
      <c r="B75" s="43"/>
      <c r="C75" s="43"/>
      <c r="D75" s="43"/>
      <c r="E75" s="43"/>
      <c r="F75" s="43"/>
      <c r="G75" s="43"/>
      <c r="H75" s="43"/>
      <c r="I75" s="159"/>
      <c r="J75" s="160"/>
      <c r="K75" s="160"/>
      <c r="L75" s="160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ht="12.75">
      <c r="A76" s="43"/>
      <c r="B76" s="43"/>
      <c r="C76" s="43"/>
      <c r="D76" s="43"/>
      <c r="E76" s="43"/>
      <c r="F76" s="43"/>
      <c r="G76" s="43"/>
      <c r="H76" s="43"/>
      <c r="I76" s="159"/>
      <c r="J76" s="160"/>
      <c r="K76" s="160"/>
      <c r="L76" s="160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ht="12.75">
      <c r="A77" s="43"/>
      <c r="B77" s="43"/>
      <c r="C77" s="43"/>
      <c r="D77" s="43"/>
      <c r="E77" s="43"/>
      <c r="F77" s="43"/>
      <c r="G77" s="43"/>
      <c r="H77" s="43"/>
      <c r="I77" s="159"/>
      <c r="J77" s="160"/>
      <c r="K77" s="160"/>
      <c r="L77" s="160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ht="12.75">
      <c r="A78" s="43"/>
      <c r="B78" s="43"/>
      <c r="C78" s="43"/>
      <c r="D78" s="43"/>
      <c r="E78" s="43"/>
      <c r="F78" s="43"/>
      <c r="G78" s="43"/>
      <c r="H78" s="43"/>
      <c r="I78" s="159"/>
      <c r="J78" s="160"/>
      <c r="K78" s="160"/>
      <c r="L78" s="160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ht="12.75">
      <c r="A79" s="43"/>
      <c r="B79" s="43"/>
      <c r="C79" s="43"/>
      <c r="D79" s="43"/>
      <c r="E79" s="43"/>
      <c r="F79" s="43"/>
      <c r="G79" s="43"/>
      <c r="H79" s="43"/>
      <c r="I79" s="159"/>
      <c r="J79" s="160"/>
      <c r="K79" s="160"/>
      <c r="L79" s="160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ht="12.75">
      <c r="A80" s="43"/>
      <c r="B80" s="43"/>
      <c r="C80" s="43"/>
      <c r="D80" s="43"/>
      <c r="E80" s="43"/>
      <c r="F80" s="43"/>
      <c r="G80" s="43"/>
      <c r="H80" s="43"/>
      <c r="I80" s="159"/>
      <c r="J80" s="160"/>
      <c r="K80" s="160"/>
      <c r="L80" s="160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ht="12.75">
      <c r="A81" s="43"/>
      <c r="B81" s="43"/>
      <c r="C81" s="43"/>
      <c r="D81" s="43"/>
      <c r="E81" s="43"/>
      <c r="F81" s="43"/>
      <c r="G81" s="43"/>
      <c r="H81" s="43"/>
      <c r="I81" s="159"/>
      <c r="J81" s="160"/>
      <c r="K81" s="160"/>
      <c r="L81" s="160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ht="12.75">
      <c r="A82" s="43"/>
      <c r="B82" s="43"/>
      <c r="C82" s="43"/>
      <c r="D82" s="43"/>
      <c r="E82" s="43"/>
      <c r="F82" s="43"/>
      <c r="G82" s="43"/>
      <c r="H82" s="43"/>
      <c r="I82" s="159"/>
      <c r="J82" s="160"/>
      <c r="K82" s="160"/>
      <c r="L82" s="160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ht="12.75">
      <c r="A83" s="43"/>
      <c r="B83" s="43"/>
      <c r="C83" s="43"/>
      <c r="D83" s="43"/>
      <c r="E83" s="43"/>
      <c r="F83" s="43"/>
      <c r="G83" s="43"/>
      <c r="H83" s="43"/>
      <c r="I83" s="159"/>
      <c r="J83" s="160"/>
      <c r="K83" s="160"/>
      <c r="L83" s="160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1:23" ht="12.75">
      <c r="A84" s="43"/>
      <c r="B84" s="43"/>
      <c r="C84" s="43"/>
      <c r="D84" s="43"/>
      <c r="E84" s="43"/>
      <c r="F84" s="43"/>
      <c r="G84" s="43"/>
      <c r="H84" s="43"/>
      <c r="I84" s="159"/>
      <c r="J84" s="160"/>
      <c r="K84" s="160"/>
      <c r="L84" s="160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1:23" ht="12.75">
      <c r="A85" s="43"/>
      <c r="B85" s="43"/>
      <c r="C85" s="43"/>
      <c r="D85" s="43"/>
      <c r="E85" s="43"/>
      <c r="F85" s="43"/>
      <c r="G85" s="43"/>
      <c r="H85" s="43"/>
      <c r="I85" s="159"/>
      <c r="J85" s="160"/>
      <c r="K85" s="160"/>
      <c r="L85" s="160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1:23" ht="12.75">
      <c r="A86" s="43"/>
      <c r="B86" s="43"/>
      <c r="C86" s="43"/>
      <c r="D86" s="43"/>
      <c r="E86" s="43"/>
      <c r="F86" s="43"/>
      <c r="G86" s="43"/>
      <c r="H86" s="43"/>
      <c r="I86" s="159"/>
      <c r="J86" s="160"/>
      <c r="K86" s="160"/>
      <c r="L86" s="160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</row>
    <row r="87" spans="1:23" ht="12.75">
      <c r="A87" s="43"/>
      <c r="B87" s="43"/>
      <c r="C87" s="43"/>
      <c r="D87" s="43"/>
      <c r="E87" s="43"/>
      <c r="F87" s="43"/>
      <c r="G87" s="43"/>
      <c r="H87" s="43"/>
      <c r="I87" s="159"/>
      <c r="J87" s="160"/>
      <c r="K87" s="160"/>
      <c r="L87" s="160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</row>
    <row r="88" spans="1:23" ht="12.75">
      <c r="A88" s="43"/>
      <c r="B88" s="43"/>
      <c r="C88" s="43"/>
      <c r="D88" s="43"/>
      <c r="E88" s="43"/>
      <c r="F88" s="43"/>
      <c r="G88" s="43"/>
      <c r="H88" s="43"/>
      <c r="I88" s="159"/>
      <c r="J88" s="160"/>
      <c r="K88" s="160"/>
      <c r="L88" s="160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</row>
    <row r="89" spans="1:23" ht="12.75">
      <c r="A89" s="43"/>
      <c r="B89" s="43"/>
      <c r="C89" s="43"/>
      <c r="D89" s="43"/>
      <c r="E89" s="43"/>
      <c r="F89" s="43"/>
      <c r="G89" s="43"/>
      <c r="H89" s="43"/>
      <c r="I89" s="159"/>
      <c r="J89" s="160"/>
      <c r="K89" s="160"/>
      <c r="L89" s="160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</row>
    <row r="90" spans="1:23" ht="12.75">
      <c r="A90" s="43"/>
      <c r="B90" s="43"/>
      <c r="C90" s="43"/>
      <c r="D90" s="43"/>
      <c r="E90" s="43"/>
      <c r="F90" s="43"/>
      <c r="G90" s="43"/>
      <c r="H90" s="43"/>
      <c r="I90" s="159"/>
      <c r="J90" s="160"/>
      <c r="K90" s="160"/>
      <c r="L90" s="160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</row>
    <row r="91" spans="1:23" ht="12.75">
      <c r="A91" s="43"/>
      <c r="B91" s="43"/>
      <c r="C91" s="43"/>
      <c r="D91" s="43"/>
      <c r="E91" s="43"/>
      <c r="F91" s="43"/>
      <c r="G91" s="43"/>
      <c r="H91" s="43"/>
      <c r="I91" s="159"/>
      <c r="J91" s="160"/>
      <c r="K91" s="160"/>
      <c r="L91" s="160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</row>
    <row r="92" spans="1:23" ht="12.75">
      <c r="A92" s="43"/>
      <c r="B92" s="43"/>
      <c r="C92" s="43"/>
      <c r="D92" s="43"/>
      <c r="E92" s="43"/>
      <c r="F92" s="43"/>
      <c r="G92" s="43"/>
      <c r="H92" s="43"/>
      <c r="I92" s="159"/>
      <c r="J92" s="160"/>
      <c r="K92" s="160"/>
      <c r="L92" s="160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1:23" ht="12.75">
      <c r="A93" s="43"/>
      <c r="B93" s="43"/>
      <c r="C93" s="43"/>
      <c r="D93" s="43"/>
      <c r="E93" s="43"/>
      <c r="F93" s="43"/>
      <c r="G93" s="43"/>
      <c r="H93" s="43"/>
      <c r="I93" s="159"/>
      <c r="J93" s="160"/>
      <c r="K93" s="160"/>
      <c r="L93" s="160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</row>
    <row r="94" spans="1:23" ht="12.75">
      <c r="A94" s="43"/>
      <c r="B94" s="43"/>
      <c r="C94" s="43"/>
      <c r="D94" s="43"/>
      <c r="E94" s="43"/>
      <c r="F94" s="43"/>
      <c r="G94" s="43"/>
      <c r="H94" s="43"/>
      <c r="I94" s="159"/>
      <c r="J94" s="160"/>
      <c r="K94" s="160"/>
      <c r="L94" s="160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</row>
    <row r="95" spans="1:23" ht="12.75">
      <c r="A95" s="43"/>
      <c r="B95" s="43"/>
      <c r="C95" s="43"/>
      <c r="D95" s="43"/>
      <c r="E95" s="43"/>
      <c r="F95" s="43"/>
      <c r="G95" s="43"/>
      <c r="H95" s="43"/>
      <c r="I95" s="159"/>
      <c r="J95" s="160"/>
      <c r="K95" s="160"/>
      <c r="L95" s="160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</row>
    <row r="96" spans="1:23" ht="12.75">
      <c r="A96" s="43"/>
      <c r="B96" s="43"/>
      <c r="C96" s="43"/>
      <c r="D96" s="43"/>
      <c r="E96" s="43"/>
      <c r="F96" s="43"/>
      <c r="G96" s="43"/>
      <c r="H96" s="43"/>
      <c r="I96" s="159"/>
      <c r="J96" s="160"/>
      <c r="K96" s="160"/>
      <c r="L96" s="160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</row>
    <row r="97" spans="1:23" ht="12.75">
      <c r="A97" s="43"/>
      <c r="B97" s="43"/>
      <c r="C97" s="43"/>
      <c r="D97" s="43"/>
      <c r="E97" s="43"/>
      <c r="F97" s="43"/>
      <c r="G97" s="43"/>
      <c r="H97" s="43"/>
      <c r="I97" s="159"/>
      <c r="J97" s="160"/>
      <c r="K97" s="160"/>
      <c r="L97" s="160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</row>
    <row r="98" spans="1:23" ht="12.75">
      <c r="A98" s="43"/>
      <c r="B98" s="43"/>
      <c r="C98" s="43"/>
      <c r="D98" s="43"/>
      <c r="E98" s="43"/>
      <c r="F98" s="43"/>
      <c r="G98" s="43"/>
      <c r="H98" s="43"/>
      <c r="I98" s="159"/>
      <c r="J98" s="160"/>
      <c r="K98" s="160"/>
      <c r="L98" s="160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</row>
    <row r="99" spans="1:23" ht="12.75">
      <c r="A99" s="43"/>
      <c r="B99" s="43"/>
      <c r="C99" s="43"/>
      <c r="D99" s="43"/>
      <c r="E99" s="43"/>
      <c r="F99" s="43"/>
      <c r="G99" s="43"/>
      <c r="H99" s="43"/>
      <c r="I99" s="159"/>
      <c r="J99" s="160"/>
      <c r="K99" s="160"/>
      <c r="L99" s="160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</row>
    <row r="100" spans="1:23" ht="12.75">
      <c r="A100" s="43"/>
      <c r="B100" s="43"/>
      <c r="C100" s="43"/>
      <c r="D100" s="43"/>
      <c r="E100" s="43"/>
      <c r="F100" s="43"/>
      <c r="G100" s="43"/>
      <c r="H100" s="43"/>
      <c r="I100" s="159"/>
      <c r="J100" s="160"/>
      <c r="K100" s="160"/>
      <c r="L100" s="160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</row>
    <row r="101" spans="1:23" ht="12.75">
      <c r="A101" s="43"/>
      <c r="B101" s="43"/>
      <c r="C101" s="43"/>
      <c r="D101" s="43"/>
      <c r="E101" s="43"/>
      <c r="F101" s="43"/>
      <c r="G101" s="43"/>
      <c r="H101" s="43"/>
      <c r="I101" s="159"/>
      <c r="J101" s="160"/>
      <c r="K101" s="160"/>
      <c r="L101" s="160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</row>
    <row r="102" spans="1:23" ht="12.75">
      <c r="A102" s="43"/>
      <c r="B102" s="43"/>
      <c r="C102" s="43"/>
      <c r="D102" s="43"/>
      <c r="E102" s="43"/>
      <c r="F102" s="43"/>
      <c r="G102" s="43"/>
      <c r="H102" s="43"/>
      <c r="I102" s="159"/>
      <c r="J102" s="160"/>
      <c r="K102" s="160"/>
      <c r="L102" s="160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</row>
    <row r="103" spans="1:23" ht="12.75">
      <c r="A103" s="43"/>
      <c r="B103" s="43"/>
      <c r="C103" s="43"/>
      <c r="D103" s="43"/>
      <c r="E103" s="43"/>
      <c r="F103" s="43"/>
      <c r="G103" s="43"/>
      <c r="H103" s="43"/>
      <c r="I103" s="159"/>
      <c r="J103" s="160"/>
      <c r="K103" s="160"/>
      <c r="L103" s="160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</row>
    <row r="104" spans="1:23" ht="12.75">
      <c r="A104" s="43"/>
      <c r="B104" s="43"/>
      <c r="C104" s="43"/>
      <c r="D104" s="43"/>
      <c r="E104" s="43"/>
      <c r="F104" s="43"/>
      <c r="G104" s="43"/>
      <c r="H104" s="43"/>
      <c r="I104" s="159"/>
      <c r="J104" s="160"/>
      <c r="K104" s="160"/>
      <c r="L104" s="160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ht="12.75">
      <c r="A105" s="43"/>
      <c r="B105" s="43"/>
      <c r="C105" s="43"/>
      <c r="D105" s="43"/>
      <c r="E105" s="43"/>
      <c r="F105" s="43"/>
      <c r="G105" s="43"/>
      <c r="H105" s="43"/>
      <c r="I105" s="159"/>
      <c r="J105" s="160"/>
      <c r="K105" s="160"/>
      <c r="L105" s="160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</row>
    <row r="106" spans="1:23" ht="12.75">
      <c r="A106" s="43"/>
      <c r="B106" s="43"/>
      <c r="C106" s="43"/>
      <c r="D106" s="43"/>
      <c r="E106" s="43"/>
      <c r="F106" s="43"/>
      <c r="G106" s="43"/>
      <c r="H106" s="43"/>
      <c r="I106" s="159"/>
      <c r="J106" s="160"/>
      <c r="K106" s="160"/>
      <c r="L106" s="160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</row>
    <row r="107" spans="1:23" ht="12.75">
      <c r="A107" s="43"/>
      <c r="B107" s="43"/>
      <c r="C107" s="43"/>
      <c r="D107" s="43"/>
      <c r="E107" s="43"/>
      <c r="F107" s="43"/>
      <c r="G107" s="43"/>
      <c r="H107" s="43"/>
      <c r="I107" s="159"/>
      <c r="J107" s="160"/>
      <c r="K107" s="160"/>
      <c r="L107" s="160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</row>
    <row r="108" spans="1:23" ht="12.75">
      <c r="A108" s="43"/>
      <c r="B108" s="43"/>
      <c r="C108" s="43"/>
      <c r="D108" s="43"/>
      <c r="E108" s="43"/>
      <c r="F108" s="43"/>
      <c r="G108" s="43"/>
      <c r="H108" s="43"/>
      <c r="I108" s="159"/>
      <c r="J108" s="160"/>
      <c r="K108" s="160"/>
      <c r="L108" s="160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</row>
    <row r="109" spans="1:23" ht="12.75">
      <c r="A109" s="43"/>
      <c r="B109" s="43"/>
      <c r="C109" s="43"/>
      <c r="D109" s="43"/>
      <c r="E109" s="43"/>
      <c r="F109" s="43"/>
      <c r="G109" s="43"/>
      <c r="H109" s="43"/>
      <c r="I109" s="159"/>
      <c r="J109" s="160"/>
      <c r="K109" s="160"/>
      <c r="L109" s="160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</row>
    <row r="110" spans="1:23" ht="12.75">
      <c r="A110" s="43"/>
      <c r="B110" s="43"/>
      <c r="C110" s="43"/>
      <c r="D110" s="43"/>
      <c r="E110" s="43"/>
      <c r="F110" s="43"/>
      <c r="G110" s="43"/>
      <c r="H110" s="43"/>
      <c r="I110" s="159"/>
      <c r="J110" s="160"/>
      <c r="K110" s="160"/>
      <c r="L110" s="160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</row>
    <row r="111" spans="1:23" ht="12.75">
      <c r="A111" s="43"/>
      <c r="B111" s="43"/>
      <c r="C111" s="43"/>
      <c r="D111" s="43"/>
      <c r="E111" s="43"/>
      <c r="F111" s="43"/>
      <c r="G111" s="43"/>
      <c r="H111" s="43"/>
      <c r="I111" s="159"/>
      <c r="J111" s="160"/>
      <c r="K111" s="160"/>
      <c r="L111" s="160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</row>
    <row r="112" spans="1:23" ht="12.75">
      <c r="A112" s="43"/>
      <c r="B112" s="43"/>
      <c r="C112" s="43"/>
      <c r="D112" s="43"/>
      <c r="E112" s="43"/>
      <c r="F112" s="43"/>
      <c r="G112" s="43"/>
      <c r="H112" s="43"/>
      <c r="I112" s="159"/>
      <c r="J112" s="160"/>
      <c r="K112" s="160"/>
      <c r="L112" s="160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</row>
    <row r="113" spans="1:23" ht="12.75">
      <c r="A113" s="43"/>
      <c r="B113" s="43"/>
      <c r="C113" s="43"/>
      <c r="D113" s="43"/>
      <c r="E113" s="43"/>
      <c r="F113" s="43"/>
      <c r="G113" s="43"/>
      <c r="H113" s="43"/>
      <c r="I113" s="159"/>
      <c r="J113" s="160"/>
      <c r="K113" s="160"/>
      <c r="L113" s="160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</row>
    <row r="114" spans="1:23" ht="12.75">
      <c r="A114" s="43"/>
      <c r="B114" s="43"/>
      <c r="C114" s="43"/>
      <c r="D114" s="43"/>
      <c r="E114" s="43"/>
      <c r="F114" s="43"/>
      <c r="G114" s="43"/>
      <c r="H114" s="43"/>
      <c r="I114" s="159"/>
      <c r="J114" s="160"/>
      <c r="K114" s="160"/>
      <c r="L114" s="160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</row>
    <row r="115" spans="1:23" ht="12.75">
      <c r="A115" s="43"/>
      <c r="B115" s="43"/>
      <c r="C115" s="43"/>
      <c r="D115" s="43"/>
      <c r="E115" s="43"/>
      <c r="F115" s="43"/>
      <c r="G115" s="43"/>
      <c r="H115" s="43"/>
      <c r="I115" s="159"/>
      <c r="J115" s="160"/>
      <c r="K115" s="160"/>
      <c r="L115" s="160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</row>
    <row r="116" spans="1:23" ht="12.75">
      <c r="A116" s="43"/>
      <c r="B116" s="43"/>
      <c r="C116" s="43"/>
      <c r="D116" s="43"/>
      <c r="E116" s="43"/>
      <c r="F116" s="43"/>
      <c r="G116" s="43"/>
      <c r="H116" s="43"/>
      <c r="I116" s="159"/>
      <c r="J116" s="160"/>
      <c r="K116" s="160"/>
      <c r="L116" s="160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</row>
    <row r="117" spans="1:23" ht="12.75">
      <c r="A117" s="43"/>
      <c r="B117" s="43"/>
      <c r="C117" s="43"/>
      <c r="D117" s="43"/>
      <c r="E117" s="43"/>
      <c r="F117" s="43"/>
      <c r="G117" s="43"/>
      <c r="H117" s="43"/>
      <c r="I117" s="159"/>
      <c r="J117" s="160"/>
      <c r="K117" s="160"/>
      <c r="L117" s="160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</row>
    <row r="118" spans="1:23" ht="12.75">
      <c r="A118" s="43"/>
      <c r="B118" s="43"/>
      <c r="C118" s="43"/>
      <c r="D118" s="43"/>
      <c r="E118" s="43"/>
      <c r="F118" s="43"/>
      <c r="G118" s="43"/>
      <c r="H118" s="43"/>
      <c r="I118" s="159"/>
      <c r="J118" s="160"/>
      <c r="K118" s="160"/>
      <c r="L118" s="160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</row>
    <row r="119" spans="1:23" ht="12.75">
      <c r="A119" s="43"/>
      <c r="B119" s="43"/>
      <c r="C119" s="43"/>
      <c r="D119" s="43"/>
      <c r="E119" s="43"/>
      <c r="F119" s="43"/>
      <c r="G119" s="43"/>
      <c r="H119" s="43"/>
      <c r="I119" s="159"/>
      <c r="J119" s="160"/>
      <c r="K119" s="160"/>
      <c r="L119" s="160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</row>
    <row r="120" spans="1:23" ht="12.75">
      <c r="A120" s="43"/>
      <c r="B120" s="43"/>
      <c r="C120" s="43"/>
      <c r="D120" s="43"/>
      <c r="E120" s="43"/>
      <c r="F120" s="43"/>
      <c r="G120" s="43"/>
      <c r="H120" s="43"/>
      <c r="I120" s="159"/>
      <c r="J120" s="160"/>
      <c r="K120" s="160"/>
      <c r="L120" s="160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</row>
    <row r="121" spans="1:23" ht="12.75">
      <c r="A121" s="43"/>
      <c r="B121" s="43"/>
      <c r="C121" s="43"/>
      <c r="D121" s="43"/>
      <c r="E121" s="43"/>
      <c r="F121" s="43"/>
      <c r="G121" s="43"/>
      <c r="H121" s="43"/>
      <c r="I121" s="159"/>
      <c r="J121" s="160"/>
      <c r="K121" s="160"/>
      <c r="L121" s="160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</row>
    <row r="122" spans="1:23" ht="12.75">
      <c r="A122" s="43"/>
      <c r="B122" s="43"/>
      <c r="C122" s="43"/>
      <c r="D122" s="43"/>
      <c r="E122" s="43"/>
      <c r="F122" s="43"/>
      <c r="G122" s="43"/>
      <c r="H122" s="43"/>
      <c r="I122" s="159"/>
      <c r="J122" s="160"/>
      <c r="K122" s="160"/>
      <c r="L122" s="160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</row>
    <row r="123" spans="1:23" ht="12.75">
      <c r="A123" s="43"/>
      <c r="B123" s="43"/>
      <c r="C123" s="43"/>
      <c r="D123" s="43"/>
      <c r="E123" s="43"/>
      <c r="F123" s="43"/>
      <c r="G123" s="43"/>
      <c r="H123" s="43"/>
      <c r="I123" s="159"/>
      <c r="J123" s="160"/>
      <c r="K123" s="160"/>
      <c r="L123" s="160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</row>
    <row r="124" spans="1:23" ht="12.75">
      <c r="A124" s="43"/>
      <c r="B124" s="43"/>
      <c r="C124" s="43"/>
      <c r="D124" s="43"/>
      <c r="E124" s="43"/>
      <c r="F124" s="43"/>
      <c r="G124" s="43"/>
      <c r="H124" s="43"/>
      <c r="I124" s="159"/>
      <c r="J124" s="160"/>
      <c r="K124" s="160"/>
      <c r="L124" s="160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</row>
    <row r="125" spans="1:23" ht="12.75">
      <c r="A125" s="43"/>
      <c r="B125" s="43"/>
      <c r="C125" s="43"/>
      <c r="D125" s="43"/>
      <c r="E125" s="43"/>
      <c r="F125" s="43"/>
      <c r="G125" s="43"/>
      <c r="H125" s="43"/>
      <c r="I125" s="159"/>
      <c r="J125" s="160"/>
      <c r="K125" s="160"/>
      <c r="L125" s="160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</row>
    <row r="126" spans="1:23" ht="12.75">
      <c r="A126" s="43"/>
      <c r="B126" s="43"/>
      <c r="C126" s="43"/>
      <c r="D126" s="43"/>
      <c r="E126" s="43"/>
      <c r="F126" s="43"/>
      <c r="G126" s="43"/>
      <c r="H126" s="43"/>
      <c r="I126" s="159"/>
      <c r="J126" s="160"/>
      <c r="K126" s="160"/>
      <c r="L126" s="160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</row>
    <row r="127" spans="1:23" ht="12.75">
      <c r="A127" s="43"/>
      <c r="B127" s="43"/>
      <c r="C127" s="43"/>
      <c r="D127" s="43"/>
      <c r="E127" s="43"/>
      <c r="F127" s="43"/>
      <c r="G127" s="43"/>
      <c r="H127" s="43"/>
      <c r="I127" s="159"/>
      <c r="J127" s="160"/>
      <c r="K127" s="160"/>
      <c r="L127" s="160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</row>
    <row r="128" spans="1:23" ht="12.75">
      <c r="A128" s="43"/>
      <c r="B128" s="43"/>
      <c r="C128" s="43"/>
      <c r="D128" s="43"/>
      <c r="E128" s="43"/>
      <c r="F128" s="43"/>
      <c r="G128" s="43"/>
      <c r="H128" s="43"/>
      <c r="I128" s="159"/>
      <c r="J128" s="160"/>
      <c r="K128" s="160"/>
      <c r="L128" s="160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</row>
    <row r="129" spans="1:23" ht="12.75">
      <c r="A129" s="43"/>
      <c r="B129" s="43"/>
      <c r="C129" s="43"/>
      <c r="D129" s="43"/>
      <c r="E129" s="43"/>
      <c r="F129" s="43"/>
      <c r="G129" s="43"/>
      <c r="H129" s="43"/>
      <c r="I129" s="159"/>
      <c r="J129" s="160"/>
      <c r="K129" s="160"/>
      <c r="L129" s="160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</row>
    <row r="130" spans="1:23" ht="12.75">
      <c r="A130" s="43"/>
      <c r="B130" s="43"/>
      <c r="C130" s="43"/>
      <c r="D130" s="43"/>
      <c r="E130" s="43"/>
      <c r="F130" s="43"/>
      <c r="G130" s="43"/>
      <c r="H130" s="43"/>
      <c r="I130" s="159"/>
      <c r="J130" s="160"/>
      <c r="K130" s="160"/>
      <c r="L130" s="160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</row>
    <row r="131" spans="1:23" ht="12.75">
      <c r="A131" s="43"/>
      <c r="B131" s="43"/>
      <c r="C131" s="43"/>
      <c r="D131" s="43"/>
      <c r="E131" s="43"/>
      <c r="F131" s="43"/>
      <c r="G131" s="43"/>
      <c r="H131" s="43"/>
      <c r="I131" s="159"/>
      <c r="J131" s="160"/>
      <c r="K131" s="160"/>
      <c r="L131" s="160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</row>
    <row r="132" spans="1:23" ht="12.75">
      <c r="A132" s="43"/>
      <c r="B132" s="43"/>
      <c r="C132" s="43"/>
      <c r="D132" s="43"/>
      <c r="E132" s="43"/>
      <c r="F132" s="43"/>
      <c r="G132" s="43"/>
      <c r="H132" s="43"/>
      <c r="I132" s="159"/>
      <c r="J132" s="160"/>
      <c r="K132" s="160"/>
      <c r="L132" s="160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</row>
    <row r="133" spans="1:23" ht="12.75">
      <c r="A133" s="43"/>
      <c r="B133" s="43"/>
      <c r="C133" s="43"/>
      <c r="D133" s="43"/>
      <c r="E133" s="43"/>
      <c r="F133" s="43"/>
      <c r="G133" s="43"/>
      <c r="H133" s="43"/>
      <c r="I133" s="159"/>
      <c r="J133" s="160"/>
      <c r="K133" s="160"/>
      <c r="L133" s="160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</row>
    <row r="134" spans="1:23" ht="12.75">
      <c r="A134" s="43"/>
      <c r="B134" s="43"/>
      <c r="C134" s="43"/>
      <c r="D134" s="43"/>
      <c r="E134" s="43"/>
      <c r="F134" s="43"/>
      <c r="G134" s="43"/>
      <c r="H134" s="43"/>
      <c r="I134" s="159"/>
      <c r="J134" s="160"/>
      <c r="K134" s="160"/>
      <c r="L134" s="160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</row>
    <row r="135" spans="1:23" ht="12.75">
      <c r="A135" s="43"/>
      <c r="B135" s="43"/>
      <c r="C135" s="43"/>
      <c r="D135" s="43"/>
      <c r="E135" s="43"/>
      <c r="F135" s="43"/>
      <c r="G135" s="43"/>
      <c r="H135" s="43"/>
      <c r="I135" s="159"/>
      <c r="J135" s="160"/>
      <c r="K135" s="160"/>
      <c r="L135" s="160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</row>
    <row r="136" spans="1:23" ht="12.75">
      <c r="A136" s="43"/>
      <c r="B136" s="43"/>
      <c r="C136" s="43"/>
      <c r="D136" s="43"/>
      <c r="E136" s="43"/>
      <c r="F136" s="43"/>
      <c r="G136" s="43"/>
      <c r="H136" s="43"/>
      <c r="I136" s="159"/>
      <c r="J136" s="160"/>
      <c r="K136" s="160"/>
      <c r="L136" s="160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</row>
    <row r="137" spans="1:23" ht="12.75">
      <c r="A137" s="43"/>
      <c r="B137" s="43"/>
      <c r="C137" s="43"/>
      <c r="D137" s="43"/>
      <c r="E137" s="43"/>
      <c r="F137" s="43"/>
      <c r="G137" s="43"/>
      <c r="H137" s="43"/>
      <c r="I137" s="159"/>
      <c r="J137" s="160"/>
      <c r="K137" s="160"/>
      <c r="L137" s="160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</row>
    <row r="138" spans="1:23" ht="12.75">
      <c r="A138" s="43"/>
      <c r="B138" s="43"/>
      <c r="C138" s="43"/>
      <c r="D138" s="43"/>
      <c r="E138" s="43"/>
      <c r="F138" s="43"/>
      <c r="G138" s="43"/>
      <c r="H138" s="43"/>
      <c r="I138" s="159"/>
      <c r="J138" s="160"/>
      <c r="K138" s="160"/>
      <c r="L138" s="160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</row>
    <row r="139" spans="1:23" ht="12.75">
      <c r="A139" s="43"/>
      <c r="B139" s="43"/>
      <c r="C139" s="43"/>
      <c r="D139" s="43"/>
      <c r="E139" s="43"/>
      <c r="F139" s="43"/>
      <c r="G139" s="43"/>
      <c r="H139" s="43"/>
      <c r="I139" s="159"/>
      <c r="J139" s="160"/>
      <c r="K139" s="160"/>
      <c r="L139" s="160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</row>
    <row r="140" spans="1:23" ht="12.75">
      <c r="A140" s="43"/>
      <c r="B140" s="43"/>
      <c r="C140" s="43"/>
      <c r="D140" s="43"/>
      <c r="E140" s="43"/>
      <c r="F140" s="43"/>
      <c r="G140" s="43"/>
      <c r="H140" s="43"/>
      <c r="I140" s="159"/>
      <c r="J140" s="160"/>
      <c r="K140" s="160"/>
      <c r="L140" s="160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</row>
    <row r="141" spans="1:23" ht="12.75">
      <c r="A141" s="43"/>
      <c r="B141" s="43"/>
      <c r="C141" s="43"/>
      <c r="D141" s="43"/>
      <c r="E141" s="43"/>
      <c r="F141" s="43"/>
      <c r="G141" s="43"/>
      <c r="H141" s="43"/>
      <c r="I141" s="159"/>
      <c r="J141" s="160"/>
      <c r="K141" s="160"/>
      <c r="L141" s="160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</row>
    <row r="142" spans="1:23" ht="12.75">
      <c r="A142" s="43"/>
      <c r="B142" s="43"/>
      <c r="C142" s="43"/>
      <c r="D142" s="43"/>
      <c r="E142" s="43"/>
      <c r="F142" s="43"/>
      <c r="G142" s="43"/>
      <c r="H142" s="43"/>
      <c r="I142" s="159"/>
      <c r="J142" s="160"/>
      <c r="K142" s="160"/>
      <c r="L142" s="160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</row>
    <row r="143" spans="1:23" ht="12.75">
      <c r="A143" s="43"/>
      <c r="B143" s="43"/>
      <c r="C143" s="43"/>
      <c r="D143" s="43"/>
      <c r="E143" s="43"/>
      <c r="F143" s="43"/>
      <c r="G143" s="43"/>
      <c r="H143" s="43"/>
      <c r="I143" s="159"/>
      <c r="J143" s="160"/>
      <c r="K143" s="160"/>
      <c r="L143" s="160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</row>
    <row r="144" spans="1:23" ht="12.75">
      <c r="A144" s="43"/>
      <c r="B144" s="43"/>
      <c r="C144" s="43"/>
      <c r="D144" s="43"/>
      <c r="E144" s="43"/>
      <c r="F144" s="43"/>
      <c r="G144" s="43"/>
      <c r="H144" s="43"/>
      <c r="I144" s="159"/>
      <c r="J144" s="160"/>
      <c r="K144" s="160"/>
      <c r="L144" s="160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</row>
    <row r="145" spans="1:23" ht="12.75">
      <c r="A145" s="43"/>
      <c r="B145" s="43"/>
      <c r="C145" s="43"/>
      <c r="D145" s="43"/>
      <c r="E145" s="43"/>
      <c r="F145" s="43"/>
      <c r="G145" s="43"/>
      <c r="H145" s="43"/>
      <c r="I145" s="159"/>
      <c r="J145" s="160"/>
      <c r="K145" s="160"/>
      <c r="L145" s="160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</row>
    <row r="146" spans="1:23" ht="12.75">
      <c r="A146" s="43"/>
      <c r="B146" s="43"/>
      <c r="C146" s="43"/>
      <c r="D146" s="43"/>
      <c r="E146" s="43"/>
      <c r="F146" s="43"/>
      <c r="G146" s="43"/>
      <c r="H146" s="43"/>
      <c r="I146" s="159"/>
      <c r="J146" s="160"/>
      <c r="K146" s="160"/>
      <c r="L146" s="160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</row>
    <row r="147" spans="1:23" ht="12.75">
      <c r="A147" s="43"/>
      <c r="B147" s="43"/>
      <c r="C147" s="43"/>
      <c r="D147" s="43"/>
      <c r="E147" s="43"/>
      <c r="F147" s="43"/>
      <c r="G147" s="43"/>
      <c r="H147" s="43"/>
      <c r="I147" s="159"/>
      <c r="J147" s="160"/>
      <c r="K147" s="160"/>
      <c r="L147" s="160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</row>
    <row r="148" spans="1:23" ht="12.75">
      <c r="A148" s="43"/>
      <c r="B148" s="43"/>
      <c r="C148" s="43"/>
      <c r="D148" s="43"/>
      <c r="E148" s="43"/>
      <c r="F148" s="43"/>
      <c r="G148" s="43"/>
      <c r="H148" s="43"/>
      <c r="I148" s="159"/>
      <c r="J148" s="160"/>
      <c r="K148" s="160"/>
      <c r="L148" s="160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</row>
    <row r="149" spans="1:23" ht="12.75">
      <c r="A149" s="43"/>
      <c r="B149" s="43"/>
      <c r="C149" s="43"/>
      <c r="D149" s="43"/>
      <c r="E149" s="43"/>
      <c r="F149" s="43"/>
      <c r="G149" s="43"/>
      <c r="H149" s="43"/>
      <c r="I149" s="159"/>
      <c r="J149" s="160"/>
      <c r="K149" s="160"/>
      <c r="L149" s="160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</row>
    <row r="150" spans="1:23" ht="12.75">
      <c r="A150" s="43"/>
      <c r="B150" s="43"/>
      <c r="C150" s="43"/>
      <c r="D150" s="43"/>
      <c r="E150" s="43"/>
      <c r="F150" s="43"/>
      <c r="G150" s="43"/>
      <c r="H150" s="43"/>
      <c r="I150" s="159"/>
      <c r="J150" s="160"/>
      <c r="K150" s="160"/>
      <c r="L150" s="160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</row>
    <row r="151" spans="1:23" ht="12.75">
      <c r="A151" s="43"/>
      <c r="B151" s="43"/>
      <c r="C151" s="43"/>
      <c r="D151" s="43"/>
      <c r="E151" s="43"/>
      <c r="F151" s="43"/>
      <c r="G151" s="43"/>
      <c r="H151" s="43"/>
      <c r="I151" s="159"/>
      <c r="J151" s="160"/>
      <c r="K151" s="160"/>
      <c r="L151" s="160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</row>
    <row r="152" spans="1:23" ht="12.75">
      <c r="A152" s="43"/>
      <c r="B152" s="43"/>
      <c r="C152" s="43"/>
      <c r="D152" s="43"/>
      <c r="E152" s="43"/>
      <c r="F152" s="43"/>
      <c r="G152" s="43"/>
      <c r="H152" s="43"/>
      <c r="I152" s="159"/>
      <c r="J152" s="160"/>
      <c r="K152" s="160"/>
      <c r="L152" s="160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</row>
    <row r="153" spans="1:23" ht="12.75">
      <c r="A153" s="43"/>
      <c r="B153" s="43"/>
      <c r="C153" s="43"/>
      <c r="D153" s="43"/>
      <c r="E153" s="43"/>
      <c r="F153" s="43"/>
      <c r="G153" s="43"/>
      <c r="H153" s="43"/>
      <c r="I153" s="159"/>
      <c r="J153" s="160"/>
      <c r="K153" s="160"/>
      <c r="L153" s="160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</row>
    <row r="154" spans="1:23" ht="12.75">
      <c r="A154" s="43"/>
      <c r="B154" s="43"/>
      <c r="C154" s="43"/>
      <c r="D154" s="43"/>
      <c r="E154" s="43"/>
      <c r="F154" s="43"/>
      <c r="G154" s="43"/>
      <c r="H154" s="43"/>
      <c r="I154" s="159"/>
      <c r="J154" s="160"/>
      <c r="K154" s="160"/>
      <c r="L154" s="160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</row>
    <row r="155" spans="1:23" ht="12.75">
      <c r="A155" s="43"/>
      <c r="B155" s="43"/>
      <c r="C155" s="43"/>
      <c r="D155" s="43"/>
      <c r="E155" s="43"/>
      <c r="F155" s="43"/>
      <c r="G155" s="43"/>
      <c r="H155" s="43"/>
      <c r="I155" s="159"/>
      <c r="J155" s="160"/>
      <c r="K155" s="160"/>
      <c r="L155" s="160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</row>
    <row r="156" spans="1:23" ht="12.75">
      <c r="A156" s="43"/>
      <c r="B156" s="43"/>
      <c r="C156" s="43"/>
      <c r="D156" s="43"/>
      <c r="E156" s="43"/>
      <c r="F156" s="43"/>
      <c r="G156" s="43"/>
      <c r="H156" s="43"/>
      <c r="I156" s="159"/>
      <c r="J156" s="160"/>
      <c r="K156" s="160"/>
      <c r="L156" s="160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</row>
    <row r="157" spans="1:23" ht="12.75">
      <c r="A157" s="43"/>
      <c r="B157" s="43"/>
      <c r="C157" s="43"/>
      <c r="D157" s="43"/>
      <c r="E157" s="43"/>
      <c r="F157" s="43"/>
      <c r="G157" s="43"/>
      <c r="H157" s="43"/>
      <c r="I157" s="159"/>
      <c r="J157" s="160"/>
      <c r="K157" s="160"/>
      <c r="L157" s="160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</row>
    <row r="158" spans="1:23" ht="12.75">
      <c r="A158" s="43"/>
      <c r="B158" s="43"/>
      <c r="C158" s="43"/>
      <c r="D158" s="43"/>
      <c r="E158" s="43"/>
      <c r="F158" s="43"/>
      <c r="G158" s="43"/>
      <c r="H158" s="43"/>
      <c r="I158" s="159"/>
      <c r="J158" s="160"/>
      <c r="K158" s="160"/>
      <c r="L158" s="160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</row>
    <row r="159" spans="1:23" ht="12.75">
      <c r="A159" s="43"/>
      <c r="B159" s="43"/>
      <c r="C159" s="43"/>
      <c r="D159" s="43"/>
      <c r="E159" s="43"/>
      <c r="F159" s="43"/>
      <c r="G159" s="43"/>
      <c r="H159" s="43"/>
      <c r="I159" s="159"/>
      <c r="J159" s="160"/>
      <c r="K159" s="160"/>
      <c r="L159" s="160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</row>
    <row r="160" spans="1:23" ht="12.75">
      <c r="A160" s="43"/>
      <c r="B160" s="43"/>
      <c r="C160" s="43"/>
      <c r="D160" s="43"/>
      <c r="E160" s="43"/>
      <c r="F160" s="43"/>
      <c r="G160" s="43"/>
      <c r="H160" s="43"/>
      <c r="I160" s="159"/>
      <c r="J160" s="160"/>
      <c r="K160" s="160"/>
      <c r="L160" s="160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spans="1:23" ht="12.75">
      <c r="A161" s="43"/>
      <c r="B161" s="43"/>
      <c r="C161" s="43"/>
      <c r="D161" s="43"/>
      <c r="E161" s="43"/>
      <c r="F161" s="43"/>
      <c r="G161" s="43"/>
      <c r="H161" s="43"/>
      <c r="I161" s="159"/>
      <c r="J161" s="160"/>
      <c r="K161" s="160"/>
      <c r="L161" s="160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</row>
    <row r="162" spans="1:23" ht="12.75">
      <c r="A162" s="43"/>
      <c r="B162" s="43"/>
      <c r="C162" s="43"/>
      <c r="D162" s="43"/>
      <c r="E162" s="43"/>
      <c r="F162" s="43"/>
      <c r="G162" s="43"/>
      <c r="H162" s="43"/>
      <c r="I162" s="159"/>
      <c r="J162" s="160"/>
      <c r="K162" s="160"/>
      <c r="L162" s="160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</row>
    <row r="163" spans="1:23" ht="12.75">
      <c r="A163" s="43"/>
      <c r="B163" s="43"/>
      <c r="C163" s="43"/>
      <c r="D163" s="43"/>
      <c r="E163" s="43"/>
      <c r="F163" s="43"/>
      <c r="G163" s="43"/>
      <c r="H163" s="43"/>
      <c r="I163" s="159"/>
      <c r="J163" s="160"/>
      <c r="K163" s="160"/>
      <c r="L163" s="160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</row>
    <row r="164" spans="1:23" ht="12.75">
      <c r="A164" s="43"/>
      <c r="B164" s="43"/>
      <c r="C164" s="43"/>
      <c r="D164" s="43"/>
      <c r="E164" s="43"/>
      <c r="F164" s="43"/>
      <c r="G164" s="43"/>
      <c r="H164" s="43"/>
      <c r="I164" s="159"/>
      <c r="J164" s="160"/>
      <c r="K164" s="160"/>
      <c r="L164" s="160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</row>
    <row r="165" spans="1:23" ht="12.75">
      <c r="A165" s="43"/>
      <c r="B165" s="43"/>
      <c r="C165" s="43"/>
      <c r="D165" s="43"/>
      <c r="E165" s="43"/>
      <c r="F165" s="43"/>
      <c r="G165" s="43"/>
      <c r="H165" s="43"/>
      <c r="I165" s="159"/>
      <c r="J165" s="160"/>
      <c r="K165" s="160"/>
      <c r="L165" s="160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</row>
    <row r="166" spans="1:23" ht="12.75">
      <c r="A166" s="43"/>
      <c r="B166" s="43"/>
      <c r="C166" s="43"/>
      <c r="D166" s="43"/>
      <c r="E166" s="43"/>
      <c r="F166" s="43"/>
      <c r="G166" s="43"/>
      <c r="H166" s="43"/>
      <c r="I166" s="159"/>
      <c r="J166" s="160"/>
      <c r="K166" s="160"/>
      <c r="L166" s="160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</row>
    <row r="167" spans="1:23" ht="12.75">
      <c r="A167" s="43"/>
      <c r="B167" s="43"/>
      <c r="C167" s="43"/>
      <c r="D167" s="43"/>
      <c r="E167" s="43"/>
      <c r="F167" s="43"/>
      <c r="G167" s="43"/>
      <c r="H167" s="43"/>
      <c r="I167" s="159"/>
      <c r="J167" s="160"/>
      <c r="K167" s="160"/>
      <c r="L167" s="160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</row>
    <row r="168" spans="1:23" ht="12.75">
      <c r="A168" s="43"/>
      <c r="B168" s="43"/>
      <c r="C168" s="43"/>
      <c r="D168" s="43"/>
      <c r="E168" s="43"/>
      <c r="F168" s="43"/>
      <c r="G168" s="43"/>
      <c r="H168" s="43"/>
      <c r="I168" s="159"/>
      <c r="J168" s="160"/>
      <c r="K168" s="160"/>
      <c r="L168" s="160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</row>
    <row r="169" spans="1:23" ht="12.75">
      <c r="A169" s="43"/>
      <c r="B169" s="43"/>
      <c r="C169" s="43"/>
      <c r="D169" s="43"/>
      <c r="E169" s="43"/>
      <c r="F169" s="43"/>
      <c r="G169" s="43"/>
      <c r="H169" s="43"/>
      <c r="I169" s="159"/>
      <c r="J169" s="160"/>
      <c r="K169" s="160"/>
      <c r="L169" s="160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</row>
    <row r="170" spans="1:23" ht="12.75">
      <c r="A170" s="43"/>
      <c r="B170" s="43"/>
      <c r="C170" s="43"/>
      <c r="D170" s="43"/>
      <c r="E170" s="43"/>
      <c r="F170" s="43"/>
      <c r="G170" s="43"/>
      <c r="H170" s="43"/>
      <c r="I170" s="159"/>
      <c r="J170" s="160"/>
      <c r="K170" s="160"/>
      <c r="L170" s="160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</row>
    <row r="171" spans="1:23" ht="12.75">
      <c r="A171" s="43"/>
      <c r="B171" s="43"/>
      <c r="C171" s="43"/>
      <c r="D171" s="43"/>
      <c r="E171" s="43"/>
      <c r="F171" s="43"/>
      <c r="G171" s="43"/>
      <c r="H171" s="43"/>
      <c r="I171" s="159"/>
      <c r="J171" s="160"/>
      <c r="K171" s="160"/>
      <c r="L171" s="160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</row>
    <row r="172" spans="1:23" ht="12.75">
      <c r="A172" s="43"/>
      <c r="B172" s="43"/>
      <c r="C172" s="43"/>
      <c r="D172" s="43"/>
      <c r="E172" s="43"/>
      <c r="F172" s="43"/>
      <c r="G172" s="43"/>
      <c r="H172" s="43"/>
      <c r="I172" s="159"/>
      <c r="J172" s="160"/>
      <c r="K172" s="160"/>
      <c r="L172" s="160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</row>
    <row r="173" spans="1:23" ht="12.75">
      <c r="A173" s="43"/>
      <c r="B173" s="43"/>
      <c r="C173" s="43"/>
      <c r="D173" s="43"/>
      <c r="E173" s="43"/>
      <c r="F173" s="43"/>
      <c r="G173" s="43"/>
      <c r="H173" s="43"/>
      <c r="I173" s="159"/>
      <c r="J173" s="160"/>
      <c r="K173" s="160"/>
      <c r="L173" s="160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</row>
    <row r="174" spans="1:23" ht="12.75">
      <c r="A174" s="43"/>
      <c r="B174" s="43"/>
      <c r="C174" s="43"/>
      <c r="D174" s="43"/>
      <c r="E174" s="43"/>
      <c r="F174" s="43"/>
      <c r="G174" s="43"/>
      <c r="H174" s="43"/>
      <c r="I174" s="159"/>
      <c r="J174" s="160"/>
      <c r="K174" s="160"/>
      <c r="L174" s="160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</row>
    <row r="175" spans="1:23" ht="12.75">
      <c r="A175" s="43"/>
      <c r="B175" s="43"/>
      <c r="C175" s="43"/>
      <c r="D175" s="43"/>
      <c r="E175" s="43"/>
      <c r="F175" s="43"/>
      <c r="G175" s="43"/>
      <c r="H175" s="43"/>
      <c r="I175" s="159"/>
      <c r="J175" s="160"/>
      <c r="K175" s="160"/>
      <c r="L175" s="160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</row>
    <row r="176" spans="1:23" ht="12.75">
      <c r="A176" s="43"/>
      <c r="B176" s="43"/>
      <c r="C176" s="43"/>
      <c r="D176" s="43"/>
      <c r="E176" s="43"/>
      <c r="F176" s="43"/>
      <c r="G176" s="43"/>
      <c r="H176" s="43"/>
      <c r="I176" s="159"/>
      <c r="J176" s="160"/>
      <c r="K176" s="160"/>
      <c r="L176" s="160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</row>
    <row r="177" spans="1:23" ht="12.75">
      <c r="A177" s="43"/>
      <c r="B177" s="43"/>
      <c r="C177" s="43"/>
      <c r="D177" s="43"/>
      <c r="E177" s="43"/>
      <c r="F177" s="43"/>
      <c r="G177" s="43"/>
      <c r="H177" s="43"/>
      <c r="I177" s="159"/>
      <c r="J177" s="160"/>
      <c r="K177" s="160"/>
      <c r="L177" s="160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</row>
    <row r="178" spans="1:23" ht="12.75">
      <c r="A178" s="43"/>
      <c r="B178" s="43"/>
      <c r="C178" s="43"/>
      <c r="D178" s="43"/>
      <c r="E178" s="43"/>
      <c r="F178" s="43"/>
      <c r="G178" s="43"/>
      <c r="H178" s="43"/>
      <c r="I178" s="159"/>
      <c r="J178" s="160"/>
      <c r="K178" s="160"/>
      <c r="L178" s="160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</row>
    <row r="179" spans="1:23" ht="12.75">
      <c r="A179" s="43"/>
      <c r="B179" s="43"/>
      <c r="C179" s="43"/>
      <c r="D179" s="43"/>
      <c r="E179" s="43"/>
      <c r="F179" s="43"/>
      <c r="G179" s="43"/>
      <c r="H179" s="43"/>
      <c r="I179" s="159"/>
      <c r="J179" s="160"/>
      <c r="K179" s="160"/>
      <c r="L179" s="160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</row>
    <row r="180" spans="1:23" ht="12.75">
      <c r="A180" s="43"/>
      <c r="B180" s="43"/>
      <c r="C180" s="43"/>
      <c r="D180" s="43"/>
      <c r="E180" s="43"/>
      <c r="F180" s="43"/>
      <c r="G180" s="43"/>
      <c r="H180" s="43"/>
      <c r="I180" s="159"/>
      <c r="J180" s="160"/>
      <c r="K180" s="160"/>
      <c r="L180" s="160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</row>
    <row r="181" spans="1:23" ht="12.75">
      <c r="A181" s="43"/>
      <c r="B181" s="43"/>
      <c r="C181" s="43"/>
      <c r="D181" s="43"/>
      <c r="E181" s="43"/>
      <c r="F181" s="43"/>
      <c r="G181" s="43"/>
      <c r="H181" s="43"/>
      <c r="I181" s="159"/>
      <c r="J181" s="160"/>
      <c r="K181" s="160"/>
      <c r="L181" s="160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</row>
    <row r="182" spans="1:23" ht="12.75">
      <c r="A182" s="43"/>
      <c r="B182" s="43"/>
      <c r="C182" s="43"/>
      <c r="D182" s="43"/>
      <c r="E182" s="43"/>
      <c r="F182" s="43"/>
      <c r="G182" s="43"/>
      <c r="H182" s="43"/>
      <c r="I182" s="159"/>
      <c r="J182" s="160"/>
      <c r="K182" s="160"/>
      <c r="L182" s="160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</row>
    <row r="183" spans="1:23" ht="12.75">
      <c r="A183" s="43"/>
      <c r="B183" s="43"/>
      <c r="C183" s="43"/>
      <c r="D183" s="43"/>
      <c r="E183" s="43"/>
      <c r="F183" s="43"/>
      <c r="G183" s="43"/>
      <c r="H183" s="43"/>
      <c r="I183" s="159"/>
      <c r="J183" s="160"/>
      <c r="K183" s="160"/>
      <c r="L183" s="160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</row>
    <row r="184" spans="1:23" ht="12.75">
      <c r="A184" s="43"/>
      <c r="B184" s="43"/>
      <c r="C184" s="43"/>
      <c r="D184" s="43"/>
      <c r="E184" s="43"/>
      <c r="F184" s="43"/>
      <c r="G184" s="43"/>
      <c r="H184" s="43"/>
      <c r="I184" s="159"/>
      <c r="J184" s="160"/>
      <c r="K184" s="160"/>
      <c r="L184" s="160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</row>
    <row r="185" spans="1:23" ht="12.75">
      <c r="A185" s="43"/>
      <c r="B185" s="43"/>
      <c r="C185" s="43"/>
      <c r="D185" s="43"/>
      <c r="E185" s="43"/>
      <c r="F185" s="43"/>
      <c r="G185" s="43"/>
      <c r="H185" s="43"/>
      <c r="I185" s="159"/>
      <c r="J185" s="160"/>
      <c r="K185" s="160"/>
      <c r="L185" s="160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</row>
    <row r="186" spans="1:23" ht="12.75">
      <c r="A186" s="43"/>
      <c r="B186" s="43"/>
      <c r="C186" s="43"/>
      <c r="D186" s="43"/>
      <c r="E186" s="43"/>
      <c r="F186" s="43"/>
      <c r="G186" s="43"/>
      <c r="H186" s="43"/>
      <c r="I186" s="159"/>
      <c r="J186" s="160"/>
      <c r="K186" s="160"/>
      <c r="L186" s="160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</row>
    <row r="187" spans="1:23" ht="12.75">
      <c r="A187" s="43"/>
      <c r="B187" s="43"/>
      <c r="C187" s="43"/>
      <c r="D187" s="43"/>
      <c r="E187" s="43"/>
      <c r="F187" s="43"/>
      <c r="G187" s="43"/>
      <c r="H187" s="43"/>
      <c r="I187" s="159"/>
      <c r="J187" s="160"/>
      <c r="K187" s="160"/>
      <c r="L187" s="160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</row>
    <row r="188" spans="1:23" ht="12.75">
      <c r="A188" s="43"/>
      <c r="B188" s="43"/>
      <c r="C188" s="43"/>
      <c r="D188" s="43"/>
      <c r="E188" s="43"/>
      <c r="F188" s="43"/>
      <c r="G188" s="43"/>
      <c r="H188" s="43"/>
      <c r="I188" s="159"/>
      <c r="J188" s="160"/>
      <c r="K188" s="160"/>
      <c r="L188" s="160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</row>
    <row r="189" spans="1:23" ht="12.75">
      <c r="A189" s="43"/>
      <c r="B189" s="43"/>
      <c r="C189" s="43"/>
      <c r="D189" s="43"/>
      <c r="E189" s="43"/>
      <c r="F189" s="43"/>
      <c r="G189" s="43"/>
      <c r="H189" s="43"/>
      <c r="I189" s="159"/>
      <c r="J189" s="160"/>
      <c r="K189" s="160"/>
      <c r="L189" s="160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</row>
    <row r="190" spans="1:23" ht="12.75">
      <c r="A190" s="43"/>
      <c r="B190" s="43"/>
      <c r="C190" s="43"/>
      <c r="D190" s="43"/>
      <c r="E190" s="43"/>
      <c r="F190" s="43"/>
      <c r="G190" s="43"/>
      <c r="H190" s="43"/>
      <c r="I190" s="159"/>
      <c r="J190" s="160"/>
      <c r="K190" s="160"/>
      <c r="L190" s="160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</row>
    <row r="191" spans="1:23" ht="12.75">
      <c r="A191" s="43"/>
      <c r="B191" s="43"/>
      <c r="C191" s="43"/>
      <c r="D191" s="43"/>
      <c r="E191" s="43"/>
      <c r="F191" s="43"/>
      <c r="G191" s="43"/>
      <c r="H191" s="43"/>
      <c r="I191" s="159"/>
      <c r="J191" s="160"/>
      <c r="K191" s="160"/>
      <c r="L191" s="160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</row>
    <row r="192" spans="1:23" ht="12.75">
      <c r="A192" s="43"/>
      <c r="B192" s="43"/>
      <c r="C192" s="43"/>
      <c r="D192" s="43"/>
      <c r="E192" s="43"/>
      <c r="F192" s="43"/>
      <c r="G192" s="43"/>
      <c r="H192" s="43"/>
      <c r="I192" s="159"/>
      <c r="J192" s="160"/>
      <c r="K192" s="160"/>
      <c r="L192" s="160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</row>
    <row r="193" spans="1:23" ht="12.75">
      <c r="A193" s="43"/>
      <c r="B193" s="43"/>
      <c r="C193" s="43"/>
      <c r="D193" s="43"/>
      <c r="E193" s="43"/>
      <c r="F193" s="43"/>
      <c r="G193" s="43"/>
      <c r="H193" s="43"/>
      <c r="I193" s="159"/>
      <c r="J193" s="160"/>
      <c r="K193" s="160"/>
      <c r="L193" s="160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</row>
    <row r="194" spans="1:23" ht="12.75">
      <c r="A194" s="43"/>
      <c r="B194" s="43"/>
      <c r="C194" s="43"/>
      <c r="D194" s="43"/>
      <c r="E194" s="43"/>
      <c r="F194" s="43"/>
      <c r="G194" s="43"/>
      <c r="H194" s="43"/>
      <c r="I194" s="159"/>
      <c r="J194" s="160"/>
      <c r="K194" s="160"/>
      <c r="L194" s="160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</row>
    <row r="195" spans="1:23" ht="12.75">
      <c r="A195" s="43"/>
      <c r="B195" s="43"/>
      <c r="C195" s="43"/>
      <c r="D195" s="43"/>
      <c r="E195" s="43"/>
      <c r="F195" s="43"/>
      <c r="G195" s="43"/>
      <c r="H195" s="43"/>
      <c r="I195" s="159"/>
      <c r="J195" s="160"/>
      <c r="K195" s="160"/>
      <c r="L195" s="160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</row>
    <row r="196" spans="1:23" ht="12.75">
      <c r="A196" s="43"/>
      <c r="B196" s="43"/>
      <c r="C196" s="43"/>
      <c r="D196" s="43"/>
      <c r="E196" s="43"/>
      <c r="F196" s="43"/>
      <c r="G196" s="43"/>
      <c r="H196" s="43"/>
      <c r="I196" s="159"/>
      <c r="J196" s="160"/>
      <c r="K196" s="160"/>
      <c r="L196" s="160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23" customWidth="1"/>
    <col min="2" max="2" width="31.28125" style="23" customWidth="1"/>
    <col min="3" max="3" width="9.140625" style="23" customWidth="1"/>
    <col min="4" max="4" width="16.140625" style="23" customWidth="1"/>
    <col min="5" max="5" width="19.28125" style="23" customWidth="1"/>
    <col min="6" max="6" width="17.7109375" style="23" customWidth="1"/>
    <col min="7" max="7" width="18.421875" style="23" customWidth="1"/>
    <col min="8" max="8" width="13.140625" style="23" customWidth="1"/>
    <col min="9" max="9" width="16.00390625" style="23" customWidth="1"/>
    <col min="10" max="10" width="14.00390625" style="23" customWidth="1"/>
    <col min="11" max="11" width="9.140625" style="23" customWidth="1"/>
    <col min="12" max="12" width="14.57421875" style="23" customWidth="1"/>
    <col min="13" max="16384" width="9.140625" style="23" customWidth="1"/>
  </cols>
  <sheetData>
    <row r="1" spans="1:24" ht="12.75">
      <c r="A1" s="43"/>
      <c r="B1" s="43"/>
      <c r="C1" s="43"/>
      <c r="D1" s="43"/>
      <c r="E1" s="43"/>
      <c r="F1" s="43"/>
      <c r="G1" s="43"/>
      <c r="H1" s="43"/>
      <c r="I1" s="43"/>
      <c r="J1" s="159"/>
      <c r="K1" s="160"/>
      <c r="L1" s="160"/>
      <c r="M1" s="160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2.75">
      <c r="A2" s="43"/>
      <c r="B2" s="43"/>
      <c r="C2" s="43"/>
      <c r="D2" s="43"/>
      <c r="E2" s="43"/>
      <c r="F2" s="43"/>
      <c r="G2" s="43"/>
      <c r="H2" s="43"/>
      <c r="I2" s="43"/>
      <c r="J2" s="159"/>
      <c r="K2" s="160"/>
      <c r="L2" s="160"/>
      <c r="M2" s="160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2.75">
      <c r="A3" s="43"/>
      <c r="B3" s="43"/>
      <c r="C3" s="43"/>
      <c r="D3" s="43"/>
      <c r="E3" s="43"/>
      <c r="F3" s="43"/>
      <c r="G3" s="43"/>
      <c r="H3" s="43"/>
      <c r="I3" s="43"/>
      <c r="J3" s="159"/>
      <c r="K3" s="160"/>
      <c r="L3" s="160"/>
      <c r="M3" s="160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2.75">
      <c r="A4" s="43"/>
      <c r="B4" s="43"/>
      <c r="C4" s="43"/>
      <c r="D4" s="43"/>
      <c r="E4" s="43"/>
      <c r="F4" s="43"/>
      <c r="G4" s="43"/>
      <c r="H4" s="43"/>
      <c r="I4" s="43"/>
      <c r="J4" s="159"/>
      <c r="K4" s="160"/>
      <c r="L4" s="160"/>
      <c r="M4" s="160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ht="12.75">
      <c r="A5" s="43"/>
      <c r="B5" s="43"/>
      <c r="C5" s="43"/>
      <c r="D5" s="43"/>
      <c r="E5" s="43"/>
      <c r="F5" s="43"/>
      <c r="G5" s="43"/>
      <c r="H5" s="43"/>
      <c r="I5" s="43"/>
      <c r="J5" s="159"/>
      <c r="K5" s="160"/>
      <c r="L5" s="160"/>
      <c r="M5" s="160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2.75">
      <c r="A6" s="43"/>
      <c r="B6" s="43"/>
      <c r="C6" s="43"/>
      <c r="D6" s="43"/>
      <c r="E6" s="43"/>
      <c r="F6" s="43"/>
      <c r="G6" s="43"/>
      <c r="H6" s="43"/>
      <c r="I6" s="43"/>
      <c r="J6" s="159"/>
      <c r="K6" s="160"/>
      <c r="L6" s="160"/>
      <c r="M6" s="160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2.75">
      <c r="A7" s="43"/>
      <c r="B7" s="43"/>
      <c r="C7" s="43"/>
      <c r="D7" s="43"/>
      <c r="E7" s="43"/>
      <c r="F7" s="43"/>
      <c r="G7" s="43"/>
      <c r="H7" s="43"/>
      <c r="I7" s="43"/>
      <c r="J7" s="159"/>
      <c r="K7" s="160"/>
      <c r="L7" s="160"/>
      <c r="M7" s="160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2.75">
      <c r="A8" s="43"/>
      <c r="B8" s="43"/>
      <c r="C8" s="43"/>
      <c r="D8" s="43"/>
      <c r="E8" s="43"/>
      <c r="F8" s="43"/>
      <c r="G8" s="43"/>
      <c r="H8" s="43"/>
      <c r="I8" s="43"/>
      <c r="J8" s="159"/>
      <c r="K8" s="160"/>
      <c r="L8" s="160"/>
      <c r="M8" s="160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</row>
    <row r="9" spans="1:24" ht="12.75">
      <c r="A9" s="43"/>
      <c r="B9" s="43"/>
      <c r="C9" s="43"/>
      <c r="D9" s="43"/>
      <c r="E9" s="43"/>
      <c r="F9" s="43"/>
      <c r="G9" s="43"/>
      <c r="H9" s="43"/>
      <c r="I9" s="43"/>
      <c r="J9" s="159"/>
      <c r="K9" s="160"/>
      <c r="L9" s="160"/>
      <c r="M9" s="160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ht="12.75">
      <c r="A10" s="43"/>
      <c r="B10" s="43"/>
      <c r="C10" s="43"/>
      <c r="D10" s="43"/>
      <c r="E10" s="43"/>
      <c r="F10" s="43"/>
      <c r="G10" s="43"/>
      <c r="H10" s="43"/>
      <c r="I10" s="43"/>
      <c r="J10" s="159"/>
      <c r="K10" s="160"/>
      <c r="L10" s="160"/>
      <c r="M10" s="160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ht="12.75">
      <c r="A11" s="43"/>
      <c r="B11" s="43"/>
      <c r="C11" s="43"/>
      <c r="D11" s="43"/>
      <c r="E11" s="43"/>
      <c r="F11" s="43"/>
      <c r="G11" s="43"/>
      <c r="H11" s="43"/>
      <c r="I11" s="43"/>
      <c r="J11" s="159"/>
      <c r="K11" s="160"/>
      <c r="L11" s="160"/>
      <c r="M11" s="160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2.75">
      <c r="A12" s="43"/>
      <c r="B12" s="43"/>
      <c r="C12" s="43"/>
      <c r="D12" s="43"/>
      <c r="E12" s="43"/>
      <c r="F12" s="43"/>
      <c r="G12" s="43"/>
      <c r="H12" s="43"/>
      <c r="I12" s="43"/>
      <c r="J12" s="159"/>
      <c r="K12" s="160"/>
      <c r="L12" s="160"/>
      <c r="M12" s="160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ht="12.75">
      <c r="A13" s="43"/>
      <c r="B13" s="43"/>
      <c r="C13" s="43"/>
      <c r="D13" s="43"/>
      <c r="E13" s="43"/>
      <c r="F13" s="43"/>
      <c r="G13" s="43"/>
      <c r="H13" s="43"/>
      <c r="I13" s="43"/>
      <c r="J13" s="159"/>
      <c r="K13" s="160"/>
      <c r="L13" s="160"/>
      <c r="M13" s="160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ht="12.75">
      <c r="A14" s="43"/>
      <c r="B14" s="43"/>
      <c r="C14" s="43"/>
      <c r="D14" s="43"/>
      <c r="E14" s="43"/>
      <c r="F14" s="43"/>
      <c r="G14" s="43"/>
      <c r="H14" s="43"/>
      <c r="I14" s="43"/>
      <c r="J14" s="159"/>
      <c r="K14" s="160"/>
      <c r="L14" s="160"/>
      <c r="M14" s="160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ht="12.75">
      <c r="A15" s="43"/>
      <c r="B15" s="43"/>
      <c r="C15" s="43"/>
      <c r="D15" s="43"/>
      <c r="E15" s="43"/>
      <c r="F15" s="43"/>
      <c r="G15" s="43"/>
      <c r="H15" s="43"/>
      <c r="I15" s="43"/>
      <c r="J15" s="159"/>
      <c r="K15" s="160"/>
      <c r="L15" s="160"/>
      <c r="M15" s="160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ht="12.75">
      <c r="A16" s="43"/>
      <c r="B16" s="43"/>
      <c r="C16" s="43"/>
      <c r="D16" s="43"/>
      <c r="E16" s="43"/>
      <c r="F16" s="43"/>
      <c r="G16" s="43"/>
      <c r="H16" s="43"/>
      <c r="I16" s="43"/>
      <c r="J16" s="159"/>
      <c r="K16" s="160"/>
      <c r="L16" s="160"/>
      <c r="M16" s="16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12.75">
      <c r="A17" s="43"/>
      <c r="B17" s="43"/>
      <c r="C17" s="43"/>
      <c r="D17" s="43"/>
      <c r="E17" s="43"/>
      <c r="F17" s="43"/>
      <c r="G17" s="43"/>
      <c r="H17" s="43"/>
      <c r="I17" s="43"/>
      <c r="J17" s="159"/>
      <c r="K17" s="160"/>
      <c r="L17" s="160"/>
      <c r="M17" s="16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12.75">
      <c r="A18" s="43"/>
      <c r="B18" s="43"/>
      <c r="C18" s="43"/>
      <c r="D18" s="43"/>
      <c r="E18" s="43"/>
      <c r="F18" s="43"/>
      <c r="G18" s="43"/>
      <c r="H18" s="43"/>
      <c r="I18" s="43"/>
      <c r="J18" s="159"/>
      <c r="K18" s="160"/>
      <c r="L18" s="160"/>
      <c r="M18" s="16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ht="12.75">
      <c r="A19" s="43"/>
      <c r="B19" s="43"/>
      <c r="C19" s="43"/>
      <c r="D19" s="43"/>
      <c r="E19" s="43"/>
      <c r="F19" s="43"/>
      <c r="G19" s="43"/>
      <c r="H19" s="43"/>
      <c r="I19" s="43"/>
      <c r="J19" s="159"/>
      <c r="K19" s="160"/>
      <c r="L19" s="160"/>
      <c r="M19" s="160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ht="12.75">
      <c r="A20" s="43"/>
      <c r="B20" s="43"/>
      <c r="C20" s="43"/>
      <c r="D20" s="43"/>
      <c r="E20" s="43"/>
      <c r="F20" s="43"/>
      <c r="G20" s="43"/>
      <c r="H20" s="43"/>
      <c r="I20" s="43"/>
      <c r="J20" s="159"/>
      <c r="K20" s="160"/>
      <c r="L20" s="160"/>
      <c r="M20" s="16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ht="12.75">
      <c r="A21" s="43"/>
      <c r="B21" s="43"/>
      <c r="C21" s="43"/>
      <c r="D21" s="43"/>
      <c r="E21" s="43"/>
      <c r="F21" s="43"/>
      <c r="G21" s="43"/>
      <c r="H21" s="43"/>
      <c r="I21" s="43"/>
      <c r="J21" s="159"/>
      <c r="K21" s="160"/>
      <c r="L21" s="160"/>
      <c r="M21" s="160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ht="12.75">
      <c r="A22" s="43"/>
      <c r="B22" s="43"/>
      <c r="C22" s="43"/>
      <c r="D22" s="43"/>
      <c r="E22" s="43"/>
      <c r="F22" s="43"/>
      <c r="G22" s="43"/>
      <c r="H22" s="43"/>
      <c r="I22" s="43"/>
      <c r="J22" s="159"/>
      <c r="K22" s="160"/>
      <c r="L22" s="160"/>
      <c r="M22" s="160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2.75">
      <c r="A23" s="43"/>
      <c r="B23" s="43"/>
      <c r="C23" s="43"/>
      <c r="D23" s="43"/>
      <c r="E23" s="43"/>
      <c r="F23" s="43"/>
      <c r="G23" s="43"/>
      <c r="H23" s="43"/>
      <c r="I23" s="43"/>
      <c r="J23" s="159"/>
      <c r="K23" s="160"/>
      <c r="L23" s="160"/>
      <c r="M23" s="160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ht="12.75">
      <c r="A24" s="43"/>
      <c r="B24" s="43"/>
      <c r="C24" s="43"/>
      <c r="D24" s="43"/>
      <c r="E24" s="43"/>
      <c r="F24" s="43"/>
      <c r="G24" s="43"/>
      <c r="H24" s="43"/>
      <c r="I24" s="43"/>
      <c r="J24" s="159"/>
      <c r="K24" s="160"/>
      <c r="L24" s="160"/>
      <c r="M24" s="160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ht="12.75">
      <c r="A25" s="43"/>
      <c r="B25" s="43"/>
      <c r="C25" s="43"/>
      <c r="D25" s="43"/>
      <c r="E25" s="43"/>
      <c r="F25" s="43"/>
      <c r="G25" s="43"/>
      <c r="H25" s="43"/>
      <c r="I25" s="43"/>
      <c r="J25" s="159"/>
      <c r="K25" s="160"/>
      <c r="L25" s="160"/>
      <c r="M25" s="160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ht="12.75">
      <c r="A26" s="43"/>
      <c r="B26" s="43"/>
      <c r="C26" s="43"/>
      <c r="D26" s="43"/>
      <c r="E26" s="43"/>
      <c r="F26" s="43"/>
      <c r="G26" s="43"/>
      <c r="H26" s="43"/>
      <c r="I26" s="43"/>
      <c r="J26" s="159"/>
      <c r="K26" s="160"/>
      <c r="L26" s="160"/>
      <c r="M26" s="160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ht="12.75">
      <c r="A27" s="43"/>
      <c r="B27" s="43"/>
      <c r="C27" s="43"/>
      <c r="D27" s="43"/>
      <c r="E27" s="43"/>
      <c r="F27" s="43"/>
      <c r="G27" s="43"/>
      <c r="H27" s="43"/>
      <c r="I27" s="43"/>
      <c r="J27" s="159"/>
      <c r="K27" s="160"/>
      <c r="L27" s="160"/>
      <c r="M27" s="160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ht="12.75">
      <c r="A28" s="43"/>
      <c r="B28" s="43"/>
      <c r="C28" s="43"/>
      <c r="D28" s="43"/>
      <c r="E28" s="43"/>
      <c r="F28" s="43"/>
      <c r="G28" s="43"/>
      <c r="H28" s="43"/>
      <c r="I28" s="43"/>
      <c r="J28" s="159"/>
      <c r="K28" s="160"/>
      <c r="L28" s="160"/>
      <c r="M28" s="160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ht="12.75">
      <c r="A29" s="43"/>
      <c r="B29" s="43"/>
      <c r="C29" s="43"/>
      <c r="D29" s="43"/>
      <c r="E29" s="43"/>
      <c r="F29" s="43"/>
      <c r="G29" s="43"/>
      <c r="H29" s="43"/>
      <c r="I29" s="43"/>
      <c r="J29" s="159"/>
      <c r="K29" s="160"/>
      <c r="L29" s="160"/>
      <c r="M29" s="160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ht="12.75">
      <c r="A30" s="43"/>
      <c r="B30" s="43"/>
      <c r="C30" s="43"/>
      <c r="D30" s="43"/>
      <c r="E30" s="43"/>
      <c r="F30" s="43"/>
      <c r="G30" s="43"/>
      <c r="H30" s="43"/>
      <c r="I30" s="43"/>
      <c r="J30" s="159"/>
      <c r="K30" s="160"/>
      <c r="L30" s="160"/>
      <c r="M30" s="160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ht="12.75">
      <c r="A31" s="43"/>
      <c r="B31" s="43"/>
      <c r="C31" s="43"/>
      <c r="D31" s="43"/>
      <c r="E31" s="43"/>
      <c r="F31" s="43"/>
      <c r="G31" s="43"/>
      <c r="H31" s="43"/>
      <c r="I31" s="43"/>
      <c r="J31" s="159"/>
      <c r="K31" s="160"/>
      <c r="L31" s="160"/>
      <c r="M31" s="16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ht="12.75">
      <c r="A32" s="43"/>
      <c r="B32" s="43"/>
      <c r="C32" s="43"/>
      <c r="D32" s="43"/>
      <c r="E32" s="43"/>
      <c r="F32" s="43"/>
      <c r="G32" s="43"/>
      <c r="H32" s="43"/>
      <c r="I32" s="43"/>
      <c r="J32" s="159"/>
      <c r="K32" s="160"/>
      <c r="L32" s="160"/>
      <c r="M32" s="160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ht="12.75">
      <c r="A33" s="43"/>
      <c r="B33" s="43"/>
      <c r="C33" s="43"/>
      <c r="D33" s="43"/>
      <c r="E33" s="43"/>
      <c r="F33" s="43"/>
      <c r="G33" s="43"/>
      <c r="H33" s="43"/>
      <c r="I33" s="43"/>
      <c r="J33" s="159"/>
      <c r="K33" s="160"/>
      <c r="L33" s="160"/>
      <c r="M33" s="16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24" ht="12.75">
      <c r="A34" s="43"/>
      <c r="B34" s="43"/>
      <c r="C34" s="43"/>
      <c r="D34" s="43"/>
      <c r="E34" s="43"/>
      <c r="F34" s="43"/>
      <c r="G34" s="43"/>
      <c r="H34" s="43"/>
      <c r="I34" s="43"/>
      <c r="J34" s="159"/>
      <c r="K34" s="160"/>
      <c r="L34" s="160"/>
      <c r="M34" s="160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</row>
    <row r="35" spans="1:24" ht="12.75">
      <c r="A35" s="43"/>
      <c r="B35" s="43"/>
      <c r="C35" s="43"/>
      <c r="D35" s="43"/>
      <c r="E35" s="43"/>
      <c r="F35" s="43"/>
      <c r="G35" s="43"/>
      <c r="H35" s="43"/>
      <c r="I35" s="43"/>
      <c r="J35" s="159"/>
      <c r="K35" s="160"/>
      <c r="L35" s="160"/>
      <c r="M35" s="160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  <row r="36" spans="1:24" ht="12.75">
      <c r="A36" s="43"/>
      <c r="B36" s="43"/>
      <c r="C36" s="43"/>
      <c r="D36" s="43"/>
      <c r="E36" s="43"/>
      <c r="F36" s="43"/>
      <c r="G36" s="43"/>
      <c r="H36" s="43"/>
      <c r="I36" s="43"/>
      <c r="J36" s="159"/>
      <c r="K36" s="160"/>
      <c r="L36" s="160"/>
      <c r="M36" s="160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</row>
    <row r="37" spans="1:24" ht="12.75">
      <c r="A37" s="43"/>
      <c r="B37" s="43"/>
      <c r="C37" s="43"/>
      <c r="D37" s="43"/>
      <c r="E37" s="43"/>
      <c r="F37" s="43"/>
      <c r="G37" s="43"/>
      <c r="H37" s="43"/>
      <c r="I37" s="43"/>
      <c r="J37" s="159"/>
      <c r="K37" s="160"/>
      <c r="L37" s="160"/>
      <c r="M37" s="160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</row>
    <row r="38" spans="1:24" ht="12.75">
      <c r="A38" s="43"/>
      <c r="B38" s="43"/>
      <c r="C38" s="43"/>
      <c r="D38" s="43"/>
      <c r="E38" s="43"/>
      <c r="F38" s="43"/>
      <c r="G38" s="43"/>
      <c r="H38" s="43"/>
      <c r="I38" s="43"/>
      <c r="J38" s="159"/>
      <c r="K38" s="160"/>
      <c r="L38" s="160"/>
      <c r="M38" s="160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</row>
    <row r="39" spans="1:24" ht="12.75">
      <c r="A39" s="43"/>
      <c r="B39" s="43"/>
      <c r="C39" s="43"/>
      <c r="D39" s="43"/>
      <c r="E39" s="43"/>
      <c r="F39" s="43"/>
      <c r="G39" s="43"/>
      <c r="H39" s="43"/>
      <c r="I39" s="43"/>
      <c r="J39" s="159"/>
      <c r="K39" s="160"/>
      <c r="L39" s="160"/>
      <c r="M39" s="160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</row>
    <row r="40" spans="1:24" ht="12.75">
      <c r="A40" s="43"/>
      <c r="B40" s="43"/>
      <c r="C40" s="43"/>
      <c r="D40" s="43"/>
      <c r="E40" s="43"/>
      <c r="F40" s="43"/>
      <c r="G40" s="43"/>
      <c r="H40" s="43"/>
      <c r="I40" s="43"/>
      <c r="J40" s="159"/>
      <c r="K40" s="160"/>
      <c r="L40" s="160"/>
      <c r="M40" s="160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4" ht="12.75">
      <c r="A41" s="43"/>
      <c r="B41" s="43"/>
      <c r="C41" s="43"/>
      <c r="D41" s="43"/>
      <c r="E41" s="43"/>
      <c r="F41" s="43"/>
      <c r="G41" s="43"/>
      <c r="H41" s="43"/>
      <c r="I41" s="43"/>
      <c r="J41" s="159"/>
      <c r="K41" s="160"/>
      <c r="L41" s="160"/>
      <c r="M41" s="160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ht="12.75">
      <c r="A42" s="43"/>
      <c r="B42" s="43"/>
      <c r="C42" s="43"/>
      <c r="D42" s="43"/>
      <c r="E42" s="43"/>
      <c r="F42" s="43"/>
      <c r="G42" s="43"/>
      <c r="H42" s="43"/>
      <c r="I42" s="43"/>
      <c r="J42" s="159"/>
      <c r="K42" s="160"/>
      <c r="L42" s="160"/>
      <c r="M42" s="160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</row>
    <row r="43" spans="1:24" ht="12.75">
      <c r="A43" s="43"/>
      <c r="B43" s="43"/>
      <c r="C43" s="43"/>
      <c r="D43" s="43"/>
      <c r="E43" s="43"/>
      <c r="F43" s="43"/>
      <c r="G43" s="43"/>
      <c r="H43" s="43"/>
      <c r="I43" s="43"/>
      <c r="J43" s="159"/>
      <c r="K43" s="160"/>
      <c r="L43" s="160"/>
      <c r="M43" s="160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</row>
    <row r="44" spans="1:24" ht="12.75">
      <c r="A44" s="43"/>
      <c r="B44" s="43"/>
      <c r="C44" s="43"/>
      <c r="D44" s="43"/>
      <c r="E44" s="43"/>
      <c r="F44" s="43"/>
      <c r="G44" s="43"/>
      <c r="H44" s="43"/>
      <c r="I44" s="43"/>
      <c r="J44" s="159"/>
      <c r="K44" s="160"/>
      <c r="L44" s="160"/>
      <c r="M44" s="160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</row>
    <row r="45" spans="1:24" ht="12.75">
      <c r="A45" s="43"/>
      <c r="B45" s="43"/>
      <c r="C45" s="43"/>
      <c r="D45" s="43"/>
      <c r="E45" s="43"/>
      <c r="F45" s="43"/>
      <c r="G45" s="43"/>
      <c r="H45" s="43"/>
      <c r="I45" s="43"/>
      <c r="J45" s="159"/>
      <c r="K45" s="160"/>
      <c r="L45" s="160"/>
      <c r="M45" s="160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1:24" ht="12.75">
      <c r="A46" s="43"/>
      <c r="B46" s="43"/>
      <c r="C46" s="43"/>
      <c r="D46" s="43"/>
      <c r="E46" s="43"/>
      <c r="F46" s="43"/>
      <c r="G46" s="43"/>
      <c r="H46" s="43"/>
      <c r="I46" s="43"/>
      <c r="J46" s="159"/>
      <c r="K46" s="160"/>
      <c r="L46" s="160"/>
      <c r="M46" s="160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</row>
    <row r="47" spans="1:24" ht="12.75">
      <c r="A47" s="43"/>
      <c r="B47" s="43"/>
      <c r="C47" s="43"/>
      <c r="D47" s="43"/>
      <c r="E47" s="43"/>
      <c r="F47" s="43"/>
      <c r="G47" s="43"/>
      <c r="H47" s="43"/>
      <c r="I47" s="43"/>
      <c r="J47" s="159"/>
      <c r="K47" s="160"/>
      <c r="L47" s="160"/>
      <c r="M47" s="160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</row>
    <row r="48" spans="1:24" ht="12.75">
      <c r="A48" s="43"/>
      <c r="B48" s="43"/>
      <c r="C48" s="43"/>
      <c r="D48" s="43"/>
      <c r="E48" s="43"/>
      <c r="F48" s="43"/>
      <c r="G48" s="43"/>
      <c r="H48" s="43"/>
      <c r="I48" s="43"/>
      <c r="J48" s="159"/>
      <c r="K48" s="160"/>
      <c r="L48" s="160"/>
      <c r="M48" s="160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</row>
    <row r="49" spans="1:24" ht="12.75">
      <c r="A49" s="43"/>
      <c r="B49" s="43"/>
      <c r="C49" s="43"/>
      <c r="D49" s="43"/>
      <c r="E49" s="43"/>
      <c r="F49" s="43"/>
      <c r="G49" s="43"/>
      <c r="H49" s="43"/>
      <c r="I49" s="43"/>
      <c r="J49" s="159"/>
      <c r="K49" s="160"/>
      <c r="L49" s="160"/>
      <c r="M49" s="160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  <row r="50" spans="1:24" ht="12.75">
      <c r="A50" s="43"/>
      <c r="B50" s="43"/>
      <c r="C50" s="43"/>
      <c r="D50" s="43"/>
      <c r="E50" s="43"/>
      <c r="F50" s="43"/>
      <c r="G50" s="43"/>
      <c r="H50" s="43"/>
      <c r="I50" s="43"/>
      <c r="J50" s="159"/>
      <c r="K50" s="160"/>
      <c r="L50" s="160"/>
      <c r="M50" s="160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</row>
    <row r="51" spans="1:24" ht="12.75">
      <c r="A51" s="43"/>
      <c r="B51" s="43"/>
      <c r="C51" s="43"/>
      <c r="D51" s="43"/>
      <c r="E51" s="43"/>
      <c r="F51" s="43"/>
      <c r="G51" s="43"/>
      <c r="H51" s="43"/>
      <c r="I51" s="43"/>
      <c r="J51" s="159"/>
      <c r="K51" s="160"/>
      <c r="L51" s="160"/>
      <c r="M51" s="160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</row>
    <row r="52" spans="1:24" ht="12.75">
      <c r="A52" s="43"/>
      <c r="B52" s="43"/>
      <c r="C52" s="43"/>
      <c r="D52" s="43"/>
      <c r="E52" s="43"/>
      <c r="F52" s="43"/>
      <c r="G52" s="43"/>
      <c r="H52" s="43"/>
      <c r="I52" s="43"/>
      <c r="J52" s="159"/>
      <c r="K52" s="160"/>
      <c r="L52" s="160"/>
      <c r="M52" s="160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2.75">
      <c r="A53" s="43"/>
      <c r="B53" s="43"/>
      <c r="C53" s="43"/>
      <c r="D53" s="43"/>
      <c r="E53" s="43"/>
      <c r="F53" s="43"/>
      <c r="G53" s="43"/>
      <c r="H53" s="43"/>
      <c r="I53" s="43"/>
      <c r="J53" s="159"/>
      <c r="K53" s="160"/>
      <c r="L53" s="160"/>
      <c r="M53" s="160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24" ht="12.75">
      <c r="A54" s="43"/>
      <c r="B54" s="43"/>
      <c r="C54" s="43"/>
      <c r="D54" s="43"/>
      <c r="E54" s="43"/>
      <c r="F54" s="43"/>
      <c r="G54" s="43"/>
      <c r="H54" s="43"/>
      <c r="I54" s="43"/>
      <c r="J54" s="159"/>
      <c r="K54" s="160"/>
      <c r="L54" s="160"/>
      <c r="M54" s="160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ht="12.75">
      <c r="A55" s="43"/>
      <c r="B55" s="43"/>
      <c r="C55" s="43"/>
      <c r="D55" s="43"/>
      <c r="E55" s="43"/>
      <c r="F55" s="43"/>
      <c r="G55" s="43"/>
      <c r="H55" s="43"/>
      <c r="I55" s="43"/>
      <c r="J55" s="159"/>
      <c r="K55" s="160"/>
      <c r="L55" s="160"/>
      <c r="M55" s="160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ht="12.75">
      <c r="A56" s="43"/>
      <c r="B56" s="43"/>
      <c r="C56" s="43"/>
      <c r="D56" s="43"/>
      <c r="E56" s="43"/>
      <c r="F56" s="43"/>
      <c r="G56" s="43"/>
      <c r="H56" s="43"/>
      <c r="I56" s="43"/>
      <c r="J56" s="159"/>
      <c r="K56" s="160"/>
      <c r="L56" s="160"/>
      <c r="M56" s="160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24" ht="12.75">
      <c r="A57" s="43"/>
      <c r="B57" s="43"/>
      <c r="C57" s="43"/>
      <c r="D57" s="43"/>
      <c r="E57" s="43"/>
      <c r="F57" s="43"/>
      <c r="G57" s="43"/>
      <c r="H57" s="43"/>
      <c r="I57" s="43"/>
      <c r="J57" s="159"/>
      <c r="K57" s="160"/>
      <c r="L57" s="160"/>
      <c r="M57" s="160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12.75">
      <c r="A58" s="43"/>
      <c r="B58" s="43"/>
      <c r="C58" s="43"/>
      <c r="D58" s="43"/>
      <c r="E58" s="43"/>
      <c r="F58" s="43"/>
      <c r="G58" s="43"/>
      <c r="H58" s="43"/>
      <c r="I58" s="43"/>
      <c r="J58" s="159"/>
      <c r="K58" s="160"/>
      <c r="L58" s="160"/>
      <c r="M58" s="160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ht="12.75">
      <c r="A59" s="43"/>
      <c r="B59" s="43"/>
      <c r="C59" s="43"/>
      <c r="D59" s="43"/>
      <c r="E59" s="43"/>
      <c r="F59" s="43"/>
      <c r="G59" s="43"/>
      <c r="H59" s="43"/>
      <c r="I59" s="43"/>
      <c r="J59" s="159"/>
      <c r="K59" s="160"/>
      <c r="L59" s="160"/>
      <c r="M59" s="160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</row>
    <row r="60" spans="1:24" ht="12.75">
      <c r="A60" s="43"/>
      <c r="B60" s="43"/>
      <c r="C60" s="43"/>
      <c r="D60" s="43"/>
      <c r="E60" s="43"/>
      <c r="F60" s="43"/>
      <c r="G60" s="43"/>
      <c r="H60" s="43"/>
      <c r="I60" s="43"/>
      <c r="J60" s="159"/>
      <c r="K60" s="160"/>
      <c r="L60" s="160"/>
      <c r="M60" s="160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12.75">
      <c r="A61" s="43"/>
      <c r="B61" s="43"/>
      <c r="C61" s="43"/>
      <c r="D61" s="43"/>
      <c r="E61" s="43"/>
      <c r="F61" s="43"/>
      <c r="G61" s="43"/>
      <c r="H61" s="43"/>
      <c r="I61" s="43"/>
      <c r="J61" s="159"/>
      <c r="K61" s="160"/>
      <c r="L61" s="160"/>
      <c r="M61" s="160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2.75">
      <c r="A62" s="43"/>
      <c r="B62" s="43"/>
      <c r="C62" s="43"/>
      <c r="D62" s="43"/>
      <c r="E62" s="43"/>
      <c r="F62" s="43"/>
      <c r="G62" s="43"/>
      <c r="H62" s="43"/>
      <c r="I62" s="43"/>
      <c r="J62" s="159"/>
      <c r="K62" s="160"/>
      <c r="L62" s="160"/>
      <c r="M62" s="160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12.75">
      <c r="A63" s="43"/>
      <c r="B63" s="43"/>
      <c r="C63" s="43"/>
      <c r="D63" s="43"/>
      <c r="E63" s="43"/>
      <c r="F63" s="43"/>
      <c r="G63" s="43"/>
      <c r="H63" s="43"/>
      <c r="I63" s="43"/>
      <c r="J63" s="159"/>
      <c r="K63" s="160"/>
      <c r="L63" s="160"/>
      <c r="M63" s="160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2.75">
      <c r="A64" s="43"/>
      <c r="B64" s="43"/>
      <c r="C64" s="43"/>
      <c r="D64" s="43"/>
      <c r="E64" s="43"/>
      <c r="F64" s="43"/>
      <c r="G64" s="43"/>
      <c r="H64" s="43"/>
      <c r="I64" s="43"/>
      <c r="J64" s="159"/>
      <c r="K64" s="160"/>
      <c r="L64" s="160"/>
      <c r="M64" s="160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2.75">
      <c r="A65" s="43"/>
      <c r="B65" s="43"/>
      <c r="C65" s="43"/>
      <c r="D65" s="43"/>
      <c r="E65" s="43"/>
      <c r="F65" s="43"/>
      <c r="G65" s="43"/>
      <c r="H65" s="43"/>
      <c r="I65" s="43"/>
      <c r="J65" s="159"/>
      <c r="K65" s="160"/>
      <c r="L65" s="160"/>
      <c r="M65" s="160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2.75">
      <c r="A66" s="43"/>
      <c r="B66" s="43"/>
      <c r="C66" s="43"/>
      <c r="D66" s="43"/>
      <c r="E66" s="43"/>
      <c r="F66" s="43"/>
      <c r="G66" s="43"/>
      <c r="H66" s="43"/>
      <c r="I66" s="43"/>
      <c r="J66" s="159"/>
      <c r="K66" s="160"/>
      <c r="L66" s="160"/>
      <c r="M66" s="160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2.75">
      <c r="A67" s="43"/>
      <c r="B67" s="43"/>
      <c r="C67" s="43"/>
      <c r="D67" s="43"/>
      <c r="E67" s="43"/>
      <c r="F67" s="43"/>
      <c r="G67" s="43"/>
      <c r="H67" s="43"/>
      <c r="I67" s="43"/>
      <c r="J67" s="159"/>
      <c r="K67" s="160"/>
      <c r="L67" s="160"/>
      <c r="M67" s="160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12.75">
      <c r="A68" s="43"/>
      <c r="B68" s="43"/>
      <c r="C68" s="43"/>
      <c r="D68" s="43"/>
      <c r="E68" s="43"/>
      <c r="F68" s="43"/>
      <c r="G68" s="43"/>
      <c r="H68" s="43"/>
      <c r="I68" s="43"/>
      <c r="J68" s="159"/>
      <c r="K68" s="160"/>
      <c r="L68" s="160"/>
      <c r="M68" s="160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2.75">
      <c r="A69" s="43"/>
      <c r="B69" s="43"/>
      <c r="C69" s="43"/>
      <c r="D69" s="43"/>
      <c r="E69" s="43"/>
      <c r="F69" s="43"/>
      <c r="G69" s="43"/>
      <c r="H69" s="43"/>
      <c r="I69" s="43"/>
      <c r="J69" s="159"/>
      <c r="K69" s="160"/>
      <c r="L69" s="160"/>
      <c r="M69" s="160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2.75">
      <c r="A70" s="43"/>
      <c r="B70" s="43"/>
      <c r="C70" s="43"/>
      <c r="D70" s="43"/>
      <c r="E70" s="43"/>
      <c r="F70" s="43"/>
      <c r="G70" s="43"/>
      <c r="H70" s="43"/>
      <c r="I70" s="43"/>
      <c r="J70" s="159"/>
      <c r="K70" s="160"/>
      <c r="L70" s="160"/>
      <c r="M70" s="160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2.75">
      <c r="A71" s="43"/>
      <c r="B71" s="43"/>
      <c r="C71" s="43"/>
      <c r="D71" s="43"/>
      <c r="E71" s="43"/>
      <c r="F71" s="43"/>
      <c r="G71" s="43"/>
      <c r="H71" s="43"/>
      <c r="I71" s="43"/>
      <c r="J71" s="159"/>
      <c r="K71" s="160"/>
      <c r="L71" s="160"/>
      <c r="M71" s="160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2.75">
      <c r="A72" s="43"/>
      <c r="B72" s="43"/>
      <c r="C72" s="43"/>
      <c r="D72" s="43"/>
      <c r="E72" s="43"/>
      <c r="F72" s="43"/>
      <c r="G72" s="43"/>
      <c r="H72" s="43"/>
      <c r="I72" s="43"/>
      <c r="J72" s="159"/>
      <c r="K72" s="160"/>
      <c r="L72" s="160"/>
      <c r="M72" s="160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2.75">
      <c r="A73" s="43"/>
      <c r="B73" s="43"/>
      <c r="C73" s="43"/>
      <c r="D73" s="43"/>
      <c r="E73" s="43"/>
      <c r="F73" s="43"/>
      <c r="G73" s="43"/>
      <c r="H73" s="43"/>
      <c r="I73" s="43"/>
      <c r="J73" s="159"/>
      <c r="K73" s="160"/>
      <c r="L73" s="160"/>
      <c r="M73" s="160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2.75">
      <c r="A74" s="43"/>
      <c r="B74" s="43"/>
      <c r="C74" s="43"/>
      <c r="D74" s="43"/>
      <c r="E74" s="43"/>
      <c r="F74" s="43"/>
      <c r="G74" s="43"/>
      <c r="H74" s="43"/>
      <c r="I74" s="43"/>
      <c r="J74" s="159"/>
      <c r="K74" s="160"/>
      <c r="L74" s="160"/>
      <c r="M74" s="160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2.75">
      <c r="A75" s="43"/>
      <c r="B75" s="43"/>
      <c r="C75" s="43"/>
      <c r="D75" s="43"/>
      <c r="E75" s="43"/>
      <c r="F75" s="43"/>
      <c r="G75" s="43"/>
      <c r="H75" s="43"/>
      <c r="I75" s="43"/>
      <c r="J75" s="159"/>
      <c r="K75" s="160"/>
      <c r="L75" s="160"/>
      <c r="M75" s="160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2.75">
      <c r="A76" s="43"/>
      <c r="B76" s="43"/>
      <c r="C76" s="43"/>
      <c r="D76" s="43"/>
      <c r="E76" s="43"/>
      <c r="F76" s="43"/>
      <c r="G76" s="43"/>
      <c r="H76" s="43"/>
      <c r="I76" s="43"/>
      <c r="J76" s="159"/>
      <c r="K76" s="160"/>
      <c r="L76" s="160"/>
      <c r="M76" s="160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12.75">
      <c r="A77" s="43"/>
      <c r="B77" s="43"/>
      <c r="C77" s="43"/>
      <c r="D77" s="43"/>
      <c r="E77" s="43"/>
      <c r="F77" s="43"/>
      <c r="G77" s="43"/>
      <c r="H77" s="43"/>
      <c r="I77" s="43"/>
      <c r="J77" s="159"/>
      <c r="K77" s="160"/>
      <c r="L77" s="160"/>
      <c r="M77" s="160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12.75">
      <c r="A78" s="43"/>
      <c r="B78" s="43"/>
      <c r="C78" s="43"/>
      <c r="D78" s="43"/>
      <c r="E78" s="43"/>
      <c r="F78" s="43"/>
      <c r="G78" s="43"/>
      <c r="H78" s="43"/>
      <c r="I78" s="43"/>
      <c r="J78" s="159"/>
      <c r="K78" s="160"/>
      <c r="L78" s="160"/>
      <c r="M78" s="160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12.75">
      <c r="A79" s="43"/>
      <c r="B79" s="43"/>
      <c r="C79" s="43"/>
      <c r="D79" s="43"/>
      <c r="E79" s="43"/>
      <c r="F79" s="43"/>
      <c r="G79" s="43"/>
      <c r="H79" s="43"/>
      <c r="I79" s="43"/>
      <c r="J79" s="159"/>
      <c r="K79" s="160"/>
      <c r="L79" s="160"/>
      <c r="M79" s="160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>
      <c r="A80" s="43"/>
      <c r="B80" s="43"/>
      <c r="C80" s="43"/>
      <c r="D80" s="43"/>
      <c r="E80" s="43"/>
      <c r="F80" s="43"/>
      <c r="G80" s="43"/>
      <c r="H80" s="43"/>
      <c r="I80" s="43"/>
      <c r="J80" s="159"/>
      <c r="K80" s="160"/>
      <c r="L80" s="160"/>
      <c r="M80" s="160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>
      <c r="A81" s="43"/>
      <c r="B81" s="43"/>
      <c r="C81" s="43"/>
      <c r="D81" s="43"/>
      <c r="E81" s="43"/>
      <c r="F81" s="43"/>
      <c r="G81" s="43"/>
      <c r="H81" s="43"/>
      <c r="I81" s="43"/>
      <c r="J81" s="159"/>
      <c r="K81" s="160"/>
      <c r="L81" s="160"/>
      <c r="M81" s="160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>
      <c r="A82" s="43"/>
      <c r="B82" s="43"/>
      <c r="C82" s="43"/>
      <c r="D82" s="43"/>
      <c r="E82" s="43"/>
      <c r="F82" s="43"/>
      <c r="G82" s="43"/>
      <c r="H82" s="43"/>
      <c r="I82" s="43"/>
      <c r="J82" s="159"/>
      <c r="K82" s="160"/>
      <c r="L82" s="160"/>
      <c r="M82" s="160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12.75">
      <c r="A83" s="43"/>
      <c r="B83" s="43"/>
      <c r="C83" s="43"/>
      <c r="D83" s="43"/>
      <c r="E83" s="43"/>
      <c r="F83" s="43"/>
      <c r="G83" s="43"/>
      <c r="H83" s="43"/>
      <c r="I83" s="43"/>
      <c r="J83" s="159"/>
      <c r="K83" s="160"/>
      <c r="L83" s="160"/>
      <c r="M83" s="160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>
      <c r="A84" s="43"/>
      <c r="B84" s="43"/>
      <c r="C84" s="43"/>
      <c r="D84" s="43"/>
      <c r="E84" s="43"/>
      <c r="F84" s="43"/>
      <c r="G84" s="43"/>
      <c r="H84" s="43"/>
      <c r="I84" s="43"/>
      <c r="J84" s="159"/>
      <c r="K84" s="160"/>
      <c r="L84" s="160"/>
      <c r="M84" s="160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12.75">
      <c r="A85" s="43"/>
      <c r="B85" s="43"/>
      <c r="C85" s="43"/>
      <c r="D85" s="43"/>
      <c r="E85" s="43"/>
      <c r="F85" s="43"/>
      <c r="G85" s="43"/>
      <c r="H85" s="43"/>
      <c r="I85" s="43"/>
      <c r="J85" s="159"/>
      <c r="K85" s="160"/>
      <c r="L85" s="160"/>
      <c r="M85" s="160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2.75">
      <c r="A86" s="43"/>
      <c r="B86" s="43"/>
      <c r="C86" s="43"/>
      <c r="D86" s="43"/>
      <c r="E86" s="43"/>
      <c r="F86" s="43"/>
      <c r="G86" s="43"/>
      <c r="H86" s="43"/>
      <c r="I86" s="43"/>
      <c r="J86" s="159"/>
      <c r="K86" s="160"/>
      <c r="L86" s="160"/>
      <c r="M86" s="160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12.75">
      <c r="A87" s="43"/>
      <c r="B87" s="43"/>
      <c r="C87" s="43"/>
      <c r="D87" s="43"/>
      <c r="E87" s="43"/>
      <c r="F87" s="43"/>
      <c r="G87" s="43"/>
      <c r="H87" s="43"/>
      <c r="I87" s="43"/>
      <c r="J87" s="159"/>
      <c r="K87" s="160"/>
      <c r="L87" s="160"/>
      <c r="M87" s="160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12.75">
      <c r="A88" s="43"/>
      <c r="B88" s="43"/>
      <c r="C88" s="43"/>
      <c r="D88" s="43"/>
      <c r="E88" s="43"/>
      <c r="F88" s="43"/>
      <c r="G88" s="43"/>
      <c r="H88" s="43"/>
      <c r="I88" s="43"/>
      <c r="J88" s="159"/>
      <c r="K88" s="160"/>
      <c r="L88" s="160"/>
      <c r="M88" s="160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12.75">
      <c r="A89" s="43"/>
      <c r="B89" s="43"/>
      <c r="C89" s="43"/>
      <c r="D89" s="43"/>
      <c r="E89" s="43"/>
      <c r="F89" s="43"/>
      <c r="G89" s="43"/>
      <c r="H89" s="43"/>
      <c r="I89" s="43"/>
      <c r="J89" s="159"/>
      <c r="K89" s="160"/>
      <c r="L89" s="160"/>
      <c r="M89" s="160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2.75">
      <c r="A90" s="43"/>
      <c r="B90" s="43"/>
      <c r="C90" s="43"/>
      <c r="D90" s="43"/>
      <c r="E90" s="43"/>
      <c r="F90" s="43"/>
      <c r="G90" s="43"/>
      <c r="H90" s="43"/>
      <c r="I90" s="43"/>
      <c r="J90" s="159"/>
      <c r="K90" s="160"/>
      <c r="L90" s="160"/>
      <c r="M90" s="160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12.75">
      <c r="A91" s="43"/>
      <c r="B91" s="43"/>
      <c r="C91" s="43"/>
      <c r="D91" s="43"/>
      <c r="E91" s="43"/>
      <c r="F91" s="43"/>
      <c r="G91" s="43"/>
      <c r="H91" s="43"/>
      <c r="I91" s="43"/>
      <c r="J91" s="159"/>
      <c r="K91" s="160"/>
      <c r="L91" s="160"/>
      <c r="M91" s="160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>
      <c r="A92" s="43"/>
      <c r="B92" s="43"/>
      <c r="C92" s="43"/>
      <c r="D92" s="43"/>
      <c r="E92" s="43"/>
      <c r="F92" s="43"/>
      <c r="G92" s="43"/>
      <c r="H92" s="43"/>
      <c r="I92" s="43"/>
      <c r="J92" s="159"/>
      <c r="K92" s="160"/>
      <c r="L92" s="160"/>
      <c r="M92" s="160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12.75">
      <c r="A93" s="43"/>
      <c r="B93" s="43"/>
      <c r="C93" s="43"/>
      <c r="D93" s="43"/>
      <c r="E93" s="43"/>
      <c r="F93" s="43"/>
      <c r="G93" s="43"/>
      <c r="H93" s="43"/>
      <c r="I93" s="43"/>
      <c r="J93" s="159"/>
      <c r="K93" s="160"/>
      <c r="L93" s="160"/>
      <c r="M93" s="160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2.75">
      <c r="A94" s="43"/>
      <c r="B94" s="43"/>
      <c r="C94" s="43"/>
      <c r="D94" s="43"/>
      <c r="E94" s="43"/>
      <c r="F94" s="43"/>
      <c r="G94" s="43"/>
      <c r="H94" s="43"/>
      <c r="I94" s="43"/>
      <c r="J94" s="159"/>
      <c r="K94" s="160"/>
      <c r="L94" s="160"/>
      <c r="M94" s="160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12.75">
      <c r="A95" s="43"/>
      <c r="B95" s="43"/>
      <c r="C95" s="43"/>
      <c r="D95" s="43"/>
      <c r="E95" s="43"/>
      <c r="F95" s="43"/>
      <c r="G95" s="43"/>
      <c r="H95" s="43"/>
      <c r="I95" s="43"/>
      <c r="J95" s="159"/>
      <c r="K95" s="160"/>
      <c r="L95" s="160"/>
      <c r="M95" s="160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2.75">
      <c r="A96" s="43"/>
      <c r="B96" s="43"/>
      <c r="C96" s="43"/>
      <c r="D96" s="43"/>
      <c r="E96" s="43"/>
      <c r="F96" s="43"/>
      <c r="G96" s="43"/>
      <c r="H96" s="43"/>
      <c r="I96" s="43"/>
      <c r="J96" s="159"/>
      <c r="K96" s="160"/>
      <c r="L96" s="160"/>
      <c r="M96" s="160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  <row r="97" spans="1:24" ht="12.75">
      <c r="A97" s="43"/>
      <c r="B97" s="43"/>
      <c r="C97" s="43"/>
      <c r="D97" s="43"/>
      <c r="E97" s="43"/>
      <c r="F97" s="43"/>
      <c r="G97" s="43"/>
      <c r="H97" s="43"/>
      <c r="I97" s="43"/>
      <c r="J97" s="159"/>
      <c r="K97" s="160"/>
      <c r="L97" s="160"/>
      <c r="M97" s="160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</row>
    <row r="98" spans="1:24" ht="12.75">
      <c r="A98" s="43"/>
      <c r="B98" s="43"/>
      <c r="C98" s="43"/>
      <c r="D98" s="43"/>
      <c r="E98" s="43"/>
      <c r="F98" s="43"/>
      <c r="G98" s="43"/>
      <c r="H98" s="43"/>
      <c r="I98" s="43"/>
      <c r="J98" s="159"/>
      <c r="K98" s="160"/>
      <c r="L98" s="160"/>
      <c r="M98" s="160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</row>
    <row r="99" spans="1:24" ht="12.75">
      <c r="A99" s="43"/>
      <c r="B99" s="43"/>
      <c r="C99" s="43"/>
      <c r="D99" s="43"/>
      <c r="E99" s="43"/>
      <c r="F99" s="43"/>
      <c r="G99" s="43"/>
      <c r="H99" s="43"/>
      <c r="I99" s="43"/>
      <c r="J99" s="159"/>
      <c r="K99" s="160"/>
      <c r="L99" s="160"/>
      <c r="M99" s="160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</row>
    <row r="100" spans="1:24" ht="12.75">
      <c r="A100" s="43"/>
      <c r="B100" s="43"/>
      <c r="C100" s="43"/>
      <c r="D100" s="43"/>
      <c r="E100" s="43"/>
      <c r="F100" s="43"/>
      <c r="G100" s="43"/>
      <c r="H100" s="43"/>
      <c r="I100" s="43"/>
      <c r="J100" s="159"/>
      <c r="K100" s="160"/>
      <c r="L100" s="160"/>
      <c r="M100" s="160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</row>
    <row r="101" spans="1:24" ht="12.75">
      <c r="A101" s="43"/>
      <c r="B101" s="43"/>
      <c r="C101" s="43"/>
      <c r="D101" s="43"/>
      <c r="E101" s="43"/>
      <c r="F101" s="43"/>
      <c r="G101" s="43"/>
      <c r="H101" s="43"/>
      <c r="I101" s="43"/>
      <c r="J101" s="159"/>
      <c r="K101" s="160"/>
      <c r="L101" s="160"/>
      <c r="M101" s="160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</row>
    <row r="102" spans="1:24" ht="12.75">
      <c r="A102" s="43"/>
      <c r="B102" s="43"/>
      <c r="C102" s="43"/>
      <c r="D102" s="43"/>
      <c r="E102" s="43"/>
      <c r="F102" s="43"/>
      <c r="G102" s="43"/>
      <c r="H102" s="43"/>
      <c r="I102" s="43"/>
      <c r="J102" s="159"/>
      <c r="K102" s="160"/>
      <c r="L102" s="160"/>
      <c r="M102" s="160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</row>
    <row r="103" spans="1:24" ht="12.75">
      <c r="A103" s="43"/>
      <c r="B103" s="43"/>
      <c r="C103" s="43"/>
      <c r="D103" s="43"/>
      <c r="E103" s="43"/>
      <c r="F103" s="43"/>
      <c r="G103" s="43"/>
      <c r="H103" s="43"/>
      <c r="I103" s="43"/>
      <c r="J103" s="159"/>
      <c r="K103" s="160"/>
      <c r="L103" s="160"/>
      <c r="M103" s="160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</row>
    <row r="104" spans="1:24" ht="12.75">
      <c r="A104" s="43"/>
      <c r="B104" s="43"/>
      <c r="C104" s="43"/>
      <c r="D104" s="43"/>
      <c r="E104" s="43"/>
      <c r="F104" s="43"/>
      <c r="G104" s="43"/>
      <c r="H104" s="43"/>
      <c r="I104" s="43"/>
      <c r="J104" s="159"/>
      <c r="K104" s="160"/>
      <c r="L104" s="160"/>
      <c r="M104" s="160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</row>
    <row r="105" spans="1:24" ht="12.75">
      <c r="A105" s="43"/>
      <c r="B105" s="43"/>
      <c r="C105" s="43"/>
      <c r="D105" s="43"/>
      <c r="E105" s="43"/>
      <c r="F105" s="43"/>
      <c r="G105" s="43"/>
      <c r="H105" s="43"/>
      <c r="I105" s="43"/>
      <c r="J105" s="159"/>
      <c r="K105" s="160"/>
      <c r="L105" s="160"/>
      <c r="M105" s="160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</row>
    <row r="106" spans="1:24" ht="12.75">
      <c r="A106" s="43"/>
      <c r="B106" s="43"/>
      <c r="C106" s="43"/>
      <c r="D106" s="43"/>
      <c r="E106" s="43"/>
      <c r="F106" s="43"/>
      <c r="G106" s="43"/>
      <c r="H106" s="43"/>
      <c r="I106" s="43"/>
      <c r="J106" s="159"/>
      <c r="K106" s="160"/>
      <c r="L106" s="160"/>
      <c r="M106" s="160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</row>
    <row r="107" spans="1:24" ht="12.75">
      <c r="A107" s="43"/>
      <c r="B107" s="43"/>
      <c r="C107" s="43"/>
      <c r="D107" s="43"/>
      <c r="E107" s="43"/>
      <c r="F107" s="43"/>
      <c r="G107" s="43"/>
      <c r="H107" s="43"/>
      <c r="I107" s="43"/>
      <c r="J107" s="159"/>
      <c r="K107" s="160"/>
      <c r="L107" s="160"/>
      <c r="M107" s="160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</row>
    <row r="108" spans="1:24" ht="12.75">
      <c r="A108" s="43"/>
      <c r="B108" s="43"/>
      <c r="C108" s="43"/>
      <c r="D108" s="43"/>
      <c r="E108" s="43"/>
      <c r="F108" s="43"/>
      <c r="G108" s="43"/>
      <c r="H108" s="43"/>
      <c r="I108" s="43"/>
      <c r="J108" s="159"/>
      <c r="K108" s="160"/>
      <c r="L108" s="160"/>
      <c r="M108" s="160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</row>
    <row r="109" spans="1:24" ht="12.75">
      <c r="A109" s="43"/>
      <c r="B109" s="43"/>
      <c r="C109" s="43"/>
      <c r="D109" s="43"/>
      <c r="E109" s="43"/>
      <c r="F109" s="43"/>
      <c r="G109" s="43"/>
      <c r="H109" s="43"/>
      <c r="I109" s="43"/>
      <c r="J109" s="159"/>
      <c r="K109" s="160"/>
      <c r="L109" s="160"/>
      <c r="M109" s="160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</row>
    <row r="110" spans="1:24" ht="12.75">
      <c r="A110" s="43"/>
      <c r="B110" s="43"/>
      <c r="C110" s="43"/>
      <c r="D110" s="43"/>
      <c r="E110" s="43"/>
      <c r="F110" s="43"/>
      <c r="G110" s="43"/>
      <c r="H110" s="43"/>
      <c r="I110" s="43"/>
      <c r="J110" s="159"/>
      <c r="K110" s="160"/>
      <c r="L110" s="160"/>
      <c r="M110" s="160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</row>
    <row r="111" spans="1:24" ht="12.75">
      <c r="A111" s="43"/>
      <c r="B111" s="43"/>
      <c r="C111" s="43"/>
      <c r="D111" s="43"/>
      <c r="E111" s="43"/>
      <c r="F111" s="43"/>
      <c r="G111" s="43"/>
      <c r="H111" s="43"/>
      <c r="I111" s="43"/>
      <c r="J111" s="159"/>
      <c r="K111" s="160"/>
      <c r="L111" s="160"/>
      <c r="M111" s="160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</row>
    <row r="112" spans="1:24" ht="12.75">
      <c r="A112" s="43"/>
      <c r="B112" s="43"/>
      <c r="C112" s="43"/>
      <c r="D112" s="43"/>
      <c r="E112" s="43"/>
      <c r="F112" s="43"/>
      <c r="G112" s="43"/>
      <c r="H112" s="43"/>
      <c r="I112" s="43"/>
      <c r="J112" s="159"/>
      <c r="K112" s="160"/>
      <c r="L112" s="160"/>
      <c r="M112" s="160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12.75">
      <c r="A113" s="43"/>
      <c r="B113" s="43"/>
      <c r="C113" s="43"/>
      <c r="D113" s="43"/>
      <c r="E113" s="43"/>
      <c r="F113" s="43"/>
      <c r="G113" s="43"/>
      <c r="H113" s="43"/>
      <c r="I113" s="43"/>
      <c r="J113" s="159"/>
      <c r="K113" s="160"/>
      <c r="L113" s="160"/>
      <c r="M113" s="160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12.75">
      <c r="A114" s="43"/>
      <c r="B114" s="43"/>
      <c r="C114" s="43"/>
      <c r="D114" s="43"/>
      <c r="E114" s="43"/>
      <c r="F114" s="43"/>
      <c r="G114" s="43"/>
      <c r="H114" s="43"/>
      <c r="I114" s="43"/>
      <c r="J114" s="159"/>
      <c r="K114" s="160"/>
      <c r="L114" s="160"/>
      <c r="M114" s="160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</row>
    <row r="115" spans="1:24" ht="12.75">
      <c r="A115" s="43"/>
      <c r="B115" s="43"/>
      <c r="C115" s="43"/>
      <c r="D115" s="43"/>
      <c r="E115" s="43"/>
      <c r="F115" s="43"/>
      <c r="G115" s="43"/>
      <c r="H115" s="43"/>
      <c r="I115" s="43"/>
      <c r="J115" s="159"/>
      <c r="K115" s="160"/>
      <c r="L115" s="160"/>
      <c r="M115" s="160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</row>
    <row r="116" spans="1:24" ht="12.75">
      <c r="A116" s="43"/>
      <c r="B116" s="43"/>
      <c r="C116" s="43"/>
      <c r="D116" s="43"/>
      <c r="E116" s="43"/>
      <c r="F116" s="43"/>
      <c r="G116" s="43"/>
      <c r="H116" s="43"/>
      <c r="I116" s="43"/>
      <c r="J116" s="159"/>
      <c r="K116" s="160"/>
      <c r="L116" s="160"/>
      <c r="M116" s="160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</row>
    <row r="117" spans="1:24" ht="12.75">
      <c r="A117" s="43"/>
      <c r="B117" s="43"/>
      <c r="C117" s="43"/>
      <c r="D117" s="43"/>
      <c r="E117" s="43"/>
      <c r="F117" s="43"/>
      <c r="G117" s="43"/>
      <c r="H117" s="43"/>
      <c r="I117" s="43"/>
      <c r="J117" s="159"/>
      <c r="K117" s="160"/>
      <c r="L117" s="160"/>
      <c r="M117" s="160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</row>
    <row r="118" spans="1:24" ht="12.75">
      <c r="A118" s="43"/>
      <c r="B118" s="43"/>
      <c r="C118" s="43"/>
      <c r="D118" s="43"/>
      <c r="E118" s="43"/>
      <c r="F118" s="43"/>
      <c r="G118" s="43"/>
      <c r="H118" s="43"/>
      <c r="I118" s="43"/>
      <c r="J118" s="159"/>
      <c r="K118" s="160"/>
      <c r="L118" s="160"/>
      <c r="M118" s="160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</row>
    <row r="119" spans="1:24" ht="12.75">
      <c r="A119" s="43"/>
      <c r="B119" s="43"/>
      <c r="C119" s="43"/>
      <c r="D119" s="43"/>
      <c r="E119" s="43"/>
      <c r="F119" s="43"/>
      <c r="G119" s="43"/>
      <c r="H119" s="43"/>
      <c r="I119" s="43"/>
      <c r="J119" s="159"/>
      <c r="K119" s="160"/>
      <c r="L119" s="160"/>
      <c r="M119" s="160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</row>
    <row r="120" spans="1:24" ht="12.75">
      <c r="A120" s="43"/>
      <c r="B120" s="43"/>
      <c r="C120" s="43"/>
      <c r="D120" s="43"/>
      <c r="E120" s="43"/>
      <c r="F120" s="43"/>
      <c r="G120" s="43"/>
      <c r="H120" s="43"/>
      <c r="I120" s="43"/>
      <c r="J120" s="159"/>
      <c r="K120" s="160"/>
      <c r="L120" s="160"/>
      <c r="M120" s="160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</row>
    <row r="121" spans="1:24" ht="12.75">
      <c r="A121" s="43"/>
      <c r="B121" s="43"/>
      <c r="C121" s="43"/>
      <c r="D121" s="43"/>
      <c r="E121" s="43"/>
      <c r="F121" s="43"/>
      <c r="G121" s="43"/>
      <c r="H121" s="43"/>
      <c r="I121" s="43"/>
      <c r="J121" s="159"/>
      <c r="K121" s="160"/>
      <c r="L121" s="160"/>
      <c r="M121" s="160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</row>
    <row r="122" spans="1:24" ht="12.75">
      <c r="A122" s="43"/>
      <c r="B122" s="43"/>
      <c r="C122" s="43"/>
      <c r="D122" s="43"/>
      <c r="E122" s="43"/>
      <c r="F122" s="43"/>
      <c r="G122" s="43"/>
      <c r="H122" s="43"/>
      <c r="I122" s="43"/>
      <c r="J122" s="159"/>
      <c r="K122" s="160"/>
      <c r="L122" s="160"/>
      <c r="M122" s="160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</row>
    <row r="123" spans="1:24" ht="12.75">
      <c r="A123" s="43"/>
      <c r="B123" s="43"/>
      <c r="C123" s="43"/>
      <c r="D123" s="43"/>
      <c r="E123" s="43"/>
      <c r="F123" s="43"/>
      <c r="G123" s="43"/>
      <c r="H123" s="43"/>
      <c r="I123" s="43"/>
      <c r="J123" s="159"/>
      <c r="K123" s="160"/>
      <c r="L123" s="160"/>
      <c r="M123" s="160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</row>
    <row r="124" spans="1:24" ht="12.75">
      <c r="A124" s="43"/>
      <c r="B124" s="43"/>
      <c r="C124" s="43"/>
      <c r="D124" s="43"/>
      <c r="E124" s="43"/>
      <c r="F124" s="43"/>
      <c r="G124" s="43"/>
      <c r="H124" s="43"/>
      <c r="I124" s="43"/>
      <c r="J124" s="159"/>
      <c r="K124" s="160"/>
      <c r="L124" s="160"/>
      <c r="M124" s="160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</row>
    <row r="125" spans="1:24" ht="12.75">
      <c r="A125" s="43"/>
      <c r="B125" s="43"/>
      <c r="C125" s="43"/>
      <c r="D125" s="43"/>
      <c r="E125" s="43"/>
      <c r="F125" s="43"/>
      <c r="G125" s="43"/>
      <c r="H125" s="43"/>
      <c r="I125" s="43"/>
      <c r="J125" s="159"/>
      <c r="K125" s="160"/>
      <c r="L125" s="160"/>
      <c r="M125" s="160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</row>
    <row r="126" spans="1:24" ht="12.75">
      <c r="A126" s="43"/>
      <c r="B126" s="43"/>
      <c r="C126" s="43"/>
      <c r="D126" s="43"/>
      <c r="E126" s="43"/>
      <c r="F126" s="43"/>
      <c r="G126" s="43"/>
      <c r="H126" s="43"/>
      <c r="I126" s="43"/>
      <c r="J126" s="159"/>
      <c r="K126" s="160"/>
      <c r="L126" s="160"/>
      <c r="M126" s="160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</row>
    <row r="127" spans="1:24" ht="12.75">
      <c r="A127" s="43"/>
      <c r="B127" s="43"/>
      <c r="C127" s="43"/>
      <c r="D127" s="43"/>
      <c r="E127" s="43"/>
      <c r="F127" s="43"/>
      <c r="G127" s="43"/>
      <c r="H127" s="43"/>
      <c r="I127" s="43"/>
      <c r="J127" s="159"/>
      <c r="K127" s="160"/>
      <c r="L127" s="160"/>
      <c r="M127" s="160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</row>
    <row r="128" spans="1:24" ht="12.75">
      <c r="A128" s="43"/>
      <c r="B128" s="43"/>
      <c r="C128" s="43"/>
      <c r="D128" s="43"/>
      <c r="E128" s="43"/>
      <c r="F128" s="43"/>
      <c r="G128" s="43"/>
      <c r="H128" s="43"/>
      <c r="I128" s="43"/>
      <c r="J128" s="159"/>
      <c r="K128" s="160"/>
      <c r="L128" s="160"/>
      <c r="M128" s="160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</row>
    <row r="129" spans="1:24" ht="12.75">
      <c r="A129" s="43"/>
      <c r="B129" s="43"/>
      <c r="C129" s="43"/>
      <c r="D129" s="43"/>
      <c r="E129" s="43"/>
      <c r="F129" s="43"/>
      <c r="G129" s="43"/>
      <c r="H129" s="43"/>
      <c r="I129" s="43"/>
      <c r="J129" s="159"/>
      <c r="K129" s="160"/>
      <c r="L129" s="160"/>
      <c r="M129" s="160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</row>
    <row r="130" spans="1:24" ht="12.75">
      <c r="A130" s="43"/>
      <c r="B130" s="43"/>
      <c r="C130" s="43"/>
      <c r="D130" s="43"/>
      <c r="E130" s="43"/>
      <c r="F130" s="43"/>
      <c r="G130" s="43"/>
      <c r="H130" s="43"/>
      <c r="I130" s="43"/>
      <c r="J130" s="159"/>
      <c r="K130" s="160"/>
      <c r="L130" s="160"/>
      <c r="M130" s="160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</row>
    <row r="131" spans="1:24" ht="12.75">
      <c r="A131" s="43"/>
      <c r="B131" s="43"/>
      <c r="C131" s="43"/>
      <c r="D131" s="43"/>
      <c r="E131" s="43"/>
      <c r="F131" s="43"/>
      <c r="G131" s="43"/>
      <c r="H131" s="43"/>
      <c r="I131" s="43"/>
      <c r="J131" s="159"/>
      <c r="K131" s="160"/>
      <c r="L131" s="160"/>
      <c r="M131" s="160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</row>
    <row r="132" spans="1:24" ht="12.75">
      <c r="A132" s="43"/>
      <c r="B132" s="43"/>
      <c r="C132" s="43"/>
      <c r="D132" s="43"/>
      <c r="E132" s="43"/>
      <c r="F132" s="43"/>
      <c r="G132" s="43"/>
      <c r="H132" s="43"/>
      <c r="I132" s="43"/>
      <c r="J132" s="159"/>
      <c r="K132" s="160"/>
      <c r="L132" s="160"/>
      <c r="M132" s="160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</row>
    <row r="133" spans="1:24" ht="12.75">
      <c r="A133" s="43"/>
      <c r="B133" s="43"/>
      <c r="C133" s="43"/>
      <c r="D133" s="43"/>
      <c r="E133" s="43"/>
      <c r="F133" s="43"/>
      <c r="G133" s="43"/>
      <c r="H133" s="43"/>
      <c r="I133" s="43"/>
      <c r="J133" s="159"/>
      <c r="K133" s="160"/>
      <c r="L133" s="160"/>
      <c r="M133" s="160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</row>
    <row r="134" spans="1:24" ht="12.75">
      <c r="A134" s="43"/>
      <c r="B134" s="43"/>
      <c r="C134" s="43"/>
      <c r="D134" s="43"/>
      <c r="E134" s="43"/>
      <c r="F134" s="43"/>
      <c r="G134" s="43"/>
      <c r="H134" s="43"/>
      <c r="I134" s="43"/>
      <c r="J134" s="159"/>
      <c r="K134" s="160"/>
      <c r="L134" s="160"/>
      <c r="M134" s="160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</row>
    <row r="135" spans="1:24" ht="12.75">
      <c r="A135" s="43"/>
      <c r="B135" s="43"/>
      <c r="C135" s="43"/>
      <c r="D135" s="43"/>
      <c r="E135" s="43"/>
      <c r="F135" s="43"/>
      <c r="G135" s="43"/>
      <c r="H135" s="43"/>
      <c r="I135" s="43"/>
      <c r="J135" s="159"/>
      <c r="K135" s="160"/>
      <c r="L135" s="160"/>
      <c r="M135" s="160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</row>
    <row r="136" spans="1:24" ht="12.75">
      <c r="A136" s="43"/>
      <c r="B136" s="43"/>
      <c r="C136" s="43"/>
      <c r="D136" s="43"/>
      <c r="E136" s="43"/>
      <c r="F136" s="43"/>
      <c r="G136" s="43"/>
      <c r="H136" s="43"/>
      <c r="I136" s="43"/>
      <c r="J136" s="159"/>
      <c r="K136" s="160"/>
      <c r="L136" s="160"/>
      <c r="M136" s="160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</row>
    <row r="137" spans="1:24" ht="12.75">
      <c r="A137" s="43"/>
      <c r="B137" s="43"/>
      <c r="C137" s="43"/>
      <c r="D137" s="43"/>
      <c r="E137" s="43"/>
      <c r="F137" s="43"/>
      <c r="G137" s="43"/>
      <c r="H137" s="43"/>
      <c r="I137" s="43"/>
      <c r="J137" s="159"/>
      <c r="K137" s="160"/>
      <c r="L137" s="160"/>
      <c r="M137" s="160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</row>
    <row r="138" spans="1:24" ht="12.75">
      <c r="A138" s="43"/>
      <c r="B138" s="43"/>
      <c r="C138" s="43"/>
      <c r="D138" s="43"/>
      <c r="E138" s="43"/>
      <c r="F138" s="43"/>
      <c r="G138" s="43"/>
      <c r="H138" s="43"/>
      <c r="I138" s="43"/>
      <c r="J138" s="159"/>
      <c r="K138" s="160"/>
      <c r="L138" s="160"/>
      <c r="M138" s="160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</row>
    <row r="139" spans="1:24" ht="12.75">
      <c r="A139" s="43"/>
      <c r="B139" s="43"/>
      <c r="C139" s="43"/>
      <c r="D139" s="43"/>
      <c r="E139" s="43"/>
      <c r="F139" s="43"/>
      <c r="G139" s="43"/>
      <c r="H139" s="43"/>
      <c r="I139" s="43"/>
      <c r="J139" s="159"/>
      <c r="K139" s="160"/>
      <c r="L139" s="160"/>
      <c r="M139" s="160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</row>
    <row r="140" spans="1:24" ht="12.75">
      <c r="A140" s="43"/>
      <c r="B140" s="43"/>
      <c r="C140" s="43"/>
      <c r="D140" s="43"/>
      <c r="E140" s="43"/>
      <c r="F140" s="43"/>
      <c r="G140" s="43"/>
      <c r="H140" s="43"/>
      <c r="I140" s="43"/>
      <c r="J140" s="159"/>
      <c r="K140" s="160"/>
      <c r="L140" s="160"/>
      <c r="M140" s="160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</row>
    <row r="141" spans="1:24" ht="12.75">
      <c r="A141" s="43"/>
      <c r="B141" s="43"/>
      <c r="C141" s="43"/>
      <c r="D141" s="43"/>
      <c r="E141" s="43"/>
      <c r="F141" s="43"/>
      <c r="G141" s="43"/>
      <c r="H141" s="43"/>
      <c r="I141" s="43"/>
      <c r="J141" s="159"/>
      <c r="K141" s="160"/>
      <c r="L141" s="160"/>
      <c r="M141" s="160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</row>
    <row r="142" spans="1:24" ht="12.75">
      <c r="A142" s="43"/>
      <c r="B142" s="43"/>
      <c r="C142" s="43"/>
      <c r="D142" s="43"/>
      <c r="E142" s="43"/>
      <c r="F142" s="43"/>
      <c r="G142" s="43"/>
      <c r="H142" s="43"/>
      <c r="I142" s="43"/>
      <c r="J142" s="159"/>
      <c r="K142" s="160"/>
      <c r="L142" s="160"/>
      <c r="M142" s="160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</row>
    <row r="143" spans="1:24" ht="12.75">
      <c r="A143" s="43"/>
      <c r="B143" s="43"/>
      <c r="C143" s="43"/>
      <c r="D143" s="43"/>
      <c r="E143" s="43"/>
      <c r="F143" s="43"/>
      <c r="G143" s="43"/>
      <c r="H143" s="43"/>
      <c r="I143" s="43"/>
      <c r="J143" s="159"/>
      <c r="K143" s="160"/>
      <c r="L143" s="160"/>
      <c r="M143" s="160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</row>
    <row r="144" spans="1:24" ht="12.75">
      <c r="A144" s="43"/>
      <c r="B144" s="43"/>
      <c r="C144" s="43"/>
      <c r="D144" s="43"/>
      <c r="E144" s="43"/>
      <c r="F144" s="43"/>
      <c r="G144" s="43"/>
      <c r="H144" s="43"/>
      <c r="I144" s="43"/>
      <c r="J144" s="159"/>
      <c r="K144" s="160"/>
      <c r="L144" s="160"/>
      <c r="M144" s="160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</row>
    <row r="145" spans="1:24" ht="12.75">
      <c r="A145" s="43"/>
      <c r="B145" s="43"/>
      <c r="C145" s="43"/>
      <c r="D145" s="43"/>
      <c r="E145" s="43"/>
      <c r="F145" s="43"/>
      <c r="G145" s="43"/>
      <c r="H145" s="43"/>
      <c r="I145" s="43"/>
      <c r="J145" s="159"/>
      <c r="K145" s="160"/>
      <c r="L145" s="160"/>
      <c r="M145" s="160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</row>
    <row r="146" spans="1:24" ht="12.75">
      <c r="A146" s="43"/>
      <c r="B146" s="43"/>
      <c r="C146" s="43"/>
      <c r="D146" s="43"/>
      <c r="E146" s="43"/>
      <c r="F146" s="43"/>
      <c r="G146" s="43"/>
      <c r="H146" s="43"/>
      <c r="I146" s="43"/>
      <c r="J146" s="159"/>
      <c r="K146" s="160"/>
      <c r="L146" s="160"/>
      <c r="M146" s="160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</row>
    <row r="147" spans="1:24" ht="12.75">
      <c r="A147" s="43"/>
      <c r="B147" s="43"/>
      <c r="C147" s="43"/>
      <c r="D147" s="43"/>
      <c r="E147" s="43"/>
      <c r="F147" s="43"/>
      <c r="G147" s="43"/>
      <c r="H147" s="43"/>
      <c r="I147" s="43"/>
      <c r="J147" s="159"/>
      <c r="K147" s="160"/>
      <c r="L147" s="160"/>
      <c r="M147" s="160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</row>
    <row r="148" spans="1:24" ht="12.75">
      <c r="A148" s="43"/>
      <c r="B148" s="43"/>
      <c r="C148" s="43"/>
      <c r="D148" s="43"/>
      <c r="E148" s="43"/>
      <c r="F148" s="43"/>
      <c r="G148" s="43"/>
      <c r="H148" s="43"/>
      <c r="I148" s="43"/>
      <c r="J148" s="159"/>
      <c r="K148" s="160"/>
      <c r="L148" s="160"/>
      <c r="M148" s="160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ht="12.75">
      <c r="A149" s="43"/>
      <c r="B149" s="43"/>
      <c r="C149" s="43"/>
      <c r="D149" s="43"/>
      <c r="E149" s="43"/>
      <c r="F149" s="43"/>
      <c r="G149" s="43"/>
      <c r="H149" s="43"/>
      <c r="I149" s="43"/>
      <c r="J149" s="159"/>
      <c r="K149" s="160"/>
      <c r="L149" s="160"/>
      <c r="M149" s="160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</row>
    <row r="150" spans="1:24" ht="12.75">
      <c r="A150" s="43"/>
      <c r="B150" s="43"/>
      <c r="C150" s="43"/>
      <c r="D150" s="43"/>
      <c r="E150" s="43"/>
      <c r="F150" s="43"/>
      <c r="G150" s="43"/>
      <c r="H150" s="43"/>
      <c r="I150" s="43"/>
      <c r="J150" s="159"/>
      <c r="K150" s="160"/>
      <c r="L150" s="160"/>
      <c r="M150" s="160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</row>
    <row r="151" spans="1:24" ht="12.75">
      <c r="A151" s="43"/>
      <c r="B151" s="43"/>
      <c r="C151" s="43"/>
      <c r="D151" s="43"/>
      <c r="E151" s="43"/>
      <c r="F151" s="43"/>
      <c r="G151" s="43"/>
      <c r="H151" s="43"/>
      <c r="I151" s="43"/>
      <c r="J151" s="159"/>
      <c r="K151" s="160"/>
      <c r="L151" s="160"/>
      <c r="M151" s="160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</row>
    <row r="152" spans="1:24" ht="12.75">
      <c r="A152" s="43"/>
      <c r="B152" s="43"/>
      <c r="C152" s="43"/>
      <c r="D152" s="43"/>
      <c r="E152" s="43"/>
      <c r="F152" s="43"/>
      <c r="G152" s="43"/>
      <c r="H152" s="43"/>
      <c r="I152" s="43"/>
      <c r="J152" s="159"/>
      <c r="K152" s="160"/>
      <c r="L152" s="160"/>
      <c r="M152" s="160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</row>
    <row r="153" spans="1:24" ht="12.75">
      <c r="A153" s="43"/>
      <c r="B153" s="43"/>
      <c r="C153" s="43"/>
      <c r="D153" s="43"/>
      <c r="E153" s="43"/>
      <c r="F153" s="43"/>
      <c r="G153" s="43"/>
      <c r="H153" s="43"/>
      <c r="I153" s="43"/>
      <c r="J153" s="159"/>
      <c r="K153" s="160"/>
      <c r="L153" s="160"/>
      <c r="M153" s="160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</row>
    <row r="154" spans="1:24" ht="12.75">
      <c r="A154" s="43"/>
      <c r="B154" s="43"/>
      <c r="C154" s="43"/>
      <c r="D154" s="43"/>
      <c r="E154" s="43"/>
      <c r="F154" s="43"/>
      <c r="G154" s="43"/>
      <c r="H154" s="43"/>
      <c r="I154" s="43"/>
      <c r="J154" s="159"/>
      <c r="K154" s="160"/>
      <c r="L154" s="160"/>
      <c r="M154" s="160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</row>
    <row r="155" spans="1:24" ht="12.75">
      <c r="A155" s="43"/>
      <c r="B155" s="43"/>
      <c r="C155" s="43"/>
      <c r="D155" s="43"/>
      <c r="E155" s="43"/>
      <c r="F155" s="43"/>
      <c r="G155" s="43"/>
      <c r="H155" s="43"/>
      <c r="I155" s="43"/>
      <c r="J155" s="159"/>
      <c r="K155" s="160"/>
      <c r="L155" s="160"/>
      <c r="M155" s="160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</row>
    <row r="156" spans="1:24" ht="12.75">
      <c r="A156" s="43"/>
      <c r="B156" s="43"/>
      <c r="C156" s="43"/>
      <c r="D156" s="43"/>
      <c r="E156" s="43"/>
      <c r="F156" s="43"/>
      <c r="G156" s="43"/>
      <c r="H156" s="43"/>
      <c r="I156" s="43"/>
      <c r="J156" s="159"/>
      <c r="K156" s="160"/>
      <c r="L156" s="160"/>
      <c r="M156" s="160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</row>
    <row r="157" spans="1:24" ht="12.75">
      <c r="A157" s="43"/>
      <c r="B157" s="43"/>
      <c r="C157" s="43"/>
      <c r="D157" s="43"/>
      <c r="E157" s="43"/>
      <c r="F157" s="43"/>
      <c r="G157" s="43"/>
      <c r="H157" s="43"/>
      <c r="I157" s="43"/>
      <c r="J157" s="159"/>
      <c r="K157" s="160"/>
      <c r="L157" s="160"/>
      <c r="M157" s="160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</row>
    <row r="158" spans="1:24" ht="12.75">
      <c r="A158" s="43"/>
      <c r="B158" s="43"/>
      <c r="C158" s="43"/>
      <c r="D158" s="43"/>
      <c r="E158" s="43"/>
      <c r="F158" s="43"/>
      <c r="G158" s="43"/>
      <c r="H158" s="43"/>
      <c r="I158" s="43"/>
      <c r="J158" s="159"/>
      <c r="K158" s="160"/>
      <c r="L158" s="160"/>
      <c r="M158" s="160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</row>
    <row r="159" spans="1:24" ht="12.75">
      <c r="A159" s="43"/>
      <c r="B159" s="43"/>
      <c r="C159" s="43"/>
      <c r="D159" s="43"/>
      <c r="E159" s="43"/>
      <c r="F159" s="43"/>
      <c r="G159" s="43"/>
      <c r="H159" s="43"/>
      <c r="I159" s="43"/>
      <c r="J159" s="159"/>
      <c r="K159" s="160"/>
      <c r="L159" s="160"/>
      <c r="M159" s="160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</row>
    <row r="160" spans="1:24" ht="12.75">
      <c r="A160" s="43"/>
      <c r="B160" s="43"/>
      <c r="C160" s="43"/>
      <c r="D160" s="43"/>
      <c r="E160" s="43"/>
      <c r="F160" s="43"/>
      <c r="G160" s="43"/>
      <c r="H160" s="43"/>
      <c r="I160" s="43"/>
      <c r="J160" s="159"/>
      <c r="K160" s="160"/>
      <c r="L160" s="160"/>
      <c r="M160" s="160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</row>
    <row r="161" spans="1:24" ht="12.75">
      <c r="A161" s="43"/>
      <c r="B161" s="43"/>
      <c r="C161" s="43"/>
      <c r="D161" s="43"/>
      <c r="E161" s="43"/>
      <c r="F161" s="43"/>
      <c r="G161" s="43"/>
      <c r="H161" s="43"/>
      <c r="I161" s="43"/>
      <c r="J161" s="159"/>
      <c r="K161" s="160"/>
      <c r="L161" s="160"/>
      <c r="M161" s="160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</row>
    <row r="162" spans="1:24" ht="12.75">
      <c r="A162" s="43"/>
      <c r="B162" s="43"/>
      <c r="C162" s="43"/>
      <c r="D162" s="43"/>
      <c r="E162" s="43"/>
      <c r="F162" s="43"/>
      <c r="G162" s="43"/>
      <c r="H162" s="43"/>
      <c r="I162" s="43"/>
      <c r="J162" s="159"/>
      <c r="K162" s="160"/>
      <c r="L162" s="160"/>
      <c r="M162" s="160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</row>
    <row r="163" spans="1:24" ht="12.75">
      <c r="A163" s="43"/>
      <c r="B163" s="43"/>
      <c r="C163" s="43"/>
      <c r="D163" s="43"/>
      <c r="E163" s="43"/>
      <c r="F163" s="43"/>
      <c r="G163" s="43"/>
      <c r="H163" s="43"/>
      <c r="I163" s="43"/>
      <c r="J163" s="159"/>
      <c r="K163" s="160"/>
      <c r="L163" s="160"/>
      <c r="M163" s="160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</row>
    <row r="164" spans="1:24" ht="12.75">
      <c r="A164" s="43"/>
      <c r="B164" s="43"/>
      <c r="C164" s="43"/>
      <c r="D164" s="43"/>
      <c r="E164" s="43"/>
      <c r="F164" s="43"/>
      <c r="G164" s="43"/>
      <c r="H164" s="43"/>
      <c r="I164" s="43"/>
      <c r="J164" s="159"/>
      <c r="K164" s="160"/>
      <c r="L164" s="160"/>
      <c r="M164" s="160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</row>
    <row r="165" spans="1:24" ht="12.75">
      <c r="A165" s="43"/>
      <c r="B165" s="43"/>
      <c r="C165" s="43"/>
      <c r="D165" s="43"/>
      <c r="E165" s="43"/>
      <c r="F165" s="43"/>
      <c r="G165" s="43"/>
      <c r="H165" s="43"/>
      <c r="I165" s="43"/>
      <c r="J165" s="159"/>
      <c r="K165" s="160"/>
      <c r="L165" s="160"/>
      <c r="M165" s="160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</row>
    <row r="166" spans="1:24" ht="12.75">
      <c r="A166" s="43"/>
      <c r="B166" s="43"/>
      <c r="C166" s="43"/>
      <c r="D166" s="43"/>
      <c r="E166" s="43"/>
      <c r="F166" s="43"/>
      <c r="G166" s="43"/>
      <c r="H166" s="43"/>
      <c r="I166" s="43"/>
      <c r="J166" s="159"/>
      <c r="K166" s="160"/>
      <c r="L166" s="160"/>
      <c r="M166" s="160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</row>
    <row r="167" spans="1:24" ht="12.75">
      <c r="A167" s="43"/>
      <c r="B167" s="43"/>
      <c r="C167" s="43"/>
      <c r="D167" s="43"/>
      <c r="E167" s="43"/>
      <c r="F167" s="43"/>
      <c r="G167" s="43"/>
      <c r="H167" s="43"/>
      <c r="I167" s="43"/>
      <c r="J167" s="159"/>
      <c r="K167" s="160"/>
      <c r="L167" s="160"/>
      <c r="M167" s="160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</row>
    <row r="168" spans="1:24" ht="12.75">
      <c r="A168" s="43"/>
      <c r="B168" s="43"/>
      <c r="C168" s="43"/>
      <c r="D168" s="43"/>
      <c r="E168" s="43"/>
      <c r="F168" s="43"/>
      <c r="G168" s="43"/>
      <c r="H168" s="43"/>
      <c r="I168" s="43"/>
      <c r="J168" s="159"/>
      <c r="K168" s="160"/>
      <c r="L168" s="160"/>
      <c r="M168" s="160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</row>
    <row r="169" spans="1:24" ht="12.75">
      <c r="A169" s="43"/>
      <c r="B169" s="43"/>
      <c r="C169" s="43"/>
      <c r="D169" s="43"/>
      <c r="E169" s="43"/>
      <c r="F169" s="43"/>
      <c r="G169" s="43"/>
      <c r="H169" s="43"/>
      <c r="I169" s="43"/>
      <c r="J169" s="159"/>
      <c r="K169" s="160"/>
      <c r="L169" s="160"/>
      <c r="M169" s="160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</row>
    <row r="170" spans="1:24" ht="12.75">
      <c r="A170" s="43"/>
      <c r="B170" s="43"/>
      <c r="C170" s="43"/>
      <c r="D170" s="43"/>
      <c r="E170" s="43"/>
      <c r="F170" s="43"/>
      <c r="G170" s="43"/>
      <c r="H170" s="43"/>
      <c r="I170" s="43"/>
      <c r="J170" s="159"/>
      <c r="K170" s="160"/>
      <c r="L170" s="160"/>
      <c r="M170" s="160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ht="12.75">
      <c r="A171" s="43"/>
      <c r="B171" s="43"/>
      <c r="C171" s="43"/>
      <c r="D171" s="43"/>
      <c r="E171" s="43"/>
      <c r="F171" s="43"/>
      <c r="G171" s="43"/>
      <c r="H171" s="43"/>
      <c r="I171" s="43"/>
      <c r="J171" s="159"/>
      <c r="K171" s="160"/>
      <c r="L171" s="160"/>
      <c r="M171" s="160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</row>
    <row r="172" spans="1:24" ht="12.75">
      <c r="A172" s="43"/>
      <c r="B172" s="43"/>
      <c r="C172" s="43"/>
      <c r="D172" s="43"/>
      <c r="E172" s="43"/>
      <c r="F172" s="43"/>
      <c r="G172" s="43"/>
      <c r="H172" s="43"/>
      <c r="I172" s="43"/>
      <c r="J172" s="159"/>
      <c r="K172" s="160"/>
      <c r="L172" s="160"/>
      <c r="M172" s="160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ht="12.75">
      <c r="A173" s="43"/>
      <c r="B173" s="43"/>
      <c r="C173" s="43"/>
      <c r="D173" s="43"/>
      <c r="E173" s="43"/>
      <c r="F173" s="43"/>
      <c r="G173" s="43"/>
      <c r="H173" s="43"/>
      <c r="I173" s="43"/>
      <c r="J173" s="159"/>
      <c r="K173" s="160"/>
      <c r="L173" s="160"/>
      <c r="M173" s="160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ht="12.75">
      <c r="A174" s="43"/>
      <c r="B174" s="43"/>
      <c r="C174" s="43"/>
      <c r="D174" s="43"/>
      <c r="E174" s="43"/>
      <c r="F174" s="43"/>
      <c r="G174" s="43"/>
      <c r="H174" s="43"/>
      <c r="I174" s="43"/>
      <c r="J174" s="159"/>
      <c r="K174" s="160"/>
      <c r="L174" s="160"/>
      <c r="M174" s="160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ht="12.75">
      <c r="A175" s="43"/>
      <c r="B175" s="43"/>
      <c r="C175" s="43"/>
      <c r="D175" s="43"/>
      <c r="E175" s="43"/>
      <c r="F175" s="43"/>
      <c r="G175" s="43"/>
      <c r="H175" s="43"/>
      <c r="I175" s="43"/>
      <c r="J175" s="159"/>
      <c r="K175" s="160"/>
      <c r="L175" s="160"/>
      <c r="M175" s="160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ht="12.75">
      <c r="A176" s="43"/>
      <c r="B176" s="43"/>
      <c r="C176" s="43"/>
      <c r="D176" s="43"/>
      <c r="E176" s="43"/>
      <c r="F176" s="43"/>
      <c r="G176" s="43"/>
      <c r="H176" s="43"/>
      <c r="I176" s="43"/>
      <c r="J176" s="159"/>
      <c r="K176" s="160"/>
      <c r="L176" s="160"/>
      <c r="M176" s="160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ht="12.75">
      <c r="A177" s="43"/>
      <c r="B177" s="43"/>
      <c r="C177" s="43"/>
      <c r="D177" s="43"/>
      <c r="E177" s="43"/>
      <c r="F177" s="43"/>
      <c r="G177" s="43"/>
      <c r="H177" s="43"/>
      <c r="I177" s="43"/>
      <c r="J177" s="159"/>
      <c r="K177" s="160"/>
      <c r="L177" s="160"/>
      <c r="M177" s="160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</row>
    <row r="178" spans="1:24" ht="12.75">
      <c r="A178" s="43"/>
      <c r="B178" s="43"/>
      <c r="C178" s="43"/>
      <c r="D178" s="43"/>
      <c r="E178" s="43"/>
      <c r="F178" s="43"/>
      <c r="G178" s="43"/>
      <c r="H178" s="43"/>
      <c r="I178" s="43"/>
      <c r="J178" s="159"/>
      <c r="K178" s="160"/>
      <c r="L178" s="160"/>
      <c r="M178" s="160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ht="12.75">
      <c r="A179" s="43"/>
      <c r="B179" s="43"/>
      <c r="C179" s="43"/>
      <c r="D179" s="43"/>
      <c r="E179" s="43"/>
      <c r="F179" s="43"/>
      <c r="G179" s="43"/>
      <c r="H179" s="43"/>
      <c r="I179" s="43"/>
      <c r="J179" s="159"/>
      <c r="K179" s="160"/>
      <c r="L179" s="160"/>
      <c r="M179" s="160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ht="12.75">
      <c r="A180" s="43"/>
      <c r="B180" s="43"/>
      <c r="C180" s="43"/>
      <c r="D180" s="43"/>
      <c r="E180" s="43"/>
      <c r="F180" s="43"/>
      <c r="G180" s="43"/>
      <c r="H180" s="43"/>
      <c r="I180" s="43"/>
      <c r="J180" s="159"/>
      <c r="K180" s="160"/>
      <c r="L180" s="160"/>
      <c r="M180" s="160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</row>
    <row r="181" spans="1:24" ht="12.75">
      <c r="A181" s="43"/>
      <c r="B181" s="43"/>
      <c r="C181" s="43"/>
      <c r="D181" s="43"/>
      <c r="E181" s="43"/>
      <c r="F181" s="43"/>
      <c r="G181" s="43"/>
      <c r="H181" s="43"/>
      <c r="I181" s="43"/>
      <c r="J181" s="159"/>
      <c r="K181" s="160"/>
      <c r="L181" s="160"/>
      <c r="M181" s="160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</row>
    <row r="182" spans="1:24" ht="12.75">
      <c r="A182" s="43"/>
      <c r="B182" s="43"/>
      <c r="C182" s="43"/>
      <c r="D182" s="43"/>
      <c r="E182" s="43"/>
      <c r="F182" s="43"/>
      <c r="G182" s="43"/>
      <c r="H182" s="43"/>
      <c r="I182" s="43"/>
      <c r="J182" s="159"/>
      <c r="K182" s="160"/>
      <c r="L182" s="160"/>
      <c r="M182" s="160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</row>
    <row r="183" spans="1:24" ht="12.75">
      <c r="A183" s="43"/>
      <c r="B183" s="43"/>
      <c r="C183" s="43"/>
      <c r="D183" s="43"/>
      <c r="E183" s="43"/>
      <c r="F183" s="43"/>
      <c r="G183" s="43"/>
      <c r="H183" s="43"/>
      <c r="I183" s="43"/>
      <c r="J183" s="159"/>
      <c r="K183" s="160"/>
      <c r="L183" s="160"/>
      <c r="M183" s="160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</row>
    <row r="184" spans="1:24" ht="12.75">
      <c r="A184" s="43"/>
      <c r="B184" s="43"/>
      <c r="C184" s="43"/>
      <c r="D184" s="43"/>
      <c r="E184" s="43"/>
      <c r="F184" s="43"/>
      <c r="G184" s="43"/>
      <c r="H184" s="43"/>
      <c r="I184" s="43"/>
      <c r="J184" s="159"/>
      <c r="K184" s="160"/>
      <c r="L184" s="160"/>
      <c r="M184" s="160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</row>
    <row r="185" spans="1:24" ht="12.75">
      <c r="A185" s="43"/>
      <c r="B185" s="43"/>
      <c r="C185" s="43"/>
      <c r="D185" s="43"/>
      <c r="E185" s="43"/>
      <c r="F185" s="43"/>
      <c r="G185" s="43"/>
      <c r="H185" s="43"/>
      <c r="I185" s="43"/>
      <c r="J185" s="159"/>
      <c r="K185" s="160"/>
      <c r="L185" s="160"/>
      <c r="M185" s="160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</row>
    <row r="186" spans="1:24" ht="12.75">
      <c r="A186" s="43"/>
      <c r="B186" s="43"/>
      <c r="C186" s="43"/>
      <c r="D186" s="43"/>
      <c r="E186" s="43"/>
      <c r="F186" s="43"/>
      <c r="G186" s="43"/>
      <c r="H186" s="43"/>
      <c r="I186" s="43"/>
      <c r="J186" s="159"/>
      <c r="K186" s="160"/>
      <c r="L186" s="160"/>
      <c r="M186" s="160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</row>
    <row r="187" spans="1:24" ht="12.75">
      <c r="A187" s="43"/>
      <c r="B187" s="43"/>
      <c r="C187" s="43"/>
      <c r="D187" s="43"/>
      <c r="E187" s="43"/>
      <c r="F187" s="43"/>
      <c r="G187" s="43"/>
      <c r="H187" s="43"/>
      <c r="I187" s="43"/>
      <c r="J187" s="159"/>
      <c r="K187" s="160"/>
      <c r="L187" s="160"/>
      <c r="M187" s="160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</row>
    <row r="188" spans="1:24" ht="12.75">
      <c r="A188" s="43"/>
      <c r="B188" s="43"/>
      <c r="C188" s="43"/>
      <c r="D188" s="43"/>
      <c r="E188" s="43"/>
      <c r="F188" s="43"/>
      <c r="G188" s="43"/>
      <c r="H188" s="43"/>
      <c r="I188" s="43"/>
      <c r="J188" s="159"/>
      <c r="K188" s="160"/>
      <c r="L188" s="160"/>
      <c r="M188" s="160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</row>
    <row r="189" spans="1:24" ht="12.75">
      <c r="A189" s="43"/>
      <c r="B189" s="43"/>
      <c r="C189" s="43"/>
      <c r="D189" s="43"/>
      <c r="E189" s="43"/>
      <c r="F189" s="43"/>
      <c r="G189" s="43"/>
      <c r="H189" s="43"/>
      <c r="I189" s="43"/>
      <c r="J189" s="159"/>
      <c r="K189" s="160"/>
      <c r="L189" s="160"/>
      <c r="M189" s="160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</row>
    <row r="190" spans="1:24" ht="12.75">
      <c r="A190" s="43"/>
      <c r="B190" s="43"/>
      <c r="C190" s="43"/>
      <c r="D190" s="43"/>
      <c r="E190" s="43"/>
      <c r="F190" s="43"/>
      <c r="G190" s="43"/>
      <c r="H190" s="43"/>
      <c r="I190" s="43"/>
      <c r="J190" s="159"/>
      <c r="K190" s="160"/>
      <c r="L190" s="160"/>
      <c r="M190" s="160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</row>
    <row r="191" spans="1:24" ht="12.75">
      <c r="A191" s="43"/>
      <c r="B191" s="43"/>
      <c r="C191" s="43"/>
      <c r="D191" s="43"/>
      <c r="E191" s="43"/>
      <c r="F191" s="43"/>
      <c r="G191" s="43"/>
      <c r="H191" s="43"/>
      <c r="I191" s="43"/>
      <c r="J191" s="159"/>
      <c r="K191" s="160"/>
      <c r="L191" s="160"/>
      <c r="M191" s="160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</row>
    <row r="192" spans="1:24" ht="12.75">
      <c r="A192" s="43"/>
      <c r="B192" s="43"/>
      <c r="C192" s="43"/>
      <c r="D192" s="43"/>
      <c r="E192" s="43"/>
      <c r="F192" s="43"/>
      <c r="G192" s="43"/>
      <c r="H192" s="43"/>
      <c r="I192" s="43"/>
      <c r="J192" s="159"/>
      <c r="K192" s="160"/>
      <c r="L192" s="160"/>
      <c r="M192" s="160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</row>
    <row r="193" spans="1:24" ht="12.75">
      <c r="A193" s="43"/>
      <c r="B193" s="43"/>
      <c r="C193" s="43"/>
      <c r="D193" s="43"/>
      <c r="E193" s="43"/>
      <c r="F193" s="43"/>
      <c r="G193" s="43"/>
      <c r="H193" s="43"/>
      <c r="I193" s="43"/>
      <c r="J193" s="159"/>
      <c r="K193" s="160"/>
      <c r="L193" s="160"/>
      <c r="M193" s="160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</row>
    <row r="194" spans="1:24" ht="12.75">
      <c r="A194" s="43"/>
      <c r="B194" s="43"/>
      <c r="C194" s="43"/>
      <c r="D194" s="43"/>
      <c r="E194" s="43"/>
      <c r="F194" s="43"/>
      <c r="G194" s="43"/>
      <c r="H194" s="43"/>
      <c r="I194" s="43"/>
      <c r="J194" s="159"/>
      <c r="K194" s="160"/>
      <c r="L194" s="160"/>
      <c r="M194" s="160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</row>
    <row r="195" spans="1:24" ht="12.75">
      <c r="A195" s="43"/>
      <c r="B195" s="43"/>
      <c r="C195" s="43"/>
      <c r="D195" s="43"/>
      <c r="E195" s="43"/>
      <c r="F195" s="43"/>
      <c r="G195" s="43"/>
      <c r="H195" s="43"/>
      <c r="I195" s="43"/>
      <c r="J195" s="159"/>
      <c r="K195" s="160"/>
      <c r="L195" s="160"/>
      <c r="M195" s="160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</row>
    <row r="196" spans="1:24" ht="12.75">
      <c r="A196" s="43"/>
      <c r="B196" s="43"/>
      <c r="C196" s="43"/>
      <c r="D196" s="43"/>
      <c r="E196" s="43"/>
      <c r="F196" s="43"/>
      <c r="G196" s="43"/>
      <c r="H196" s="43"/>
      <c r="I196" s="43"/>
      <c r="J196" s="159"/>
      <c r="K196" s="160"/>
      <c r="L196" s="160"/>
      <c r="M196" s="160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</row>
    <row r="197" spans="1:24" ht="12.75">
      <c r="A197" s="43"/>
      <c r="B197" s="43"/>
      <c r="C197" s="43"/>
      <c r="D197" s="43"/>
      <c r="E197" s="43"/>
      <c r="F197" s="43"/>
      <c r="G197" s="43"/>
      <c r="H197" s="43"/>
      <c r="I197" s="43"/>
      <c r="J197" s="159"/>
      <c r="K197" s="160"/>
      <c r="L197" s="160"/>
      <c r="M197" s="160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</row>
    <row r="198" spans="1:24" ht="12.75">
      <c r="A198" s="43"/>
      <c r="B198" s="43"/>
      <c r="C198" s="43"/>
      <c r="D198" s="43"/>
      <c r="E198" s="43"/>
      <c r="F198" s="43"/>
      <c r="G198" s="43"/>
      <c r="H198" s="43"/>
      <c r="I198" s="43"/>
      <c r="J198" s="159"/>
      <c r="K198" s="160"/>
      <c r="L198" s="160"/>
      <c r="M198" s="160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05"/>
  <sheetViews>
    <sheetView zoomScale="130" zoomScaleNormal="130" zoomScalePageLayoutView="0" workbookViewId="0" topLeftCell="A52">
      <selection activeCell="I172" sqref="I172"/>
    </sheetView>
  </sheetViews>
  <sheetFormatPr defaultColWidth="9.140625" defaultRowHeight="12.75"/>
  <cols>
    <col min="1" max="1" width="5.57421875" style="40" customWidth="1"/>
    <col min="2" max="2" width="6.7109375" style="40" customWidth="1"/>
    <col min="3" max="3" width="5.421875" style="93" customWidth="1"/>
    <col min="4" max="4" width="29.140625" style="61" customWidth="1"/>
    <col min="5" max="5" width="15.7109375" style="53" customWidth="1"/>
    <col min="6" max="6" width="11.421875" style="108" customWidth="1"/>
    <col min="7" max="7" width="15.00390625" style="53" customWidth="1"/>
    <col min="8" max="8" width="11.421875" style="108" customWidth="1"/>
    <col min="9" max="9" width="6.00390625" style="58" customWidth="1"/>
    <col min="10" max="10" width="13.421875" style="58" customWidth="1"/>
    <col min="11" max="11" width="14.00390625" style="58" customWidth="1"/>
    <col min="12" max="12" width="17.00390625" style="260" customWidth="1"/>
    <col min="13" max="13" width="17.421875" style="58" customWidth="1"/>
    <col min="14" max="14" width="13.140625" style="58" customWidth="1"/>
    <col min="15" max="15" width="13.421875" style="58" customWidth="1"/>
    <col min="16" max="16" width="12.28125" style="58" customWidth="1"/>
    <col min="17" max="19" width="9.140625" style="58" customWidth="1"/>
    <col min="20" max="25" width="9.140625" style="249" customWidth="1"/>
    <col min="26" max="16384" width="9.140625" style="40" customWidth="1"/>
  </cols>
  <sheetData>
    <row r="1" spans="5:7" ht="20.25">
      <c r="E1" s="282"/>
      <c r="G1" s="282" t="s">
        <v>377</v>
      </c>
    </row>
    <row r="4" spans="1:2" ht="12.75">
      <c r="A4" s="61"/>
      <c r="B4" s="61"/>
    </row>
    <row r="5" spans="1:4" ht="18.75">
      <c r="A5" s="93"/>
      <c r="B5" s="139" t="s">
        <v>382</v>
      </c>
      <c r="C5" s="140"/>
      <c r="D5" s="336"/>
    </row>
    <row r="6" spans="1:4" ht="18.75">
      <c r="A6" s="93"/>
      <c r="B6" s="139" t="s">
        <v>674</v>
      </c>
      <c r="C6" s="139"/>
      <c r="D6" s="336"/>
    </row>
    <row r="7" spans="1:4" ht="18.75">
      <c r="A7" s="93"/>
      <c r="B7" s="139"/>
      <c r="C7" s="139"/>
      <c r="D7" s="336"/>
    </row>
    <row r="8" spans="1:8" ht="12.75">
      <c r="A8" s="60"/>
      <c r="B8" s="141"/>
      <c r="C8" s="142"/>
      <c r="D8" s="286"/>
      <c r="F8" s="149"/>
      <c r="H8" s="149" t="s">
        <v>411</v>
      </c>
    </row>
    <row r="9" spans="1:9" ht="24.75" customHeight="1">
      <c r="A9" s="84"/>
      <c r="B9" s="84"/>
      <c r="C9" s="14"/>
      <c r="D9" s="337"/>
      <c r="E9" s="1127" t="s">
        <v>398</v>
      </c>
      <c r="F9" s="1138"/>
      <c r="G9" s="1127" t="s">
        <v>378</v>
      </c>
      <c r="H9" s="1128"/>
      <c r="I9" s="333"/>
    </row>
    <row r="10" spans="1:9" ht="15.75" customHeight="1">
      <c r="A10" s="66" t="s">
        <v>412</v>
      </c>
      <c r="B10" s="66" t="s">
        <v>413</v>
      </c>
      <c r="C10" s="66" t="s">
        <v>439</v>
      </c>
      <c r="D10" s="287" t="s">
        <v>440</v>
      </c>
      <c r="E10" s="144" t="s">
        <v>410</v>
      </c>
      <c r="F10" s="145" t="s">
        <v>320</v>
      </c>
      <c r="G10" s="144" t="s">
        <v>410</v>
      </c>
      <c r="H10" s="145" t="s">
        <v>320</v>
      </c>
      <c r="I10" s="89" t="s">
        <v>379</v>
      </c>
    </row>
    <row r="11" spans="1:9" ht="38.25" customHeight="1">
      <c r="A11" s="89"/>
      <c r="B11" s="89"/>
      <c r="C11" s="8"/>
      <c r="D11" s="128"/>
      <c r="E11" s="357" t="s">
        <v>441</v>
      </c>
      <c r="F11" s="358" t="s">
        <v>442</v>
      </c>
      <c r="G11" s="357" t="s">
        <v>441</v>
      </c>
      <c r="H11" s="358" t="s">
        <v>442</v>
      </c>
      <c r="I11" s="89" t="s">
        <v>380</v>
      </c>
    </row>
    <row r="12" spans="1:9" ht="23.25" customHeight="1">
      <c r="A12" s="4" t="s">
        <v>594</v>
      </c>
      <c r="B12" s="87"/>
      <c r="C12" s="5"/>
      <c r="D12" s="338"/>
      <c r="E12" s="44"/>
      <c r="F12" s="334"/>
      <c r="G12" s="44"/>
      <c r="H12" s="334"/>
      <c r="I12" s="314"/>
    </row>
    <row r="13" spans="1:9" ht="24" customHeight="1">
      <c r="A13" s="74" t="s">
        <v>436</v>
      </c>
      <c r="B13" s="74"/>
      <c r="C13" s="6"/>
      <c r="D13" s="343" t="s">
        <v>437</v>
      </c>
      <c r="E13" s="163">
        <f>E14+E16</f>
        <v>60178.5</v>
      </c>
      <c r="F13" s="163">
        <f>F14+F16</f>
        <v>53278.5</v>
      </c>
      <c r="G13" s="163">
        <f>G14+G16</f>
        <v>55235.34</v>
      </c>
      <c r="H13" s="163">
        <f>H14+H16</f>
        <v>53278.09</v>
      </c>
      <c r="I13" s="359">
        <f>G13/E13*100</f>
        <v>91.78583713452478</v>
      </c>
    </row>
    <row r="14" spans="1:9" ht="20.25" customHeight="1">
      <c r="A14" s="117"/>
      <c r="B14" s="83" t="s">
        <v>595</v>
      </c>
      <c r="C14" s="38"/>
      <c r="D14" s="349" t="s">
        <v>596</v>
      </c>
      <c r="E14" s="29">
        <f>E15</f>
        <v>4400</v>
      </c>
      <c r="F14" s="112"/>
      <c r="G14" s="29">
        <f>G15</f>
        <v>1957.25</v>
      </c>
      <c r="H14" s="112"/>
      <c r="I14" s="359">
        <f aca="true" t="shared" si="0" ref="I14:I77">G14/E14*100</f>
        <v>44.48295454545455</v>
      </c>
    </row>
    <row r="15" spans="1:9" ht="39" customHeight="1">
      <c r="A15" s="89"/>
      <c r="B15" s="81"/>
      <c r="C15" s="9">
        <v>2850</v>
      </c>
      <c r="D15" s="288" t="s">
        <v>597</v>
      </c>
      <c r="E15" s="101">
        <v>4400</v>
      </c>
      <c r="F15" s="95"/>
      <c r="G15" s="101">
        <v>1957.25</v>
      </c>
      <c r="H15" s="95"/>
      <c r="I15" s="359">
        <f t="shared" si="0"/>
        <v>44.48295454545455</v>
      </c>
    </row>
    <row r="16" spans="1:9" ht="20.25" customHeight="1">
      <c r="A16" s="120"/>
      <c r="B16" s="49" t="s">
        <v>438</v>
      </c>
      <c r="C16" s="25"/>
      <c r="D16" s="293" t="s">
        <v>544</v>
      </c>
      <c r="E16" s="29">
        <f>SUM(E17:E20)</f>
        <v>55778.5</v>
      </c>
      <c r="F16" s="106">
        <f>SUM(F17:F20)</f>
        <v>53278.5</v>
      </c>
      <c r="G16" s="106">
        <f>SUM(G17:G20)</f>
        <v>53278.09</v>
      </c>
      <c r="H16" s="106">
        <f>SUM(H17:H20)</f>
        <v>53278.09</v>
      </c>
      <c r="I16" s="359">
        <f t="shared" si="0"/>
        <v>95.51725127065087</v>
      </c>
    </row>
    <row r="17" spans="1:9" ht="20.25" customHeight="1">
      <c r="A17" s="88"/>
      <c r="B17" s="89"/>
      <c r="C17" s="9">
        <v>4210</v>
      </c>
      <c r="D17" s="288" t="s">
        <v>602</v>
      </c>
      <c r="E17" s="55">
        <v>2044.68</v>
      </c>
      <c r="F17" s="116">
        <v>1044.68</v>
      </c>
      <c r="G17" s="116">
        <v>1044.27</v>
      </c>
      <c r="H17" s="116">
        <v>1044.27</v>
      </c>
      <c r="I17" s="359">
        <f t="shared" si="0"/>
        <v>51.072539468278656</v>
      </c>
    </row>
    <row r="18" spans="1:9" ht="18" customHeight="1">
      <c r="A18" s="88"/>
      <c r="B18" s="89"/>
      <c r="C18" s="9">
        <v>4300</v>
      </c>
      <c r="D18" s="288" t="s">
        <v>599</v>
      </c>
      <c r="E18" s="55">
        <v>1000</v>
      </c>
      <c r="F18" s="116"/>
      <c r="G18" s="55"/>
      <c r="H18" s="116"/>
      <c r="I18" s="359"/>
    </row>
    <row r="19" spans="1:9" ht="27" customHeight="1">
      <c r="A19" s="88"/>
      <c r="B19" s="89"/>
      <c r="C19" s="20">
        <v>4390</v>
      </c>
      <c r="D19" s="288" t="s">
        <v>555</v>
      </c>
      <c r="E19" s="55">
        <v>500</v>
      </c>
      <c r="F19" s="116"/>
      <c r="G19" s="55"/>
      <c r="H19" s="116"/>
      <c r="I19" s="359"/>
    </row>
    <row r="20" spans="1:9" ht="21.75" customHeight="1">
      <c r="A20" s="88"/>
      <c r="B20" s="98"/>
      <c r="C20" s="20">
        <v>4430</v>
      </c>
      <c r="D20" s="288" t="s">
        <v>667</v>
      </c>
      <c r="E20" s="55">
        <v>52233.82</v>
      </c>
      <c r="F20" s="116">
        <v>52233.82</v>
      </c>
      <c r="G20" s="116">
        <v>52233.82</v>
      </c>
      <c r="H20" s="116">
        <v>52233.82</v>
      </c>
      <c r="I20" s="359">
        <f t="shared" si="0"/>
        <v>100</v>
      </c>
    </row>
    <row r="21" spans="1:9" ht="24.75" customHeight="1">
      <c r="A21" s="62">
        <v>600</v>
      </c>
      <c r="B21" s="62"/>
      <c r="C21" s="11"/>
      <c r="D21" s="292" t="s">
        <v>600</v>
      </c>
      <c r="E21" s="36">
        <f>E22+E26+E37</f>
        <v>30289922.09</v>
      </c>
      <c r="F21" s="97"/>
      <c r="G21" s="36">
        <f>G22+G26+G37</f>
        <v>7678255.38</v>
      </c>
      <c r="H21" s="97"/>
      <c r="I21" s="359">
        <f t="shared" si="0"/>
        <v>25.3492080870519</v>
      </c>
    </row>
    <row r="22" spans="1:9" ht="18" customHeight="1">
      <c r="A22" s="117"/>
      <c r="B22" s="119">
        <v>60004</v>
      </c>
      <c r="C22" s="25"/>
      <c r="D22" s="293" t="s">
        <v>415</v>
      </c>
      <c r="E22" s="106">
        <f>SUM(E23:E25)</f>
        <v>10983932.14</v>
      </c>
      <c r="F22" s="95"/>
      <c r="G22" s="106">
        <f>SUM(G23:G25)</f>
        <v>6026338.83</v>
      </c>
      <c r="H22" s="95"/>
      <c r="I22" s="359">
        <f t="shared" si="0"/>
        <v>54.86504061741226</v>
      </c>
    </row>
    <row r="23" spans="1:9" ht="27.75" customHeight="1">
      <c r="A23" s="88"/>
      <c r="B23" s="84"/>
      <c r="C23" s="9">
        <v>2650</v>
      </c>
      <c r="D23" s="288" t="s">
        <v>391</v>
      </c>
      <c r="E23" s="55">
        <v>10903932.14</v>
      </c>
      <c r="F23" s="95"/>
      <c r="G23" s="55">
        <v>6026338.83</v>
      </c>
      <c r="H23" s="95"/>
      <c r="I23" s="359">
        <f t="shared" si="0"/>
        <v>55.26757460176196</v>
      </c>
    </row>
    <row r="24" spans="1:9" ht="18.75" customHeight="1">
      <c r="A24" s="88"/>
      <c r="B24" s="89"/>
      <c r="C24" s="9">
        <v>4300</v>
      </c>
      <c r="D24" s="288" t="s">
        <v>599</v>
      </c>
      <c r="E24" s="55">
        <v>60000</v>
      </c>
      <c r="F24" s="95"/>
      <c r="G24" s="55">
        <v>0</v>
      </c>
      <c r="H24" s="95"/>
      <c r="I24" s="359">
        <f t="shared" si="0"/>
        <v>0</v>
      </c>
    </row>
    <row r="25" spans="1:9" ht="27.75" customHeight="1">
      <c r="A25" s="88"/>
      <c r="B25" s="98"/>
      <c r="C25" s="9">
        <v>6050</v>
      </c>
      <c r="D25" s="288" t="s">
        <v>482</v>
      </c>
      <c r="E25" s="55">
        <v>20000</v>
      </c>
      <c r="F25" s="95"/>
      <c r="G25" s="55">
        <v>0</v>
      </c>
      <c r="H25" s="95"/>
      <c r="I25" s="359">
        <f t="shared" si="0"/>
        <v>0</v>
      </c>
    </row>
    <row r="26" spans="1:9" ht="22.5" customHeight="1">
      <c r="A26" s="120"/>
      <c r="B26" s="85">
        <v>60016</v>
      </c>
      <c r="C26" s="24"/>
      <c r="D26" s="293" t="s">
        <v>601</v>
      </c>
      <c r="E26" s="106">
        <f>SUM(E27:E36)</f>
        <v>19249989.95</v>
      </c>
      <c r="F26" s="95"/>
      <c r="G26" s="106">
        <f>SUM(G27:G36)</f>
        <v>1629116.5599999998</v>
      </c>
      <c r="H26" s="95"/>
      <c r="I26" s="359">
        <f t="shared" si="0"/>
        <v>8.462947587149259</v>
      </c>
    </row>
    <row r="27" spans="1:9" ht="18.75" customHeight="1">
      <c r="A27" s="120"/>
      <c r="B27" s="118"/>
      <c r="C27" s="9">
        <v>4170</v>
      </c>
      <c r="D27" s="288" t="s">
        <v>490</v>
      </c>
      <c r="E27" s="55">
        <v>12000</v>
      </c>
      <c r="F27" s="95"/>
      <c r="G27" s="55">
        <v>8000</v>
      </c>
      <c r="H27" s="95"/>
      <c r="I27" s="359">
        <f t="shared" si="0"/>
        <v>66.66666666666666</v>
      </c>
    </row>
    <row r="28" spans="1:9" ht="15" customHeight="1">
      <c r="A28" s="120"/>
      <c r="B28" s="118"/>
      <c r="C28" s="9">
        <v>4210</v>
      </c>
      <c r="D28" s="288" t="s">
        <v>602</v>
      </c>
      <c r="E28" s="55">
        <v>55000</v>
      </c>
      <c r="F28" s="95"/>
      <c r="G28" s="55">
        <v>0</v>
      </c>
      <c r="H28" s="95"/>
      <c r="I28" s="359"/>
    </row>
    <row r="29" spans="1:9" ht="15" customHeight="1">
      <c r="A29" s="88"/>
      <c r="B29" s="89"/>
      <c r="C29" s="9">
        <v>4270</v>
      </c>
      <c r="D29" s="288" t="s">
        <v>603</v>
      </c>
      <c r="E29" s="55">
        <v>3512000</v>
      </c>
      <c r="F29" s="95"/>
      <c r="G29" s="55">
        <v>661255.38</v>
      </c>
      <c r="H29" s="95"/>
      <c r="I29" s="359">
        <f t="shared" si="0"/>
        <v>18.828456150341687</v>
      </c>
    </row>
    <row r="30" spans="1:9" ht="15" customHeight="1">
      <c r="A30" s="88"/>
      <c r="B30" s="89"/>
      <c r="C30" s="9">
        <v>4300</v>
      </c>
      <c r="D30" s="288" t="s">
        <v>599</v>
      </c>
      <c r="E30" s="55">
        <v>1525000</v>
      </c>
      <c r="F30" s="95"/>
      <c r="G30" s="55">
        <v>892843.5</v>
      </c>
      <c r="H30" s="95"/>
      <c r="I30" s="359">
        <f t="shared" si="0"/>
        <v>58.54711475409836</v>
      </c>
    </row>
    <row r="31" spans="1:9" ht="24" customHeight="1">
      <c r="A31" s="88"/>
      <c r="B31" s="89"/>
      <c r="C31" s="9">
        <v>4390</v>
      </c>
      <c r="D31" s="288" t="s">
        <v>481</v>
      </c>
      <c r="E31" s="55">
        <f>30000+10000</f>
        <v>40000</v>
      </c>
      <c r="F31" s="95"/>
      <c r="G31" s="55">
        <v>0</v>
      </c>
      <c r="H31" s="95"/>
      <c r="I31" s="359"/>
    </row>
    <row r="32" spans="1:9" ht="15" customHeight="1">
      <c r="A32" s="88"/>
      <c r="B32" s="89"/>
      <c r="C32" s="9">
        <v>4580</v>
      </c>
      <c r="D32" s="288" t="s">
        <v>443</v>
      </c>
      <c r="E32" s="55">
        <v>5000</v>
      </c>
      <c r="F32" s="95"/>
      <c r="G32" s="55">
        <v>630.34</v>
      </c>
      <c r="H32" s="95"/>
      <c r="I32" s="359">
        <f t="shared" si="0"/>
        <v>12.606800000000002</v>
      </c>
    </row>
    <row r="33" spans="1:9" ht="26.25" customHeight="1">
      <c r="A33" s="88"/>
      <c r="B33" s="89"/>
      <c r="C33" s="9">
        <v>4590</v>
      </c>
      <c r="D33" s="288" t="s">
        <v>604</v>
      </c>
      <c r="E33" s="55">
        <v>30000</v>
      </c>
      <c r="F33" s="95"/>
      <c r="G33" s="55">
        <v>7130.8</v>
      </c>
      <c r="H33" s="95"/>
      <c r="I33" s="359">
        <f t="shared" si="0"/>
        <v>23.769333333333336</v>
      </c>
    </row>
    <row r="34" spans="1:9" ht="39" customHeight="1">
      <c r="A34" s="88"/>
      <c r="B34" s="89"/>
      <c r="C34" s="9">
        <v>4600</v>
      </c>
      <c r="D34" s="288" t="s">
        <v>429</v>
      </c>
      <c r="E34" s="55">
        <v>10000</v>
      </c>
      <c r="F34" s="95"/>
      <c r="G34" s="55">
        <v>0</v>
      </c>
      <c r="H34" s="95"/>
      <c r="I34" s="359"/>
    </row>
    <row r="35" spans="1:9" ht="27" customHeight="1">
      <c r="A35" s="88"/>
      <c r="B35" s="89"/>
      <c r="C35" s="9">
        <v>4610</v>
      </c>
      <c r="D35" s="288" t="s">
        <v>664</v>
      </c>
      <c r="E35" s="55">
        <v>3000</v>
      </c>
      <c r="F35" s="95"/>
      <c r="G35" s="55">
        <v>1663.64</v>
      </c>
      <c r="H35" s="95"/>
      <c r="I35" s="359">
        <f t="shared" si="0"/>
        <v>55.454666666666675</v>
      </c>
    </row>
    <row r="36" spans="1:9" ht="24.75" customHeight="1">
      <c r="A36" s="88"/>
      <c r="B36" s="89"/>
      <c r="C36" s="9">
        <v>6050</v>
      </c>
      <c r="D36" s="288" t="s">
        <v>482</v>
      </c>
      <c r="E36" s="55">
        <v>14057989.95</v>
      </c>
      <c r="F36" s="95"/>
      <c r="G36" s="55">
        <v>57592.9</v>
      </c>
      <c r="H36" s="95"/>
      <c r="I36" s="359">
        <f t="shared" si="0"/>
        <v>0.4096809017849668</v>
      </c>
    </row>
    <row r="37" spans="1:25" s="56" customFormat="1" ht="24" customHeight="1">
      <c r="A37" s="120"/>
      <c r="B37" s="49">
        <v>60095</v>
      </c>
      <c r="C37" s="24"/>
      <c r="D37" s="293" t="s">
        <v>544</v>
      </c>
      <c r="E37" s="106">
        <f>SUM(E38:E39)</f>
        <v>56000</v>
      </c>
      <c r="F37" s="114"/>
      <c r="G37" s="106">
        <f>SUM(G38:G39)</f>
        <v>22799.99</v>
      </c>
      <c r="H37" s="114"/>
      <c r="I37" s="359">
        <f t="shared" si="0"/>
        <v>40.71426785714286</v>
      </c>
      <c r="J37" s="243"/>
      <c r="K37" s="243"/>
      <c r="L37" s="261"/>
      <c r="M37" s="243"/>
      <c r="N37" s="243"/>
      <c r="O37" s="243"/>
      <c r="P37" s="243"/>
      <c r="Q37" s="243"/>
      <c r="R37" s="243"/>
      <c r="S37" s="243"/>
      <c r="T37" s="252"/>
      <c r="U37" s="252"/>
      <c r="V37" s="252"/>
      <c r="W37" s="252"/>
      <c r="X37" s="252"/>
      <c r="Y37" s="252"/>
    </row>
    <row r="38" spans="1:9" ht="23.25" customHeight="1">
      <c r="A38" s="88"/>
      <c r="B38" s="89"/>
      <c r="C38" s="9">
        <v>4300</v>
      </c>
      <c r="D38" s="288" t="s">
        <v>599</v>
      </c>
      <c r="E38" s="55">
        <v>55000</v>
      </c>
      <c r="F38" s="95"/>
      <c r="G38" s="55">
        <v>22479.99</v>
      </c>
      <c r="H38" s="95"/>
      <c r="I38" s="359">
        <f t="shared" si="0"/>
        <v>40.87270909090909</v>
      </c>
    </row>
    <row r="39" spans="1:9" ht="25.5" customHeight="1">
      <c r="A39" s="88"/>
      <c r="B39" s="89"/>
      <c r="C39" s="9">
        <v>4610</v>
      </c>
      <c r="D39" s="288" t="s">
        <v>664</v>
      </c>
      <c r="E39" s="55">
        <v>1000</v>
      </c>
      <c r="F39" s="95"/>
      <c r="G39" s="55">
        <v>320</v>
      </c>
      <c r="H39" s="95"/>
      <c r="I39" s="359">
        <f t="shared" si="0"/>
        <v>32</v>
      </c>
    </row>
    <row r="40" spans="1:9" ht="25.5" customHeight="1">
      <c r="A40" s="62">
        <v>700</v>
      </c>
      <c r="B40" s="62"/>
      <c r="C40" s="11"/>
      <c r="D40" s="292" t="s">
        <v>416</v>
      </c>
      <c r="E40" s="36">
        <f>E41+E58</f>
        <v>16527049.05</v>
      </c>
      <c r="F40" s="116"/>
      <c r="G40" s="36">
        <f>G41+G58</f>
        <v>6682936.429999999</v>
      </c>
      <c r="H40" s="116"/>
      <c r="I40" s="359">
        <f t="shared" si="0"/>
        <v>40.43635624110403</v>
      </c>
    </row>
    <row r="41" spans="1:9" ht="25.5" customHeight="1">
      <c r="A41" s="117"/>
      <c r="B41" s="49">
        <v>70005</v>
      </c>
      <c r="C41" s="24"/>
      <c r="D41" s="293" t="s">
        <v>431</v>
      </c>
      <c r="E41" s="106">
        <f>SUM(E42:E57)</f>
        <v>15236849.05</v>
      </c>
      <c r="F41" s="95"/>
      <c r="G41" s="106">
        <f>SUM(G42:G57)</f>
        <v>6585241.379999999</v>
      </c>
      <c r="H41" s="95"/>
      <c r="I41" s="359">
        <f t="shared" si="0"/>
        <v>43.21918106814872</v>
      </c>
    </row>
    <row r="42" spans="1:9" ht="15" customHeight="1">
      <c r="A42" s="88"/>
      <c r="B42" s="89"/>
      <c r="C42" s="9">
        <v>4210</v>
      </c>
      <c r="D42" s="288" t="s">
        <v>602</v>
      </c>
      <c r="E42" s="55">
        <v>4000</v>
      </c>
      <c r="F42" s="95"/>
      <c r="G42" s="55">
        <v>1448.29</v>
      </c>
      <c r="H42" s="95"/>
      <c r="I42" s="359">
        <f t="shared" si="0"/>
        <v>36.207249999999995</v>
      </c>
    </row>
    <row r="43" spans="1:9" ht="15" customHeight="1">
      <c r="A43" s="88"/>
      <c r="B43" s="89"/>
      <c r="C43" s="20">
        <v>4260</v>
      </c>
      <c r="D43" s="350" t="s">
        <v>654</v>
      </c>
      <c r="E43" s="55">
        <v>4766500</v>
      </c>
      <c r="F43" s="95"/>
      <c r="G43" s="55">
        <v>2100539.59</v>
      </c>
      <c r="H43" s="95"/>
      <c r="I43" s="359">
        <f t="shared" si="0"/>
        <v>44.06880499318157</v>
      </c>
    </row>
    <row r="44" spans="1:9" ht="15" customHeight="1">
      <c r="A44" s="88"/>
      <c r="B44" s="89"/>
      <c r="C44" s="9">
        <v>4270</v>
      </c>
      <c r="D44" s="288" t="s">
        <v>603</v>
      </c>
      <c r="E44" s="55">
        <v>1651300</v>
      </c>
      <c r="F44" s="95"/>
      <c r="G44" s="55">
        <v>622072.2</v>
      </c>
      <c r="H44" s="95"/>
      <c r="I44" s="359">
        <f t="shared" si="0"/>
        <v>37.67166474898565</v>
      </c>
    </row>
    <row r="45" spans="1:9" ht="15" customHeight="1">
      <c r="A45" s="88"/>
      <c r="B45" s="89"/>
      <c r="C45" s="16">
        <v>4300</v>
      </c>
      <c r="D45" s="288" t="s">
        <v>432</v>
      </c>
      <c r="E45" s="55">
        <v>4753500</v>
      </c>
      <c r="F45" s="95"/>
      <c r="G45" s="55">
        <f>2031110.85-10961.01</f>
        <v>2020149.84</v>
      </c>
      <c r="H45" s="95"/>
      <c r="I45" s="359">
        <f t="shared" si="0"/>
        <v>42.498155885137265</v>
      </c>
    </row>
    <row r="46" spans="1:9" ht="21.75" customHeight="1">
      <c r="A46" s="88"/>
      <c r="B46" s="89"/>
      <c r="C46" s="3">
        <v>4390</v>
      </c>
      <c r="D46" s="288" t="s">
        <v>501</v>
      </c>
      <c r="E46" s="55">
        <v>5000</v>
      </c>
      <c r="F46" s="95"/>
      <c r="G46" s="55">
        <v>1660.5</v>
      </c>
      <c r="H46" s="95"/>
      <c r="I46" s="359">
        <f t="shared" si="0"/>
        <v>33.21</v>
      </c>
    </row>
    <row r="47" spans="1:9" ht="15" customHeight="1">
      <c r="A47" s="88"/>
      <c r="B47" s="89"/>
      <c r="C47" s="20">
        <v>4430</v>
      </c>
      <c r="D47" s="288" t="s">
        <v>667</v>
      </c>
      <c r="E47" s="55">
        <v>60400</v>
      </c>
      <c r="F47" s="95"/>
      <c r="G47" s="55">
        <v>30560</v>
      </c>
      <c r="H47" s="95"/>
      <c r="I47" s="359">
        <f t="shared" si="0"/>
        <v>50.59602649006622</v>
      </c>
    </row>
    <row r="48" spans="1:9" ht="15" customHeight="1">
      <c r="A48" s="88"/>
      <c r="B48" s="89"/>
      <c r="C48" s="9">
        <v>4480</v>
      </c>
      <c r="D48" s="288" t="s">
        <v>452</v>
      </c>
      <c r="E48" s="55">
        <v>1350000</v>
      </c>
      <c r="F48" s="95"/>
      <c r="G48" s="55">
        <v>706712.09</v>
      </c>
      <c r="H48" s="95"/>
      <c r="I48" s="359">
        <f t="shared" si="0"/>
        <v>52.3490437037037</v>
      </c>
    </row>
    <row r="49" spans="1:9" ht="27.75" customHeight="1">
      <c r="A49" s="88"/>
      <c r="B49" s="89"/>
      <c r="C49" s="9">
        <v>4500</v>
      </c>
      <c r="D49" s="288" t="s">
        <v>457</v>
      </c>
      <c r="E49" s="55">
        <v>3000</v>
      </c>
      <c r="F49" s="95"/>
      <c r="G49" s="55">
        <v>2647</v>
      </c>
      <c r="H49" s="95"/>
      <c r="I49" s="359">
        <f t="shared" si="0"/>
        <v>88.23333333333333</v>
      </c>
    </row>
    <row r="50" spans="1:9" ht="31.5" customHeight="1">
      <c r="A50" s="88"/>
      <c r="B50" s="89"/>
      <c r="C50" s="9">
        <v>4520</v>
      </c>
      <c r="D50" s="288" t="s">
        <v>502</v>
      </c>
      <c r="E50" s="55">
        <v>191100</v>
      </c>
      <c r="F50" s="95"/>
      <c r="G50" s="55">
        <v>120</v>
      </c>
      <c r="H50" s="95"/>
      <c r="I50" s="359">
        <f t="shared" si="0"/>
        <v>0.06279434850863422</v>
      </c>
    </row>
    <row r="51" spans="1:9" ht="16.5" customHeight="1">
      <c r="A51" s="88"/>
      <c r="B51" s="89"/>
      <c r="C51" s="9">
        <v>4530</v>
      </c>
      <c r="D51" s="288" t="s">
        <v>496</v>
      </c>
      <c r="E51" s="55">
        <v>219400</v>
      </c>
      <c r="F51" s="95"/>
      <c r="G51" s="55">
        <v>32789.01</v>
      </c>
      <c r="H51" s="95"/>
      <c r="I51" s="359">
        <f t="shared" si="0"/>
        <v>14.944854147675478</v>
      </c>
    </row>
    <row r="52" spans="1:9" ht="15" customHeight="1">
      <c r="A52" s="88"/>
      <c r="B52" s="89"/>
      <c r="C52" s="9">
        <v>4580</v>
      </c>
      <c r="D52" s="288" t="s">
        <v>443</v>
      </c>
      <c r="E52" s="55">
        <v>1500</v>
      </c>
      <c r="F52" s="95"/>
      <c r="G52" s="55">
        <v>0</v>
      </c>
      <c r="H52" s="95"/>
      <c r="I52" s="359">
        <f t="shared" si="0"/>
        <v>0</v>
      </c>
    </row>
    <row r="53" spans="1:9" ht="27" customHeight="1">
      <c r="A53" s="88"/>
      <c r="B53" s="89"/>
      <c r="C53" s="9">
        <v>4590</v>
      </c>
      <c r="D53" s="288" t="s">
        <v>604</v>
      </c>
      <c r="E53" s="55">
        <v>261280</v>
      </c>
      <c r="F53" s="95"/>
      <c r="G53" s="55">
        <v>68846</v>
      </c>
      <c r="H53" s="95"/>
      <c r="I53" s="359">
        <f t="shared" si="0"/>
        <v>26.34951010410288</v>
      </c>
    </row>
    <row r="54" spans="1:9" ht="37.5" customHeight="1">
      <c r="A54" s="88"/>
      <c r="B54" s="89"/>
      <c r="C54" s="9">
        <v>4600</v>
      </c>
      <c r="D54" s="288" t="s">
        <v>429</v>
      </c>
      <c r="E54" s="55">
        <v>709320</v>
      </c>
      <c r="F54" s="95"/>
      <c r="G54" s="55">
        <v>377024</v>
      </c>
      <c r="H54" s="95"/>
      <c r="I54" s="359">
        <f t="shared" si="0"/>
        <v>53.15287881351153</v>
      </c>
    </row>
    <row r="55" spans="1:9" ht="29.25" customHeight="1">
      <c r="A55" s="88"/>
      <c r="B55" s="89"/>
      <c r="C55" s="9">
        <v>4610</v>
      </c>
      <c r="D55" s="288" t="s">
        <v>388</v>
      </c>
      <c r="E55" s="55">
        <v>100000</v>
      </c>
      <c r="F55" s="95"/>
      <c r="G55" s="55">
        <f>52753.53-2976.48</f>
        <v>49777.049999999996</v>
      </c>
      <c r="H55" s="95"/>
      <c r="I55" s="359">
        <f t="shared" si="0"/>
        <v>49.777049999999996</v>
      </c>
    </row>
    <row r="56" spans="1:9" ht="29.25" customHeight="1">
      <c r="A56" s="88"/>
      <c r="B56" s="89"/>
      <c r="C56" s="9">
        <v>6050</v>
      </c>
      <c r="D56" s="288" t="s">
        <v>482</v>
      </c>
      <c r="E56" s="55">
        <v>15000</v>
      </c>
      <c r="F56" s="95"/>
      <c r="G56" s="55">
        <v>0</v>
      </c>
      <c r="H56" s="95"/>
      <c r="I56" s="359"/>
    </row>
    <row r="57" spans="1:9" ht="24" customHeight="1">
      <c r="A57" s="88"/>
      <c r="B57" s="89"/>
      <c r="C57" s="16">
        <v>6060</v>
      </c>
      <c r="D57" s="288" t="s">
        <v>665</v>
      </c>
      <c r="E57" s="55">
        <v>1145549.05</v>
      </c>
      <c r="F57" s="95"/>
      <c r="G57" s="55">
        <v>570895.81</v>
      </c>
      <c r="H57" s="95"/>
      <c r="I57" s="359">
        <f t="shared" si="0"/>
        <v>49.835998729168345</v>
      </c>
    </row>
    <row r="58" spans="1:9" ht="20.25" customHeight="1">
      <c r="A58" s="118"/>
      <c r="B58" s="49">
        <v>70095</v>
      </c>
      <c r="C58" s="25"/>
      <c r="D58" s="349" t="s">
        <v>544</v>
      </c>
      <c r="E58" s="106">
        <f>SUM(E59:E62)</f>
        <v>1290200</v>
      </c>
      <c r="F58" s="95"/>
      <c r="G58" s="106">
        <f>SUM(G59:G62)</f>
        <v>97695.05</v>
      </c>
      <c r="H58" s="95"/>
      <c r="I58" s="359">
        <f t="shared" si="0"/>
        <v>7.572085723143698</v>
      </c>
    </row>
    <row r="59" spans="1:9" ht="18.75" customHeight="1">
      <c r="A59" s="89"/>
      <c r="B59" s="81"/>
      <c r="C59" s="16">
        <v>4300</v>
      </c>
      <c r="D59" s="288" t="s">
        <v>432</v>
      </c>
      <c r="E59" s="55">
        <v>60000</v>
      </c>
      <c r="F59" s="95"/>
      <c r="G59" s="55">
        <v>19666.73</v>
      </c>
      <c r="H59" s="95"/>
      <c r="I59" s="359">
        <f t="shared" si="0"/>
        <v>32.777883333333335</v>
      </c>
    </row>
    <row r="60" spans="1:9" ht="18.75" customHeight="1">
      <c r="A60" s="89"/>
      <c r="B60" s="81"/>
      <c r="C60" s="16">
        <v>4430</v>
      </c>
      <c r="D60" s="288" t="s">
        <v>667</v>
      </c>
      <c r="E60" s="55">
        <v>43500</v>
      </c>
      <c r="F60" s="95"/>
      <c r="G60" s="55">
        <v>42953.68</v>
      </c>
      <c r="H60" s="95"/>
      <c r="I60" s="359">
        <f t="shared" si="0"/>
        <v>98.74409195402299</v>
      </c>
    </row>
    <row r="61" spans="1:9" ht="30.75" customHeight="1">
      <c r="A61" s="89"/>
      <c r="B61" s="81"/>
      <c r="C61" s="9">
        <v>4610</v>
      </c>
      <c r="D61" s="288" t="s">
        <v>664</v>
      </c>
      <c r="E61" s="55">
        <v>39000</v>
      </c>
      <c r="F61" s="95"/>
      <c r="G61" s="55">
        <v>16141.59</v>
      </c>
      <c r="H61" s="95"/>
      <c r="I61" s="359">
        <f t="shared" si="0"/>
        <v>41.38869230769231</v>
      </c>
    </row>
    <row r="62" spans="1:9" ht="26.25" customHeight="1">
      <c r="A62" s="89"/>
      <c r="B62" s="81"/>
      <c r="C62" s="9">
        <v>6050</v>
      </c>
      <c r="D62" s="288" t="s">
        <v>482</v>
      </c>
      <c r="E62" s="55">
        <v>1147700</v>
      </c>
      <c r="F62" s="95"/>
      <c r="G62" s="55">
        <v>18933.05</v>
      </c>
      <c r="H62" s="95"/>
      <c r="I62" s="359">
        <f t="shared" si="0"/>
        <v>1.649651476866777</v>
      </c>
    </row>
    <row r="63" spans="1:9" ht="23.25" customHeight="1">
      <c r="A63" s="62">
        <v>710</v>
      </c>
      <c r="B63" s="62"/>
      <c r="C63" s="11"/>
      <c r="D63" s="292" t="s">
        <v>553</v>
      </c>
      <c r="E63" s="36">
        <f>E64+E67+E69</f>
        <v>441278.29000000004</v>
      </c>
      <c r="F63" s="116"/>
      <c r="G63" s="36">
        <f>G64+G67+G69</f>
        <v>81139.03</v>
      </c>
      <c r="H63" s="116"/>
      <c r="I63" s="359">
        <f t="shared" si="0"/>
        <v>18.387269856398326</v>
      </c>
    </row>
    <row r="64" spans="1:9" ht="26.25" customHeight="1">
      <c r="A64" s="118"/>
      <c r="B64" s="49">
        <v>71004</v>
      </c>
      <c r="C64" s="25"/>
      <c r="D64" s="293" t="s">
        <v>668</v>
      </c>
      <c r="E64" s="106">
        <f>SUM(E65:E66)</f>
        <v>264278.29000000004</v>
      </c>
      <c r="F64" s="95"/>
      <c r="G64" s="106">
        <f>SUM(G65:G66)</f>
        <v>41591.59</v>
      </c>
      <c r="H64" s="95"/>
      <c r="I64" s="359">
        <f t="shared" si="0"/>
        <v>15.73780048296816</v>
      </c>
    </row>
    <row r="65" spans="1:9" ht="18" customHeight="1">
      <c r="A65" s="88"/>
      <c r="B65" s="89"/>
      <c r="C65" s="9">
        <v>4170</v>
      </c>
      <c r="D65" s="288" t="s">
        <v>652</v>
      </c>
      <c r="E65" s="55">
        <v>6000</v>
      </c>
      <c r="F65" s="95"/>
      <c r="G65" s="55">
        <v>0</v>
      </c>
      <c r="H65" s="95"/>
      <c r="I65" s="359"/>
    </row>
    <row r="66" spans="1:9" ht="18" customHeight="1">
      <c r="A66" s="88"/>
      <c r="B66" s="98"/>
      <c r="C66" s="9">
        <v>4300</v>
      </c>
      <c r="D66" s="288" t="s">
        <v>432</v>
      </c>
      <c r="E66" s="55">
        <v>258278.29</v>
      </c>
      <c r="F66" s="95"/>
      <c r="G66" s="55">
        <v>41591.59</v>
      </c>
      <c r="H66" s="95"/>
      <c r="I66" s="359">
        <f t="shared" si="0"/>
        <v>16.10340148992004</v>
      </c>
    </row>
    <row r="67" spans="1:25" s="56" customFormat="1" ht="22.5" customHeight="1">
      <c r="A67" s="120"/>
      <c r="B67" s="85">
        <v>71014</v>
      </c>
      <c r="C67" s="24"/>
      <c r="D67" s="293" t="s">
        <v>670</v>
      </c>
      <c r="E67" s="106">
        <f>E68</f>
        <v>110000</v>
      </c>
      <c r="F67" s="114"/>
      <c r="G67" s="106">
        <f>G68</f>
        <v>29584.44</v>
      </c>
      <c r="H67" s="114"/>
      <c r="I67" s="359">
        <f t="shared" si="0"/>
        <v>26.894945454545454</v>
      </c>
      <c r="J67" s="243"/>
      <c r="K67" s="243"/>
      <c r="L67" s="261"/>
      <c r="M67" s="243"/>
      <c r="N67" s="243"/>
      <c r="O67" s="243"/>
      <c r="P67" s="243"/>
      <c r="Q67" s="243"/>
      <c r="R67" s="243"/>
      <c r="S67" s="243"/>
      <c r="T67" s="252"/>
      <c r="U67" s="252"/>
      <c r="V67" s="252"/>
      <c r="W67" s="252"/>
      <c r="X67" s="252"/>
      <c r="Y67" s="252"/>
    </row>
    <row r="68" spans="1:9" ht="19.5" customHeight="1">
      <c r="A68" s="88"/>
      <c r="B68" s="89"/>
      <c r="C68" s="16">
        <v>4300</v>
      </c>
      <c r="D68" s="288" t="s">
        <v>640</v>
      </c>
      <c r="E68" s="55">
        <v>110000</v>
      </c>
      <c r="F68" s="95"/>
      <c r="G68" s="55">
        <f>30196.44-612</f>
        <v>29584.44</v>
      </c>
      <c r="H68" s="95"/>
      <c r="I68" s="359">
        <f t="shared" si="0"/>
        <v>26.894945454545454</v>
      </c>
    </row>
    <row r="69" spans="1:25" s="56" customFormat="1" ht="22.5" customHeight="1">
      <c r="A69" s="118"/>
      <c r="B69" s="49">
        <v>71035</v>
      </c>
      <c r="C69" s="25"/>
      <c r="D69" s="293" t="s">
        <v>641</v>
      </c>
      <c r="E69" s="106">
        <f>SUM(E70:E72)</f>
        <v>67000</v>
      </c>
      <c r="F69" s="114"/>
      <c r="G69" s="106">
        <f>SUM(G70:G72)</f>
        <v>9963</v>
      </c>
      <c r="H69" s="114"/>
      <c r="I69" s="359">
        <f t="shared" si="0"/>
        <v>14.870149253731343</v>
      </c>
      <c r="J69" s="243"/>
      <c r="K69" s="243"/>
      <c r="L69" s="261"/>
      <c r="M69" s="243"/>
      <c r="N69" s="243"/>
      <c r="O69" s="243"/>
      <c r="P69" s="243"/>
      <c r="Q69" s="243"/>
      <c r="R69" s="243"/>
      <c r="S69" s="243"/>
      <c r="T69" s="252"/>
      <c r="U69" s="252"/>
      <c r="V69" s="252"/>
      <c r="W69" s="252"/>
      <c r="X69" s="252"/>
      <c r="Y69" s="252"/>
    </row>
    <row r="70" spans="1:9" ht="19.5" customHeight="1">
      <c r="A70" s="88"/>
      <c r="B70" s="118"/>
      <c r="C70" s="9">
        <v>4300</v>
      </c>
      <c r="D70" s="288" t="s">
        <v>599</v>
      </c>
      <c r="E70" s="55">
        <v>15000</v>
      </c>
      <c r="F70" s="95"/>
      <c r="G70" s="55">
        <v>9963</v>
      </c>
      <c r="H70" s="95"/>
      <c r="I70" s="359">
        <f t="shared" si="0"/>
        <v>66.42</v>
      </c>
    </row>
    <row r="71" spans="1:9" ht="53.25" customHeight="1">
      <c r="A71" s="88"/>
      <c r="B71" s="118"/>
      <c r="C71" s="9">
        <v>4340</v>
      </c>
      <c r="D71" s="1" t="s">
        <v>386</v>
      </c>
      <c r="E71" s="27">
        <v>32000</v>
      </c>
      <c r="F71" s="95"/>
      <c r="G71" s="27">
        <v>0</v>
      </c>
      <c r="H71" s="95"/>
      <c r="I71" s="359"/>
    </row>
    <row r="72" spans="1:9" ht="28.5" customHeight="1">
      <c r="A72" s="88"/>
      <c r="B72" s="118"/>
      <c r="C72" s="9">
        <v>6050</v>
      </c>
      <c r="D72" s="288" t="s">
        <v>482</v>
      </c>
      <c r="E72" s="27">
        <v>20000</v>
      </c>
      <c r="F72" s="95"/>
      <c r="G72" s="27">
        <v>0</v>
      </c>
      <c r="H72" s="95"/>
      <c r="I72" s="359"/>
    </row>
    <row r="73" spans="1:9" ht="23.25" customHeight="1">
      <c r="A73" s="62">
        <v>750</v>
      </c>
      <c r="B73" s="62"/>
      <c r="C73" s="11"/>
      <c r="D73" s="292" t="s">
        <v>545</v>
      </c>
      <c r="E73" s="92">
        <f>E74+E80+E84+E114+E118</f>
        <v>31425985.000000004</v>
      </c>
      <c r="F73" s="36">
        <f>F74+F80+F84+F114+F118</f>
        <v>485100</v>
      </c>
      <c r="G73" s="92">
        <f>G74+G80+G84+G114+G118</f>
        <v>13477197.249999998</v>
      </c>
      <c r="H73" s="36">
        <f>H74+H80+H84+H114+H118</f>
        <v>243504</v>
      </c>
      <c r="I73" s="359">
        <f t="shared" si="0"/>
        <v>42.8855205334057</v>
      </c>
    </row>
    <row r="74" spans="1:9" ht="24" customHeight="1">
      <c r="A74" s="121"/>
      <c r="B74" s="83">
        <v>75011</v>
      </c>
      <c r="C74" s="25"/>
      <c r="D74" s="293" t="s">
        <v>642</v>
      </c>
      <c r="E74" s="106">
        <f>SUM(E75:E79)</f>
        <v>1673400</v>
      </c>
      <c r="F74" s="115">
        <f>SUM(F75:F79)</f>
        <v>485100</v>
      </c>
      <c r="G74" s="106">
        <f>SUM(G75:G79)</f>
        <v>790164.8599999999</v>
      </c>
      <c r="H74" s="115">
        <f>SUM(H75:H79)</f>
        <v>243504</v>
      </c>
      <c r="I74" s="359">
        <f t="shared" si="0"/>
        <v>47.21912632962829</v>
      </c>
    </row>
    <row r="75" spans="1:9" ht="17.25" customHeight="1">
      <c r="A75" s="121"/>
      <c r="B75" s="99"/>
      <c r="C75" s="3">
        <v>4010</v>
      </c>
      <c r="D75" s="288" t="s">
        <v>643</v>
      </c>
      <c r="E75" s="55">
        <v>1285581.04</v>
      </c>
      <c r="F75" s="116">
        <v>367572.94</v>
      </c>
      <c r="G75" s="55">
        <f>385459.97+H75</f>
        <v>567323.9099999999</v>
      </c>
      <c r="H75" s="116">
        <v>181863.94</v>
      </c>
      <c r="I75" s="359">
        <f t="shared" si="0"/>
        <v>44.12976641285872</v>
      </c>
    </row>
    <row r="76" spans="1:9" ht="15" customHeight="1">
      <c r="A76" s="121"/>
      <c r="B76" s="99"/>
      <c r="C76" s="3">
        <v>4040</v>
      </c>
      <c r="D76" s="288" t="s">
        <v>644</v>
      </c>
      <c r="E76" s="55">
        <v>96200</v>
      </c>
      <c r="F76" s="116">
        <v>27036</v>
      </c>
      <c r="G76" s="55">
        <f>69153.85+H76</f>
        <v>96189.85</v>
      </c>
      <c r="H76" s="116">
        <v>27036</v>
      </c>
      <c r="I76" s="359">
        <f t="shared" si="0"/>
        <v>99.98944906444906</v>
      </c>
    </row>
    <row r="77" spans="1:9" ht="15" customHeight="1">
      <c r="A77" s="121"/>
      <c r="B77" s="99"/>
      <c r="C77" s="3">
        <v>4110</v>
      </c>
      <c r="D77" s="288" t="s">
        <v>645</v>
      </c>
      <c r="E77" s="55">
        <v>231940</v>
      </c>
      <c r="F77" s="116">
        <v>59073</v>
      </c>
      <c r="G77" s="55">
        <f>80407.64+H77</f>
        <v>96942.64</v>
      </c>
      <c r="H77" s="116">
        <v>16535</v>
      </c>
      <c r="I77" s="359">
        <f t="shared" si="0"/>
        <v>41.796430111235665</v>
      </c>
    </row>
    <row r="78" spans="1:9" ht="15" customHeight="1">
      <c r="A78" s="121"/>
      <c r="B78" s="99"/>
      <c r="C78" s="3">
        <v>4120</v>
      </c>
      <c r="D78" s="288" t="s">
        <v>646</v>
      </c>
      <c r="E78" s="55">
        <v>33060</v>
      </c>
      <c r="F78" s="116">
        <v>9528</v>
      </c>
      <c r="G78" s="55">
        <f>8092.73+H78</f>
        <v>9744.25</v>
      </c>
      <c r="H78" s="116">
        <v>1651.52</v>
      </c>
      <c r="I78" s="359">
        <f aca="true" t="shared" si="1" ref="I78:I141">G78/E78*100</f>
        <v>29.47444041137326</v>
      </c>
    </row>
    <row r="79" spans="1:9" ht="25.5" customHeight="1">
      <c r="A79" s="121"/>
      <c r="B79" s="99"/>
      <c r="C79" s="3">
        <v>4440</v>
      </c>
      <c r="D79" s="288" t="s">
        <v>647</v>
      </c>
      <c r="E79" s="55">
        <v>26618.96</v>
      </c>
      <c r="F79" s="112">
        <v>21890.06</v>
      </c>
      <c r="G79" s="55">
        <f>3546.67+H79</f>
        <v>19964.21</v>
      </c>
      <c r="H79" s="112">
        <v>16417.54</v>
      </c>
      <c r="I79" s="359">
        <f t="shared" si="1"/>
        <v>74.99996243279227</v>
      </c>
    </row>
    <row r="80" spans="1:9" ht="23.25" customHeight="1">
      <c r="A80" s="118"/>
      <c r="B80" s="83">
        <v>75022</v>
      </c>
      <c r="C80" s="25"/>
      <c r="D80" s="293" t="s">
        <v>648</v>
      </c>
      <c r="E80" s="106">
        <f>SUM(E81:E83)</f>
        <v>455000</v>
      </c>
      <c r="F80" s="112"/>
      <c r="G80" s="106">
        <f>SUM(G81:G83)</f>
        <v>165399.72</v>
      </c>
      <c r="H80" s="112"/>
      <c r="I80" s="359">
        <f t="shared" si="1"/>
        <v>36.35158681318681</v>
      </c>
    </row>
    <row r="81" spans="1:9" ht="18" customHeight="1">
      <c r="A81" s="89"/>
      <c r="B81" s="99"/>
      <c r="C81" s="3">
        <v>3030</v>
      </c>
      <c r="D81" s="288" t="s">
        <v>669</v>
      </c>
      <c r="E81" s="55">
        <v>375000</v>
      </c>
      <c r="F81" s="95"/>
      <c r="G81" s="55">
        <v>162503.68</v>
      </c>
      <c r="H81" s="95"/>
      <c r="I81" s="359">
        <f t="shared" si="1"/>
        <v>43.334314666666664</v>
      </c>
    </row>
    <row r="82" spans="1:9" ht="15" customHeight="1">
      <c r="A82" s="89"/>
      <c r="B82" s="99"/>
      <c r="C82" s="3">
        <v>4210</v>
      </c>
      <c r="D82" s="288" t="s">
        <v>602</v>
      </c>
      <c r="E82" s="55">
        <v>33000</v>
      </c>
      <c r="F82" s="95"/>
      <c r="G82" s="55">
        <v>2746.04</v>
      </c>
      <c r="H82" s="95"/>
      <c r="I82" s="359">
        <f t="shared" si="1"/>
        <v>8.321333333333333</v>
      </c>
    </row>
    <row r="83" spans="1:9" ht="15" customHeight="1">
      <c r="A83" s="89"/>
      <c r="B83" s="99"/>
      <c r="C83" s="3">
        <v>4300</v>
      </c>
      <c r="D83" s="288" t="s">
        <v>599</v>
      </c>
      <c r="E83" s="55">
        <v>47000</v>
      </c>
      <c r="F83" s="95"/>
      <c r="G83" s="55">
        <v>150</v>
      </c>
      <c r="H83" s="95"/>
      <c r="I83" s="359">
        <f t="shared" si="1"/>
        <v>0.3191489361702127</v>
      </c>
    </row>
    <row r="84" spans="1:14" ht="27.75" customHeight="1">
      <c r="A84" s="118"/>
      <c r="B84" s="49">
        <v>75023</v>
      </c>
      <c r="C84" s="25"/>
      <c r="D84" s="293" t="s">
        <v>426</v>
      </c>
      <c r="E84" s="41">
        <f>SUM(E85:E113)</f>
        <v>25635385.000000004</v>
      </c>
      <c r="F84" s="95"/>
      <c r="G84" s="41">
        <f>SUM(G85:G113)</f>
        <v>11914566.049999999</v>
      </c>
      <c r="H84" s="95"/>
      <c r="I84" s="359">
        <f t="shared" si="1"/>
        <v>46.47703184485038</v>
      </c>
      <c r="K84" s="243"/>
      <c r="L84" s="243"/>
      <c r="M84" s="243"/>
      <c r="N84" s="243"/>
    </row>
    <row r="85" spans="1:9" ht="24.75" customHeight="1">
      <c r="A85" s="88"/>
      <c r="B85" s="89"/>
      <c r="C85" s="16">
        <v>3020</v>
      </c>
      <c r="D85" s="288" t="s">
        <v>651</v>
      </c>
      <c r="E85" s="55">
        <v>144600</v>
      </c>
      <c r="F85" s="95"/>
      <c r="G85" s="55">
        <v>98088.64</v>
      </c>
      <c r="H85" s="95"/>
      <c r="I85" s="359">
        <f t="shared" si="1"/>
        <v>67.83446749654219</v>
      </c>
    </row>
    <row r="86" spans="1:9" ht="18" customHeight="1">
      <c r="A86" s="88"/>
      <c r="B86" s="89"/>
      <c r="C86" s="9">
        <v>4010</v>
      </c>
      <c r="D86" s="288" t="s">
        <v>643</v>
      </c>
      <c r="E86" s="55">
        <v>15531652.49</v>
      </c>
      <c r="F86" s="95"/>
      <c r="G86" s="55">
        <v>6920802.58</v>
      </c>
      <c r="H86" s="95"/>
      <c r="I86" s="359">
        <f t="shared" si="1"/>
        <v>44.55934476035911</v>
      </c>
    </row>
    <row r="87" spans="1:9" ht="15" customHeight="1">
      <c r="A87" s="88"/>
      <c r="B87" s="89"/>
      <c r="C87" s="9">
        <v>4040</v>
      </c>
      <c r="D87" s="288" t="s">
        <v>644</v>
      </c>
      <c r="E87" s="55">
        <v>1137960</v>
      </c>
      <c r="F87" s="95"/>
      <c r="G87" s="55">
        <v>1108444.11</v>
      </c>
      <c r="H87" s="95"/>
      <c r="I87" s="359">
        <f t="shared" si="1"/>
        <v>97.40624538648109</v>
      </c>
    </row>
    <row r="88" spans="1:9" ht="15" customHeight="1">
      <c r="A88" s="88"/>
      <c r="B88" s="89"/>
      <c r="C88" s="9">
        <v>4110</v>
      </c>
      <c r="D88" s="288" t="s">
        <v>645</v>
      </c>
      <c r="E88" s="55">
        <v>2763200</v>
      </c>
      <c r="F88" s="95"/>
      <c r="G88" s="55">
        <v>1193666.02</v>
      </c>
      <c r="H88" s="95"/>
      <c r="I88" s="359">
        <f t="shared" si="1"/>
        <v>43.19868341053851</v>
      </c>
    </row>
    <row r="89" spans="1:9" ht="15" customHeight="1">
      <c r="A89" s="88"/>
      <c r="B89" s="89"/>
      <c r="C89" s="9">
        <v>4120</v>
      </c>
      <c r="D89" s="288" t="s">
        <v>646</v>
      </c>
      <c r="E89" s="55">
        <v>404770</v>
      </c>
      <c r="F89" s="95"/>
      <c r="G89" s="55">
        <v>122822.77</v>
      </c>
      <c r="H89" s="95"/>
      <c r="I89" s="359">
        <f t="shared" si="1"/>
        <v>30.34384218197989</v>
      </c>
    </row>
    <row r="90" spans="1:9" ht="27" customHeight="1">
      <c r="A90" s="88"/>
      <c r="B90" s="89"/>
      <c r="C90" s="16">
        <v>4140</v>
      </c>
      <c r="D90" s="288" t="s">
        <v>357</v>
      </c>
      <c r="E90" s="55">
        <v>37000</v>
      </c>
      <c r="F90" s="95"/>
      <c r="G90" s="55">
        <v>2235</v>
      </c>
      <c r="H90" s="95"/>
      <c r="I90" s="359">
        <f t="shared" si="1"/>
        <v>6.04054054054054</v>
      </c>
    </row>
    <row r="91" spans="1:9" ht="15" customHeight="1">
      <c r="A91" s="88"/>
      <c r="B91" s="89"/>
      <c r="C91" s="9">
        <v>4170</v>
      </c>
      <c r="D91" s="288" t="s">
        <v>652</v>
      </c>
      <c r="E91" s="55">
        <v>148000</v>
      </c>
      <c r="F91" s="95"/>
      <c r="G91" s="55">
        <v>58143.16</v>
      </c>
      <c r="H91" s="95"/>
      <c r="I91" s="359">
        <f t="shared" si="1"/>
        <v>39.285918918918924</v>
      </c>
    </row>
    <row r="92" spans="1:9" ht="15" customHeight="1">
      <c r="A92" s="88"/>
      <c r="B92" s="89"/>
      <c r="C92" s="9">
        <v>4210</v>
      </c>
      <c r="D92" s="350" t="s">
        <v>653</v>
      </c>
      <c r="E92" s="55">
        <v>1132350</v>
      </c>
      <c r="F92" s="95"/>
      <c r="G92" s="55">
        <v>585907.8</v>
      </c>
      <c r="H92" s="95"/>
      <c r="I92" s="359">
        <f t="shared" si="1"/>
        <v>51.742641409458216</v>
      </c>
    </row>
    <row r="93" spans="1:9" ht="15" customHeight="1">
      <c r="A93" s="88"/>
      <c r="B93" s="89"/>
      <c r="C93" s="9">
        <v>4260</v>
      </c>
      <c r="D93" s="288" t="s">
        <v>660</v>
      </c>
      <c r="E93" s="55">
        <v>685000</v>
      </c>
      <c r="F93" s="95"/>
      <c r="G93" s="55">
        <v>374774.31</v>
      </c>
      <c r="H93" s="95"/>
      <c r="I93" s="359">
        <f t="shared" si="1"/>
        <v>54.71157810218978</v>
      </c>
    </row>
    <row r="94" spans="1:9" ht="15" customHeight="1">
      <c r="A94" s="88"/>
      <c r="B94" s="89"/>
      <c r="C94" s="9">
        <v>4270</v>
      </c>
      <c r="D94" s="288" t="s">
        <v>666</v>
      </c>
      <c r="E94" s="55">
        <v>317000</v>
      </c>
      <c r="F94" s="95"/>
      <c r="G94" s="55">
        <v>72937.95</v>
      </c>
      <c r="H94" s="95"/>
      <c r="I94" s="359">
        <f t="shared" si="1"/>
        <v>23.008817034700314</v>
      </c>
    </row>
    <row r="95" spans="1:9" ht="15" customHeight="1">
      <c r="A95" s="88"/>
      <c r="B95" s="89"/>
      <c r="C95" s="9">
        <v>4280</v>
      </c>
      <c r="D95" s="350" t="s">
        <v>326</v>
      </c>
      <c r="E95" s="55">
        <v>34500</v>
      </c>
      <c r="F95" s="95"/>
      <c r="G95" s="55">
        <v>2920</v>
      </c>
      <c r="H95" s="95"/>
      <c r="I95" s="359">
        <f t="shared" si="1"/>
        <v>8.46376811594203</v>
      </c>
    </row>
    <row r="96" spans="1:9" ht="15" customHeight="1">
      <c r="A96" s="88"/>
      <c r="B96" s="89"/>
      <c r="C96" s="9">
        <v>4300</v>
      </c>
      <c r="D96" s="288" t="s">
        <v>432</v>
      </c>
      <c r="E96" s="55">
        <v>1445290</v>
      </c>
      <c r="F96" s="95"/>
      <c r="G96" s="55">
        <v>554186.71</v>
      </c>
      <c r="H96" s="95"/>
      <c r="I96" s="359">
        <f t="shared" si="1"/>
        <v>38.34432605221097</v>
      </c>
    </row>
    <row r="97" spans="1:9" ht="15" customHeight="1">
      <c r="A97" s="88"/>
      <c r="B97" s="89"/>
      <c r="C97" s="9">
        <v>4350</v>
      </c>
      <c r="D97" s="288" t="s">
        <v>655</v>
      </c>
      <c r="E97" s="55">
        <v>62975</v>
      </c>
      <c r="F97" s="95"/>
      <c r="G97" s="55">
        <v>14388.34</v>
      </c>
      <c r="H97" s="95"/>
      <c r="I97" s="359">
        <f t="shared" si="1"/>
        <v>22.84770146883684</v>
      </c>
    </row>
    <row r="98" spans="1:9" ht="36" customHeight="1">
      <c r="A98" s="88"/>
      <c r="B98" s="89"/>
      <c r="C98" s="9">
        <v>4360</v>
      </c>
      <c r="D98" s="288" t="s">
        <v>390</v>
      </c>
      <c r="E98" s="55">
        <v>36000</v>
      </c>
      <c r="F98" s="95"/>
      <c r="G98" s="55">
        <v>15946.4</v>
      </c>
      <c r="H98" s="95"/>
      <c r="I98" s="359">
        <f t="shared" si="1"/>
        <v>44.29555555555555</v>
      </c>
    </row>
    <row r="99" spans="1:9" ht="37.5" customHeight="1">
      <c r="A99" s="88"/>
      <c r="B99" s="89"/>
      <c r="C99" s="9">
        <v>4370</v>
      </c>
      <c r="D99" s="288" t="s">
        <v>389</v>
      </c>
      <c r="E99" s="55">
        <v>110000</v>
      </c>
      <c r="F99" s="95"/>
      <c r="G99" s="55">
        <v>48241.66</v>
      </c>
      <c r="H99" s="95"/>
      <c r="I99" s="359">
        <f t="shared" si="1"/>
        <v>43.85605454545455</v>
      </c>
    </row>
    <row r="100" spans="1:9" ht="20.25" customHeight="1">
      <c r="A100" s="88"/>
      <c r="B100" s="89"/>
      <c r="C100" s="9">
        <v>4380</v>
      </c>
      <c r="D100" s="288" t="s">
        <v>425</v>
      </c>
      <c r="E100" s="55">
        <v>4000</v>
      </c>
      <c r="F100" s="95"/>
      <c r="G100" s="55">
        <v>2247.85</v>
      </c>
      <c r="H100" s="95"/>
      <c r="I100" s="359">
        <f t="shared" si="1"/>
        <v>56.196250000000006</v>
      </c>
    </row>
    <row r="101" spans="1:9" ht="26.25" customHeight="1">
      <c r="A101" s="88"/>
      <c r="B101" s="89"/>
      <c r="C101" s="9">
        <v>4390</v>
      </c>
      <c r="D101" s="288" t="s">
        <v>555</v>
      </c>
      <c r="E101" s="55">
        <v>20000</v>
      </c>
      <c r="F101" s="95"/>
      <c r="G101" s="55">
        <v>86.1</v>
      </c>
      <c r="H101" s="95"/>
      <c r="I101" s="359">
        <f t="shared" si="1"/>
        <v>0.4305</v>
      </c>
    </row>
    <row r="102" spans="1:9" ht="27" customHeight="1">
      <c r="A102" s="88"/>
      <c r="B102" s="89"/>
      <c r="C102" s="9">
        <v>4400</v>
      </c>
      <c r="D102" s="288" t="s">
        <v>331</v>
      </c>
      <c r="E102" s="55">
        <v>139000</v>
      </c>
      <c r="F102" s="95"/>
      <c r="G102" s="55">
        <v>64334.52</v>
      </c>
      <c r="H102" s="95"/>
      <c r="I102" s="359">
        <f t="shared" si="1"/>
        <v>46.2838273381295</v>
      </c>
    </row>
    <row r="103" spans="1:9" ht="15" customHeight="1">
      <c r="A103" s="88"/>
      <c r="B103" s="89"/>
      <c r="C103" s="9">
        <v>4410</v>
      </c>
      <c r="D103" s="288" t="s">
        <v>656</v>
      </c>
      <c r="E103" s="55">
        <v>297000</v>
      </c>
      <c r="F103" s="95"/>
      <c r="G103" s="55">
        <v>136407.19</v>
      </c>
      <c r="H103" s="95"/>
      <c r="I103" s="359">
        <f t="shared" si="1"/>
        <v>45.928346801346805</v>
      </c>
    </row>
    <row r="104" spans="1:9" ht="15" customHeight="1">
      <c r="A104" s="88"/>
      <c r="B104" s="89"/>
      <c r="C104" s="9">
        <v>4420</v>
      </c>
      <c r="D104" s="288" t="s">
        <v>657</v>
      </c>
      <c r="E104" s="55">
        <v>37000</v>
      </c>
      <c r="F104" s="95"/>
      <c r="G104" s="55">
        <v>8272.54</v>
      </c>
      <c r="H104" s="95"/>
      <c r="I104" s="359">
        <f t="shared" si="1"/>
        <v>22.358216216216217</v>
      </c>
    </row>
    <row r="105" spans="1:9" ht="15" customHeight="1">
      <c r="A105" s="88"/>
      <c r="B105" s="89"/>
      <c r="C105" s="9">
        <v>4430</v>
      </c>
      <c r="D105" s="288" t="s">
        <v>667</v>
      </c>
      <c r="E105" s="55">
        <v>141625</v>
      </c>
      <c r="F105" s="95"/>
      <c r="G105" s="55">
        <v>55764.9</v>
      </c>
      <c r="H105" s="95"/>
      <c r="I105" s="359">
        <f t="shared" si="1"/>
        <v>39.37503971756399</v>
      </c>
    </row>
    <row r="106" spans="1:9" ht="26.25" customHeight="1">
      <c r="A106" s="88"/>
      <c r="B106" s="89"/>
      <c r="C106" s="9">
        <v>4440</v>
      </c>
      <c r="D106" s="288" t="s">
        <v>647</v>
      </c>
      <c r="E106" s="55">
        <v>339662.51</v>
      </c>
      <c r="F106" s="95"/>
      <c r="G106" s="55">
        <v>266859.06</v>
      </c>
      <c r="H106" s="95"/>
      <c r="I106" s="359">
        <f t="shared" si="1"/>
        <v>78.56594476676275</v>
      </c>
    </row>
    <row r="107" spans="1:9" ht="19.5" customHeight="1">
      <c r="A107" s="88"/>
      <c r="B107" s="89"/>
      <c r="C107" s="9">
        <v>4480</v>
      </c>
      <c r="D107" s="288" t="s">
        <v>359</v>
      </c>
      <c r="E107" s="55">
        <v>30000</v>
      </c>
      <c r="F107" s="95"/>
      <c r="G107" s="55">
        <v>13564.08</v>
      </c>
      <c r="H107" s="95"/>
      <c r="I107" s="359">
        <f t="shared" si="1"/>
        <v>45.2136</v>
      </c>
    </row>
    <row r="108" spans="1:9" ht="22.5" customHeight="1">
      <c r="A108" s="88"/>
      <c r="B108" s="89"/>
      <c r="C108" s="9">
        <v>4520</v>
      </c>
      <c r="D108" s="288" t="s">
        <v>419</v>
      </c>
      <c r="E108" s="55">
        <v>3300</v>
      </c>
      <c r="F108" s="95"/>
      <c r="G108" s="55">
        <v>3269.86</v>
      </c>
      <c r="H108" s="95"/>
      <c r="I108" s="359">
        <f t="shared" si="1"/>
        <v>99.08666666666667</v>
      </c>
    </row>
    <row r="109" spans="1:9" ht="22.5" customHeight="1">
      <c r="A109" s="88"/>
      <c r="B109" s="89"/>
      <c r="C109" s="9">
        <v>4530</v>
      </c>
      <c r="D109" s="288" t="s">
        <v>496</v>
      </c>
      <c r="E109" s="55">
        <v>10000</v>
      </c>
      <c r="F109" s="95"/>
      <c r="G109" s="55">
        <v>0.22</v>
      </c>
      <c r="H109" s="95"/>
      <c r="I109" s="359"/>
    </row>
    <row r="110" spans="1:9" ht="24.75" customHeight="1">
      <c r="A110" s="88"/>
      <c r="B110" s="89"/>
      <c r="C110" s="9">
        <v>4610</v>
      </c>
      <c r="D110" s="288" t="s">
        <v>664</v>
      </c>
      <c r="E110" s="55">
        <v>153000</v>
      </c>
      <c r="F110" s="95"/>
      <c r="G110" s="55">
        <v>96757.91</v>
      </c>
      <c r="H110" s="95"/>
      <c r="I110" s="359">
        <f t="shared" si="1"/>
        <v>63.24046405228758</v>
      </c>
    </row>
    <row r="111" spans="1:9" ht="28.5" customHeight="1">
      <c r="A111" s="88"/>
      <c r="B111" s="89"/>
      <c r="C111" s="9">
        <v>4700</v>
      </c>
      <c r="D111" s="288" t="s">
        <v>420</v>
      </c>
      <c r="E111" s="55">
        <v>117900</v>
      </c>
      <c r="F111" s="95"/>
      <c r="G111" s="55">
        <v>49661.17</v>
      </c>
      <c r="H111" s="95"/>
      <c r="I111" s="359">
        <f t="shared" si="1"/>
        <v>42.12143341815097</v>
      </c>
    </row>
    <row r="112" spans="1:9" ht="28.5" customHeight="1">
      <c r="A112" s="88"/>
      <c r="B112" s="89"/>
      <c r="C112" s="9">
        <v>6050</v>
      </c>
      <c r="D112" s="288" t="s">
        <v>482</v>
      </c>
      <c r="E112" s="55">
        <v>237000</v>
      </c>
      <c r="F112" s="95"/>
      <c r="G112" s="55">
        <v>0</v>
      </c>
      <c r="H112" s="95"/>
      <c r="I112" s="359">
        <f t="shared" si="1"/>
        <v>0</v>
      </c>
    </row>
    <row r="113" spans="1:9" ht="30" customHeight="1">
      <c r="A113" s="88"/>
      <c r="B113" s="98"/>
      <c r="C113" s="9">
        <v>6060</v>
      </c>
      <c r="D113" s="288" t="s">
        <v>665</v>
      </c>
      <c r="E113" s="55">
        <v>115600</v>
      </c>
      <c r="F113" s="95"/>
      <c r="G113" s="55">
        <v>43835.2</v>
      </c>
      <c r="H113" s="95"/>
      <c r="I113" s="359">
        <f t="shared" si="1"/>
        <v>37.919723183391</v>
      </c>
    </row>
    <row r="114" spans="1:25" s="56" customFormat="1" ht="24" customHeight="1">
      <c r="A114" s="120"/>
      <c r="B114" s="49">
        <v>75075</v>
      </c>
      <c r="C114" s="24"/>
      <c r="D114" s="293" t="s">
        <v>658</v>
      </c>
      <c r="E114" s="231">
        <f>SUM(E115:E117)</f>
        <v>922200</v>
      </c>
      <c r="F114" s="114"/>
      <c r="G114" s="231">
        <f>SUM(G115:G117)</f>
        <v>540047.84</v>
      </c>
      <c r="H114" s="114"/>
      <c r="I114" s="359">
        <f t="shared" si="1"/>
        <v>58.56081544133593</v>
      </c>
      <c r="J114" s="243"/>
      <c r="K114" s="243"/>
      <c r="L114" s="261"/>
      <c r="M114" s="243"/>
      <c r="N114" s="243"/>
      <c r="O114" s="243"/>
      <c r="P114" s="243"/>
      <c r="Q114" s="243"/>
      <c r="R114" s="243"/>
      <c r="S114" s="243"/>
      <c r="T114" s="252"/>
      <c r="U114" s="252"/>
      <c r="V114" s="252"/>
      <c r="W114" s="252"/>
      <c r="X114" s="252"/>
      <c r="Y114" s="252"/>
    </row>
    <row r="115" spans="1:25" s="56" customFormat="1" ht="19.5" customHeight="1">
      <c r="A115" s="120"/>
      <c r="B115" s="118"/>
      <c r="C115" s="9">
        <v>4170</v>
      </c>
      <c r="D115" s="288" t="s">
        <v>652</v>
      </c>
      <c r="E115" s="55">
        <v>14400</v>
      </c>
      <c r="F115" s="114"/>
      <c r="G115" s="55">
        <v>14400</v>
      </c>
      <c r="H115" s="114"/>
      <c r="I115" s="359">
        <f t="shared" si="1"/>
        <v>100</v>
      </c>
      <c r="J115" s="243"/>
      <c r="K115" s="243"/>
      <c r="L115" s="261"/>
      <c r="M115" s="243"/>
      <c r="N115" s="243"/>
      <c r="O115" s="243"/>
      <c r="P115" s="243"/>
      <c r="Q115" s="243"/>
      <c r="R115" s="243"/>
      <c r="S115" s="243"/>
      <c r="T115" s="252"/>
      <c r="U115" s="252"/>
      <c r="V115" s="252"/>
      <c r="W115" s="252"/>
      <c r="X115" s="252"/>
      <c r="Y115" s="252"/>
    </row>
    <row r="116" spans="1:25" s="56" customFormat="1" ht="21" customHeight="1">
      <c r="A116" s="120"/>
      <c r="B116" s="118"/>
      <c r="C116" s="9">
        <v>4210</v>
      </c>
      <c r="D116" s="288" t="s">
        <v>653</v>
      </c>
      <c r="E116" s="55">
        <v>72200</v>
      </c>
      <c r="F116" s="114"/>
      <c r="G116" s="55">
        <v>35322.45</v>
      </c>
      <c r="H116" s="114"/>
      <c r="I116" s="359">
        <f t="shared" si="1"/>
        <v>48.92306094182825</v>
      </c>
      <c r="J116" s="243"/>
      <c r="K116" s="243"/>
      <c r="L116" s="261"/>
      <c r="M116" s="243"/>
      <c r="N116" s="243"/>
      <c r="O116" s="243"/>
      <c r="P116" s="243"/>
      <c r="Q116" s="243"/>
      <c r="R116" s="243"/>
      <c r="S116" s="243"/>
      <c r="T116" s="252"/>
      <c r="U116" s="252"/>
      <c r="V116" s="252"/>
      <c r="W116" s="252"/>
      <c r="X116" s="252"/>
      <c r="Y116" s="252"/>
    </row>
    <row r="117" spans="1:25" s="56" customFormat="1" ht="20.25" customHeight="1">
      <c r="A117" s="120"/>
      <c r="B117" s="85"/>
      <c r="C117" s="9">
        <v>4300</v>
      </c>
      <c r="D117" s="288" t="s">
        <v>640</v>
      </c>
      <c r="E117" s="55">
        <v>835600</v>
      </c>
      <c r="F117" s="114"/>
      <c r="G117" s="55">
        <v>490325.39</v>
      </c>
      <c r="H117" s="114"/>
      <c r="I117" s="359">
        <f t="shared" si="1"/>
        <v>58.67943872666348</v>
      </c>
      <c r="J117" s="243"/>
      <c r="K117" s="243"/>
      <c r="L117" s="261"/>
      <c r="M117" s="243"/>
      <c r="N117" s="243"/>
      <c r="O117" s="243"/>
      <c r="P117" s="243"/>
      <c r="Q117" s="243"/>
      <c r="R117" s="243"/>
      <c r="S117" s="243"/>
      <c r="T117" s="252"/>
      <c r="U117" s="252"/>
      <c r="V117" s="252"/>
      <c r="W117" s="252"/>
      <c r="X117" s="252"/>
      <c r="Y117" s="252"/>
    </row>
    <row r="118" spans="1:25" s="56" customFormat="1" ht="20.25" customHeight="1">
      <c r="A118" s="120"/>
      <c r="B118" s="85">
        <v>75095</v>
      </c>
      <c r="C118" s="28"/>
      <c r="D118" s="293" t="s">
        <v>544</v>
      </c>
      <c r="E118" s="29">
        <f>SUM(E119:E122)</f>
        <v>2740000</v>
      </c>
      <c r="F118" s="114"/>
      <c r="G118" s="29">
        <f>SUM(G119:G122)</f>
        <v>67018.78</v>
      </c>
      <c r="H118" s="114"/>
      <c r="I118" s="359">
        <f t="shared" si="1"/>
        <v>2.445940875912409</v>
      </c>
      <c r="J118" s="243"/>
      <c r="K118" s="243"/>
      <c r="L118" s="261"/>
      <c r="M118" s="243"/>
      <c r="N118" s="243"/>
      <c r="O118" s="243"/>
      <c r="P118" s="243"/>
      <c r="Q118" s="243"/>
      <c r="R118" s="243"/>
      <c r="S118" s="243"/>
      <c r="T118" s="252"/>
      <c r="U118" s="252"/>
      <c r="V118" s="252"/>
      <c r="W118" s="252"/>
      <c r="X118" s="252"/>
      <c r="Y118" s="252"/>
    </row>
    <row r="119" spans="1:25" s="56" customFormat="1" ht="27.75" customHeight="1">
      <c r="A119" s="120"/>
      <c r="B119" s="118"/>
      <c r="C119" s="16">
        <v>3020</v>
      </c>
      <c r="D119" s="288" t="s">
        <v>651</v>
      </c>
      <c r="E119" s="27">
        <v>1000</v>
      </c>
      <c r="F119" s="95"/>
      <c r="G119" s="27">
        <v>0</v>
      </c>
      <c r="H119" s="95"/>
      <c r="I119" s="359"/>
      <c r="J119" s="243"/>
      <c r="K119" s="243"/>
      <c r="L119" s="261"/>
      <c r="M119" s="243"/>
      <c r="N119" s="243"/>
      <c r="O119" s="243"/>
      <c r="P119" s="243"/>
      <c r="Q119" s="243"/>
      <c r="R119" s="243"/>
      <c r="S119" s="243"/>
      <c r="T119" s="252"/>
      <c r="U119" s="252"/>
      <c r="V119" s="252"/>
      <c r="W119" s="252"/>
      <c r="X119" s="252"/>
      <c r="Y119" s="252"/>
    </row>
    <row r="120" spans="1:25" s="56" customFormat="1" ht="21" customHeight="1">
      <c r="A120" s="120"/>
      <c r="B120" s="118"/>
      <c r="C120" s="3">
        <v>4210</v>
      </c>
      <c r="D120" s="350" t="s">
        <v>653</v>
      </c>
      <c r="E120" s="27">
        <v>13000</v>
      </c>
      <c r="F120" s="95"/>
      <c r="G120" s="27">
        <v>3628.68</v>
      </c>
      <c r="H120" s="95"/>
      <c r="I120" s="359">
        <f t="shared" si="1"/>
        <v>27.912923076923075</v>
      </c>
      <c r="J120" s="243"/>
      <c r="K120" s="243"/>
      <c r="L120" s="261"/>
      <c r="M120" s="243"/>
      <c r="N120" s="243"/>
      <c r="O120" s="243"/>
      <c r="P120" s="243"/>
      <c r="Q120" s="243"/>
      <c r="R120" s="243"/>
      <c r="S120" s="243"/>
      <c r="T120" s="252"/>
      <c r="U120" s="252"/>
      <c r="V120" s="252"/>
      <c r="W120" s="252"/>
      <c r="X120" s="252"/>
      <c r="Y120" s="252"/>
    </row>
    <row r="121" spans="1:25" s="56" customFormat="1" ht="19.5" customHeight="1">
      <c r="A121" s="120"/>
      <c r="B121" s="118"/>
      <c r="C121" s="3">
        <v>4300</v>
      </c>
      <c r="D121" s="288" t="s">
        <v>640</v>
      </c>
      <c r="E121" s="27">
        <v>36000</v>
      </c>
      <c r="F121" s="95"/>
      <c r="G121" s="27">
        <v>25267.92</v>
      </c>
      <c r="H121" s="95"/>
      <c r="I121" s="359">
        <f t="shared" si="1"/>
        <v>70.18866666666666</v>
      </c>
      <c r="J121" s="243"/>
      <c r="K121" s="243"/>
      <c r="L121" s="261"/>
      <c r="M121" s="243"/>
      <c r="N121" s="243"/>
      <c r="O121" s="243"/>
      <c r="P121" s="243"/>
      <c r="Q121" s="243"/>
      <c r="R121" s="243"/>
      <c r="S121" s="243"/>
      <c r="T121" s="252"/>
      <c r="U121" s="252"/>
      <c r="V121" s="252"/>
      <c r="W121" s="252"/>
      <c r="X121" s="252"/>
      <c r="Y121" s="252"/>
    </row>
    <row r="122" spans="1:25" s="56" customFormat="1" ht="28.5" customHeight="1">
      <c r="A122" s="120"/>
      <c r="B122" s="118"/>
      <c r="C122" s="3">
        <v>6050</v>
      </c>
      <c r="D122" s="288" t="s">
        <v>430</v>
      </c>
      <c r="E122" s="55">
        <v>2690000</v>
      </c>
      <c r="F122" s="95"/>
      <c r="G122" s="55">
        <v>38122.18</v>
      </c>
      <c r="H122" s="95"/>
      <c r="I122" s="359">
        <f t="shared" si="1"/>
        <v>1.4171814126394053</v>
      </c>
      <c r="J122" s="243"/>
      <c r="K122" s="243"/>
      <c r="L122" s="261"/>
      <c r="M122" s="243"/>
      <c r="N122" s="243"/>
      <c r="O122" s="243"/>
      <c r="P122" s="243"/>
      <c r="Q122" s="243"/>
      <c r="R122" s="243"/>
      <c r="S122" s="243"/>
      <c r="T122" s="252"/>
      <c r="U122" s="252"/>
      <c r="V122" s="252"/>
      <c r="W122" s="252"/>
      <c r="X122" s="252"/>
      <c r="Y122" s="252"/>
    </row>
    <row r="123" spans="1:9" ht="39.75" customHeight="1">
      <c r="A123" s="63">
        <v>751</v>
      </c>
      <c r="B123" s="62"/>
      <c r="C123" s="11"/>
      <c r="D123" s="292" t="s">
        <v>427</v>
      </c>
      <c r="E123" s="70">
        <f>E124</f>
        <v>13500</v>
      </c>
      <c r="F123" s="70">
        <f>F124</f>
        <v>13500</v>
      </c>
      <c r="G123" s="70">
        <f>G124</f>
        <v>3371.1800000000003</v>
      </c>
      <c r="H123" s="70">
        <f>H124</f>
        <v>3371.1800000000003</v>
      </c>
      <c r="I123" s="359">
        <f t="shared" si="1"/>
        <v>24.971703703703707</v>
      </c>
    </row>
    <row r="124" spans="1:9" ht="36.75" customHeight="1">
      <c r="A124" s="117"/>
      <c r="B124" s="83">
        <v>75101</v>
      </c>
      <c r="C124" s="25"/>
      <c r="D124" s="293" t="s">
        <v>427</v>
      </c>
      <c r="E124" s="107">
        <f>E125+E126+E127</f>
        <v>13500</v>
      </c>
      <c r="F124" s="237">
        <f>F125+F126+F127</f>
        <v>13500</v>
      </c>
      <c r="G124" s="107">
        <f>G125+G126+G127</f>
        <v>3371.1800000000003</v>
      </c>
      <c r="H124" s="237">
        <f>H125+H126+H127</f>
        <v>3371.1800000000003</v>
      </c>
      <c r="I124" s="359">
        <f t="shared" si="1"/>
        <v>24.971703703703707</v>
      </c>
    </row>
    <row r="125" spans="1:9" ht="15" customHeight="1">
      <c r="A125" s="89"/>
      <c r="B125" s="99"/>
      <c r="C125" s="3">
        <v>4110</v>
      </c>
      <c r="D125" s="288" t="s">
        <v>645</v>
      </c>
      <c r="E125" s="146">
        <v>1960</v>
      </c>
      <c r="F125" s="116">
        <v>1960</v>
      </c>
      <c r="G125" s="55">
        <v>486.8</v>
      </c>
      <c r="H125" s="116">
        <v>486.8</v>
      </c>
      <c r="I125" s="359">
        <f t="shared" si="1"/>
        <v>24.836734693877553</v>
      </c>
    </row>
    <row r="126" spans="1:9" ht="15" customHeight="1">
      <c r="A126" s="89"/>
      <c r="B126" s="89"/>
      <c r="C126" s="3">
        <v>4120</v>
      </c>
      <c r="D126" s="288" t="s">
        <v>646</v>
      </c>
      <c r="E126" s="146">
        <v>210</v>
      </c>
      <c r="F126" s="116">
        <v>210</v>
      </c>
      <c r="G126" s="55">
        <v>52.38</v>
      </c>
      <c r="H126" s="116">
        <v>52.38</v>
      </c>
      <c r="I126" s="359">
        <f t="shared" si="1"/>
        <v>24.942857142857143</v>
      </c>
    </row>
    <row r="127" spans="1:9" ht="18" customHeight="1">
      <c r="A127" s="88"/>
      <c r="B127" s="88"/>
      <c r="C127" s="3">
        <v>4170</v>
      </c>
      <c r="D127" s="288" t="s">
        <v>652</v>
      </c>
      <c r="E127" s="146">
        <v>11330</v>
      </c>
      <c r="F127" s="116">
        <v>11330</v>
      </c>
      <c r="G127" s="55">
        <v>2832</v>
      </c>
      <c r="H127" s="116">
        <v>2832</v>
      </c>
      <c r="I127" s="359">
        <f t="shared" si="1"/>
        <v>24.99558693733451</v>
      </c>
    </row>
    <row r="128" spans="1:9" ht="22.5" customHeight="1">
      <c r="A128" s="122">
        <v>752</v>
      </c>
      <c r="B128" s="11"/>
      <c r="C128" s="12"/>
      <c r="D128" s="292" t="s">
        <v>444</v>
      </c>
      <c r="E128" s="36">
        <f>E129</f>
        <v>4000</v>
      </c>
      <c r="F128" s="116"/>
      <c r="G128" s="36">
        <f>G129</f>
        <v>0</v>
      </c>
      <c r="H128" s="116"/>
      <c r="I128" s="359"/>
    </row>
    <row r="129" spans="1:25" s="56" customFormat="1" ht="17.25" customHeight="1">
      <c r="A129" s="37"/>
      <c r="B129" s="38">
        <v>75212</v>
      </c>
      <c r="C129" s="25"/>
      <c r="D129" s="293" t="s">
        <v>445</v>
      </c>
      <c r="E129" s="106">
        <f>E130</f>
        <v>4000</v>
      </c>
      <c r="F129" s="115"/>
      <c r="G129" s="106">
        <f>G130</f>
        <v>0</v>
      </c>
      <c r="H129" s="115"/>
      <c r="I129" s="359"/>
      <c r="J129" s="243"/>
      <c r="K129" s="243"/>
      <c r="L129" s="261"/>
      <c r="M129" s="243"/>
      <c r="N129" s="243"/>
      <c r="O129" s="243"/>
      <c r="P129" s="243"/>
      <c r="Q129" s="243"/>
      <c r="R129" s="243"/>
      <c r="S129" s="243"/>
      <c r="T129" s="252"/>
      <c r="U129" s="252"/>
      <c r="V129" s="252"/>
      <c r="W129" s="252"/>
      <c r="X129" s="252"/>
      <c r="Y129" s="252"/>
    </row>
    <row r="130" spans="1:9" ht="19.5" customHeight="1">
      <c r="A130" s="17"/>
      <c r="B130" s="17"/>
      <c r="C130" s="3">
        <v>4300</v>
      </c>
      <c r="D130" s="288" t="s">
        <v>599</v>
      </c>
      <c r="E130" s="101">
        <v>4000</v>
      </c>
      <c r="F130" s="95"/>
      <c r="G130" s="101">
        <v>0</v>
      </c>
      <c r="H130" s="95"/>
      <c r="I130" s="359"/>
    </row>
    <row r="131" spans="1:9" ht="28.5" customHeight="1">
      <c r="A131" s="62">
        <v>754</v>
      </c>
      <c r="B131" s="63"/>
      <c r="C131" s="11"/>
      <c r="D131" s="292" t="s">
        <v>546</v>
      </c>
      <c r="E131" s="92">
        <f>E132+E143+E147+E150</f>
        <v>423500</v>
      </c>
      <c r="F131" s="116"/>
      <c r="G131" s="92">
        <f>G132+G143+G147+G150</f>
        <v>78880.56</v>
      </c>
      <c r="H131" s="116"/>
      <c r="I131" s="359">
        <f t="shared" si="1"/>
        <v>18.62587012987013</v>
      </c>
    </row>
    <row r="132" spans="1:9" ht="24.75" customHeight="1">
      <c r="A132" s="118" t="s">
        <v>410</v>
      </c>
      <c r="B132" s="83">
        <v>75412</v>
      </c>
      <c r="C132" s="24" t="s">
        <v>410</v>
      </c>
      <c r="D132" s="293" t="s">
        <v>659</v>
      </c>
      <c r="E132" s="106">
        <f>SUM(E133:E142)</f>
        <v>148840</v>
      </c>
      <c r="F132" s="95"/>
      <c r="G132" s="106">
        <f>SUM(G133:G142)</f>
        <v>73809.44</v>
      </c>
      <c r="H132" s="95"/>
      <c r="I132" s="359">
        <f t="shared" si="1"/>
        <v>49.58978769148079</v>
      </c>
    </row>
    <row r="133" spans="1:9" ht="20.25" customHeight="1">
      <c r="A133" s="89"/>
      <c r="B133" s="81"/>
      <c r="C133" s="9">
        <v>3030</v>
      </c>
      <c r="D133" s="288" t="s">
        <v>669</v>
      </c>
      <c r="E133" s="55">
        <v>27000</v>
      </c>
      <c r="F133" s="95"/>
      <c r="G133" s="55">
        <v>5732.55</v>
      </c>
      <c r="H133" s="95"/>
      <c r="I133" s="359">
        <f t="shared" si="1"/>
        <v>21.23166666666667</v>
      </c>
    </row>
    <row r="134" spans="1:9" ht="15" customHeight="1">
      <c r="A134" s="89"/>
      <c r="B134" s="81"/>
      <c r="C134" s="9">
        <v>4110</v>
      </c>
      <c r="D134" s="288" t="s">
        <v>645</v>
      </c>
      <c r="E134" s="55">
        <v>2850</v>
      </c>
      <c r="F134" s="95"/>
      <c r="G134" s="55">
        <v>756.36</v>
      </c>
      <c r="H134" s="95"/>
      <c r="I134" s="359">
        <f t="shared" si="1"/>
        <v>26.538947368421052</v>
      </c>
    </row>
    <row r="135" spans="1:9" ht="15" customHeight="1">
      <c r="A135" s="89"/>
      <c r="B135" s="81"/>
      <c r="C135" s="3">
        <v>4120</v>
      </c>
      <c r="D135" s="288" t="s">
        <v>646</v>
      </c>
      <c r="E135" s="55">
        <v>150</v>
      </c>
      <c r="F135" s="95"/>
      <c r="G135" s="55">
        <v>0</v>
      </c>
      <c r="H135" s="95"/>
      <c r="I135" s="359"/>
    </row>
    <row r="136" spans="1:9" ht="15" customHeight="1">
      <c r="A136" s="89"/>
      <c r="B136" s="81"/>
      <c r="C136" s="3">
        <v>4170</v>
      </c>
      <c r="D136" s="288" t="s">
        <v>652</v>
      </c>
      <c r="E136" s="55">
        <v>36600</v>
      </c>
      <c r="F136" s="95"/>
      <c r="G136" s="55">
        <v>14694.52</v>
      </c>
      <c r="H136" s="95"/>
      <c r="I136" s="359">
        <f t="shared" si="1"/>
        <v>40.14896174863388</v>
      </c>
    </row>
    <row r="137" spans="1:9" ht="15" customHeight="1">
      <c r="A137" s="89"/>
      <c r="B137" s="81"/>
      <c r="C137" s="9">
        <v>4210</v>
      </c>
      <c r="D137" s="288" t="s">
        <v>602</v>
      </c>
      <c r="E137" s="55">
        <v>35000</v>
      </c>
      <c r="F137" s="95"/>
      <c r="G137" s="55">
        <v>20536.14</v>
      </c>
      <c r="H137" s="95"/>
      <c r="I137" s="359">
        <f t="shared" si="1"/>
        <v>58.674685714285715</v>
      </c>
    </row>
    <row r="138" spans="1:9" ht="15" customHeight="1">
      <c r="A138" s="89"/>
      <c r="B138" s="81"/>
      <c r="C138" s="9">
        <v>4260</v>
      </c>
      <c r="D138" s="288" t="s">
        <v>660</v>
      </c>
      <c r="E138" s="55">
        <v>6500</v>
      </c>
      <c r="F138" s="95"/>
      <c r="G138" s="55">
        <v>2378.8</v>
      </c>
      <c r="H138" s="95"/>
      <c r="I138" s="359">
        <f t="shared" si="1"/>
        <v>36.59692307692308</v>
      </c>
    </row>
    <row r="139" spans="1:9" ht="15" customHeight="1">
      <c r="A139" s="89"/>
      <c r="B139" s="81"/>
      <c r="C139" s="9">
        <v>4300</v>
      </c>
      <c r="D139" s="288" t="s">
        <v>599</v>
      </c>
      <c r="E139" s="55">
        <v>23000</v>
      </c>
      <c r="F139" s="95"/>
      <c r="G139" s="55">
        <v>14866.35</v>
      </c>
      <c r="H139" s="95"/>
      <c r="I139" s="359">
        <f t="shared" si="1"/>
        <v>64.63630434782608</v>
      </c>
    </row>
    <row r="140" spans="1:9" ht="35.25" customHeight="1">
      <c r="A140" s="89"/>
      <c r="B140" s="81"/>
      <c r="C140" s="3">
        <v>4360</v>
      </c>
      <c r="D140" s="288" t="s">
        <v>390</v>
      </c>
      <c r="E140" s="55">
        <v>240</v>
      </c>
      <c r="F140" s="95"/>
      <c r="G140" s="55">
        <v>0</v>
      </c>
      <c r="H140" s="95"/>
      <c r="I140" s="359"/>
    </row>
    <row r="141" spans="1:9" ht="15" customHeight="1">
      <c r="A141" s="89"/>
      <c r="B141" s="81"/>
      <c r="C141" s="16">
        <v>4430</v>
      </c>
      <c r="D141" s="290" t="s">
        <v>433</v>
      </c>
      <c r="E141" s="55">
        <v>12500</v>
      </c>
      <c r="F141" s="95"/>
      <c r="G141" s="55">
        <v>10272</v>
      </c>
      <c r="H141" s="95"/>
      <c r="I141" s="359">
        <f t="shared" si="1"/>
        <v>82.176</v>
      </c>
    </row>
    <row r="142" spans="1:9" ht="27.75" customHeight="1">
      <c r="A142" s="89"/>
      <c r="B142" s="81"/>
      <c r="C142" s="9">
        <v>6060</v>
      </c>
      <c r="D142" s="288" t="s">
        <v>665</v>
      </c>
      <c r="E142" s="79">
        <v>5000</v>
      </c>
      <c r="F142" s="95"/>
      <c r="G142" s="79">
        <v>4572.72</v>
      </c>
      <c r="H142" s="95"/>
      <c r="I142" s="359">
        <f aca="true" t="shared" si="2" ref="I142:I205">G142/E142*100</f>
        <v>91.4544</v>
      </c>
    </row>
    <row r="143" spans="1:9" ht="20.25" customHeight="1">
      <c r="A143" s="118"/>
      <c r="B143" s="49">
        <v>75414</v>
      </c>
      <c r="C143" s="24" t="s">
        <v>410</v>
      </c>
      <c r="D143" s="293" t="s">
        <v>661</v>
      </c>
      <c r="E143" s="106">
        <f>SUM(E144:E146)</f>
        <v>25760</v>
      </c>
      <c r="F143" s="95"/>
      <c r="G143" s="106">
        <f>SUM(G144:G146)</f>
        <v>4628.03</v>
      </c>
      <c r="H143" s="95"/>
      <c r="I143" s="359">
        <f t="shared" si="2"/>
        <v>17.965954968944096</v>
      </c>
    </row>
    <row r="144" spans="1:9" ht="15" customHeight="1">
      <c r="A144" s="118"/>
      <c r="B144" s="125"/>
      <c r="C144" s="9">
        <v>4210</v>
      </c>
      <c r="D144" s="288" t="s">
        <v>602</v>
      </c>
      <c r="E144" s="55">
        <v>4760</v>
      </c>
      <c r="F144" s="95"/>
      <c r="G144" s="55">
        <v>4529.63</v>
      </c>
      <c r="H144" s="95"/>
      <c r="I144" s="359">
        <f t="shared" si="2"/>
        <v>95.16029411764706</v>
      </c>
    </row>
    <row r="145" spans="1:9" ht="15" customHeight="1">
      <c r="A145" s="118"/>
      <c r="B145" s="125"/>
      <c r="C145" s="9">
        <v>4300</v>
      </c>
      <c r="D145" s="288" t="s">
        <v>599</v>
      </c>
      <c r="E145" s="55">
        <v>5000</v>
      </c>
      <c r="F145" s="95"/>
      <c r="G145" s="55">
        <v>98.4</v>
      </c>
      <c r="H145" s="95"/>
      <c r="I145" s="359">
        <f t="shared" si="2"/>
        <v>1.968</v>
      </c>
    </row>
    <row r="146" spans="1:25" s="61" customFormat="1" ht="27.75" customHeight="1">
      <c r="A146" s="118"/>
      <c r="B146" s="126"/>
      <c r="C146" s="9">
        <v>6060</v>
      </c>
      <c r="D146" s="288" t="s">
        <v>665</v>
      </c>
      <c r="E146" s="79">
        <v>16000</v>
      </c>
      <c r="F146" s="95"/>
      <c r="G146" s="79">
        <v>0</v>
      </c>
      <c r="H146" s="95"/>
      <c r="I146" s="359"/>
      <c r="J146" s="238"/>
      <c r="K146" s="238"/>
      <c r="L146" s="262"/>
      <c r="M146" s="238"/>
      <c r="N146" s="238"/>
      <c r="O146" s="238"/>
      <c r="P146" s="238"/>
      <c r="Q146" s="238"/>
      <c r="R146" s="238"/>
      <c r="S146" s="238"/>
      <c r="T146" s="234"/>
      <c r="U146" s="234"/>
      <c r="V146" s="234"/>
      <c r="W146" s="234"/>
      <c r="X146" s="234"/>
      <c r="Y146" s="234"/>
    </row>
    <row r="147" spans="1:9" ht="21" customHeight="1">
      <c r="A147" s="118"/>
      <c r="B147" s="126">
        <v>75421</v>
      </c>
      <c r="C147" s="9"/>
      <c r="D147" s="293" t="s">
        <v>450</v>
      </c>
      <c r="E147" s="106">
        <f>SUM(E148:E149)</f>
        <v>187800</v>
      </c>
      <c r="F147" s="114"/>
      <c r="G147" s="106">
        <f>SUM(G148:G149)</f>
        <v>0</v>
      </c>
      <c r="H147" s="114"/>
      <c r="I147" s="359"/>
    </row>
    <row r="148" spans="1:9" ht="21" customHeight="1">
      <c r="A148" s="118"/>
      <c r="B148" s="125"/>
      <c r="C148" s="9">
        <v>4260</v>
      </c>
      <c r="D148" s="288" t="s">
        <v>660</v>
      </c>
      <c r="E148" s="101">
        <v>99000</v>
      </c>
      <c r="F148" s="95"/>
      <c r="G148" s="101">
        <v>0</v>
      </c>
      <c r="H148" s="95"/>
      <c r="I148" s="359"/>
    </row>
    <row r="149" spans="1:9" ht="21" customHeight="1">
      <c r="A149" s="118"/>
      <c r="B149" s="125"/>
      <c r="C149" s="9">
        <v>4300</v>
      </c>
      <c r="D149" s="288" t="s">
        <v>599</v>
      </c>
      <c r="E149" s="101">
        <v>88800</v>
      </c>
      <c r="F149" s="95"/>
      <c r="G149" s="101">
        <v>0</v>
      </c>
      <c r="H149" s="95"/>
      <c r="I149" s="359"/>
    </row>
    <row r="150" spans="1:9" ht="24.75" customHeight="1">
      <c r="A150" s="89"/>
      <c r="B150" s="119">
        <v>75495</v>
      </c>
      <c r="C150" s="24"/>
      <c r="D150" s="293" t="s">
        <v>662</v>
      </c>
      <c r="E150" s="41">
        <f>SUM(E151:E154)</f>
        <v>61100</v>
      </c>
      <c r="F150" s="95"/>
      <c r="G150" s="41">
        <f>SUM(G151:G153)</f>
        <v>443.09</v>
      </c>
      <c r="H150" s="95"/>
      <c r="I150" s="359">
        <f t="shared" si="2"/>
        <v>0.7251882160392799</v>
      </c>
    </row>
    <row r="151" spans="1:9" ht="21" customHeight="1">
      <c r="A151" s="88"/>
      <c r="B151" s="117"/>
      <c r="C151" s="9">
        <v>3030</v>
      </c>
      <c r="D151" s="288" t="s">
        <v>669</v>
      </c>
      <c r="E151" s="101">
        <v>5000</v>
      </c>
      <c r="F151" s="95"/>
      <c r="G151" s="101">
        <v>0</v>
      </c>
      <c r="H151" s="95"/>
      <c r="I151" s="359"/>
    </row>
    <row r="152" spans="1:9" ht="16.5" customHeight="1">
      <c r="A152" s="88"/>
      <c r="B152" s="118"/>
      <c r="C152" s="16">
        <v>4170</v>
      </c>
      <c r="D152" s="288" t="s">
        <v>652</v>
      </c>
      <c r="E152" s="79">
        <v>1100</v>
      </c>
      <c r="F152" s="97"/>
      <c r="G152" s="79">
        <v>0</v>
      </c>
      <c r="H152" s="97"/>
      <c r="I152" s="359"/>
    </row>
    <row r="153" spans="1:9" ht="16.5" customHeight="1">
      <c r="A153" s="88"/>
      <c r="B153" s="118"/>
      <c r="C153" s="9">
        <v>4260</v>
      </c>
      <c r="D153" s="288" t="s">
        <v>660</v>
      </c>
      <c r="E153" s="79">
        <v>5000</v>
      </c>
      <c r="F153" s="95"/>
      <c r="G153" s="79">
        <v>443.09</v>
      </c>
      <c r="H153" s="95"/>
      <c r="I153" s="359">
        <f t="shared" si="2"/>
        <v>8.861799999999999</v>
      </c>
    </row>
    <row r="154" spans="1:9" ht="28.5" customHeight="1">
      <c r="A154" s="88"/>
      <c r="B154" s="118"/>
      <c r="C154" s="3">
        <v>6050</v>
      </c>
      <c r="D154" s="288" t="s">
        <v>430</v>
      </c>
      <c r="E154" s="79">
        <v>50000</v>
      </c>
      <c r="F154" s="95"/>
      <c r="G154" s="79">
        <v>0</v>
      </c>
      <c r="H154" s="95"/>
      <c r="I154" s="359"/>
    </row>
    <row r="155" spans="1:9" ht="24" customHeight="1">
      <c r="A155" s="62">
        <v>757</v>
      </c>
      <c r="B155" s="62"/>
      <c r="C155" s="11"/>
      <c r="D155" s="292" t="s">
        <v>160</v>
      </c>
      <c r="E155" s="80">
        <f>E156</f>
        <v>7250000</v>
      </c>
      <c r="F155" s="95"/>
      <c r="G155" s="80">
        <f>G156</f>
        <v>2246398.44</v>
      </c>
      <c r="H155" s="95"/>
      <c r="I155" s="359">
        <f t="shared" si="2"/>
        <v>30.984806068965515</v>
      </c>
    </row>
    <row r="156" spans="1:9" ht="30" customHeight="1">
      <c r="A156" s="117"/>
      <c r="B156" s="49">
        <v>75702</v>
      </c>
      <c r="C156" s="25"/>
      <c r="D156" s="293" t="s">
        <v>161</v>
      </c>
      <c r="E156" s="236">
        <f>E157+E158</f>
        <v>7250000</v>
      </c>
      <c r="F156" s="112"/>
      <c r="G156" s="236">
        <f>G157+G158</f>
        <v>2246398.44</v>
      </c>
      <c r="H156" s="112"/>
      <c r="I156" s="359">
        <f t="shared" si="2"/>
        <v>30.984806068965515</v>
      </c>
    </row>
    <row r="157" spans="1:9" ht="19.5" customHeight="1">
      <c r="A157" s="118"/>
      <c r="B157" s="86"/>
      <c r="C157" s="3">
        <v>4300</v>
      </c>
      <c r="D157" s="288" t="s">
        <v>432</v>
      </c>
      <c r="E157" s="101">
        <v>100000</v>
      </c>
      <c r="F157" s="95"/>
      <c r="G157" s="101">
        <v>0</v>
      </c>
      <c r="H157" s="95"/>
      <c r="I157" s="359"/>
    </row>
    <row r="158" spans="1:9" ht="50.25" customHeight="1">
      <c r="A158" s="118"/>
      <c r="B158" s="86"/>
      <c r="C158" s="14">
        <v>8110</v>
      </c>
      <c r="D158" s="276" t="s">
        <v>402</v>
      </c>
      <c r="E158" s="55">
        <v>7150000</v>
      </c>
      <c r="F158" s="97"/>
      <c r="G158" s="55">
        <v>2246398.44</v>
      </c>
      <c r="H158" s="97"/>
      <c r="I158" s="359">
        <f t="shared" si="2"/>
        <v>31.41816</v>
      </c>
    </row>
    <row r="159" spans="1:9" ht="27" customHeight="1">
      <c r="A159" s="63">
        <v>758</v>
      </c>
      <c r="B159" s="62"/>
      <c r="C159" s="11"/>
      <c r="D159" s="292" t="s">
        <v>547</v>
      </c>
      <c r="E159" s="36">
        <f>E160</f>
        <v>1358194.28</v>
      </c>
      <c r="F159" s="151"/>
      <c r="G159" s="36">
        <f>G160</f>
        <v>0</v>
      </c>
      <c r="H159" s="151"/>
      <c r="I159" s="359"/>
    </row>
    <row r="160" spans="1:9" ht="17.25" customHeight="1">
      <c r="A160" s="117"/>
      <c r="B160" s="83">
        <v>75818</v>
      </c>
      <c r="C160" s="25"/>
      <c r="D160" s="293" t="s">
        <v>548</v>
      </c>
      <c r="E160" s="106">
        <f>E161+E166</f>
        <v>1358194.28</v>
      </c>
      <c r="F160" s="104"/>
      <c r="G160" s="106">
        <f>G161+G166</f>
        <v>0</v>
      </c>
      <c r="H160" s="104"/>
      <c r="I160" s="359"/>
    </row>
    <row r="161" spans="1:9" ht="18.75" customHeight="1">
      <c r="A161" s="89"/>
      <c r="B161" s="90"/>
      <c r="C161" s="14">
        <v>4810</v>
      </c>
      <c r="D161" s="288" t="s">
        <v>319</v>
      </c>
      <c r="E161" s="162">
        <f>E163+E164+E165</f>
        <v>1243194.28</v>
      </c>
      <c r="F161" s="151"/>
      <c r="G161" s="162">
        <f>G163+G164+G165</f>
        <v>0</v>
      </c>
      <c r="H161" s="151"/>
      <c r="I161" s="359"/>
    </row>
    <row r="162" spans="1:9" ht="15" customHeight="1">
      <c r="A162" s="89"/>
      <c r="B162" s="99"/>
      <c r="C162" s="14"/>
      <c r="D162" s="342" t="s">
        <v>320</v>
      </c>
      <c r="E162" s="55"/>
      <c r="F162" s="151"/>
      <c r="G162" s="55"/>
      <c r="H162" s="151"/>
      <c r="I162" s="359"/>
    </row>
    <row r="163" spans="1:9" ht="15" customHeight="1">
      <c r="A163" s="89"/>
      <c r="B163" s="99"/>
      <c r="C163" s="8"/>
      <c r="D163" s="342" t="s">
        <v>321</v>
      </c>
      <c r="E163" s="55">
        <v>223511.69</v>
      </c>
      <c r="F163" s="151"/>
      <c r="G163" s="55"/>
      <c r="H163" s="151"/>
      <c r="I163" s="359"/>
    </row>
    <row r="164" spans="1:9" ht="15" customHeight="1">
      <c r="A164" s="89"/>
      <c r="B164" s="99"/>
      <c r="C164" s="8"/>
      <c r="D164" s="342" t="s">
        <v>322</v>
      </c>
      <c r="E164" s="55">
        <v>139682.59</v>
      </c>
      <c r="F164" s="151"/>
      <c r="G164" s="55"/>
      <c r="H164" s="151"/>
      <c r="I164" s="359"/>
    </row>
    <row r="165" spans="1:9" ht="15" customHeight="1">
      <c r="A165" s="89"/>
      <c r="B165" s="99"/>
      <c r="C165" s="8"/>
      <c r="D165" s="342" t="s">
        <v>446</v>
      </c>
      <c r="E165" s="55">
        <v>880000</v>
      </c>
      <c r="F165" s="151"/>
      <c r="G165" s="55"/>
      <c r="H165" s="151"/>
      <c r="I165" s="359"/>
    </row>
    <row r="166" spans="1:9" ht="19.5" customHeight="1">
      <c r="A166" s="89"/>
      <c r="B166" s="127"/>
      <c r="C166" s="3">
        <v>6800</v>
      </c>
      <c r="D166" s="288" t="s">
        <v>323</v>
      </c>
      <c r="E166" s="55">
        <v>115000</v>
      </c>
      <c r="F166" s="151"/>
      <c r="G166" s="55"/>
      <c r="H166" s="151"/>
      <c r="I166" s="359"/>
    </row>
    <row r="167" spans="1:9" ht="24" customHeight="1">
      <c r="A167" s="62">
        <v>801</v>
      </c>
      <c r="B167" s="62"/>
      <c r="C167" s="11"/>
      <c r="D167" s="292" t="s">
        <v>549</v>
      </c>
      <c r="E167" s="163">
        <f>E168+E197+E210+E245+E272+E274+E286+E305</f>
        <v>99061753.75</v>
      </c>
      <c r="F167" s="116"/>
      <c r="G167" s="163">
        <f>G168+G197+G210+G245+G272+G274+G286+G305</f>
        <v>50404380.67000001</v>
      </c>
      <c r="H167" s="116"/>
      <c r="I167" s="359">
        <f t="shared" si="2"/>
        <v>50.88177703496392</v>
      </c>
    </row>
    <row r="168" spans="1:9" ht="19.5" customHeight="1">
      <c r="A168" s="117"/>
      <c r="B168" s="49">
        <v>80101</v>
      </c>
      <c r="C168" s="25"/>
      <c r="D168" s="293" t="s">
        <v>550</v>
      </c>
      <c r="E168" s="41">
        <f>SUM(E169:E196)</f>
        <v>33975447</v>
      </c>
      <c r="F168" s="112"/>
      <c r="G168" s="41">
        <f>SUM(G169:G196)</f>
        <v>17381050.18</v>
      </c>
      <c r="H168" s="112"/>
      <c r="I168" s="359">
        <f t="shared" si="2"/>
        <v>51.1576791910935</v>
      </c>
    </row>
    <row r="169" spans="1:9" ht="30.75" customHeight="1">
      <c r="A169" s="120"/>
      <c r="B169" s="118"/>
      <c r="C169" s="14">
        <v>2540</v>
      </c>
      <c r="D169" s="288" t="s">
        <v>328</v>
      </c>
      <c r="E169" s="101">
        <f>83400-43400</f>
        <v>40000</v>
      </c>
      <c r="F169" s="95"/>
      <c r="G169" s="101">
        <v>0</v>
      </c>
      <c r="H169" s="95"/>
      <c r="I169" s="359"/>
    </row>
    <row r="170" spans="1:9" ht="23.25" customHeight="1">
      <c r="A170" s="88"/>
      <c r="B170" s="89"/>
      <c r="C170" s="9">
        <v>3020</v>
      </c>
      <c r="D170" s="288" t="s">
        <v>324</v>
      </c>
      <c r="E170" s="101">
        <v>118000</v>
      </c>
      <c r="F170" s="95"/>
      <c r="G170" s="101">
        <v>31312.41</v>
      </c>
      <c r="H170" s="95"/>
      <c r="I170" s="359">
        <f t="shared" si="2"/>
        <v>26.535940677966103</v>
      </c>
    </row>
    <row r="171" spans="1:9" ht="15" customHeight="1">
      <c r="A171" s="88"/>
      <c r="B171" s="89"/>
      <c r="C171" s="9">
        <v>3050</v>
      </c>
      <c r="D171" s="288" t="s">
        <v>325</v>
      </c>
      <c r="E171" s="55">
        <v>17000</v>
      </c>
      <c r="F171" s="95"/>
      <c r="G171" s="55">
        <v>7895.16</v>
      </c>
      <c r="H171" s="95"/>
      <c r="I171" s="359">
        <f t="shared" si="2"/>
        <v>46.44211764705882</v>
      </c>
    </row>
    <row r="172" spans="1:9" ht="16.5" customHeight="1">
      <c r="A172" s="88"/>
      <c r="B172" s="89"/>
      <c r="C172" s="9">
        <v>4010</v>
      </c>
      <c r="D172" s="288" t="s">
        <v>643</v>
      </c>
      <c r="E172" s="55">
        <v>22028909</v>
      </c>
      <c r="F172" s="95"/>
      <c r="G172" s="55">
        <v>10552164.12</v>
      </c>
      <c r="H172" s="95"/>
      <c r="I172" s="359">
        <f t="shared" si="2"/>
        <v>47.901437697164205</v>
      </c>
    </row>
    <row r="173" spans="1:9" ht="15" customHeight="1">
      <c r="A173" s="88"/>
      <c r="B173" s="89"/>
      <c r="C173" s="9">
        <v>4040</v>
      </c>
      <c r="D173" s="288" t="s">
        <v>644</v>
      </c>
      <c r="E173" s="55">
        <v>1824961</v>
      </c>
      <c r="F173" s="311"/>
      <c r="G173" s="55">
        <v>1755247.84</v>
      </c>
      <c r="H173" s="311"/>
      <c r="I173" s="359">
        <f t="shared" si="2"/>
        <v>96.18001918945117</v>
      </c>
    </row>
    <row r="174" spans="1:9" ht="15" customHeight="1">
      <c r="A174" s="88"/>
      <c r="B174" s="89"/>
      <c r="C174" s="9">
        <v>4110</v>
      </c>
      <c r="D174" s="288" t="s">
        <v>645</v>
      </c>
      <c r="E174" s="55">
        <f>3550404+21241</f>
        <v>3571645</v>
      </c>
      <c r="F174" s="95"/>
      <c r="G174" s="55">
        <v>2033867.63</v>
      </c>
      <c r="H174" s="95"/>
      <c r="I174" s="359">
        <f t="shared" si="2"/>
        <v>56.944842782527374</v>
      </c>
    </row>
    <row r="175" spans="1:9" ht="15" customHeight="1">
      <c r="A175" s="88"/>
      <c r="B175" s="89"/>
      <c r="C175" s="9">
        <v>4120</v>
      </c>
      <c r="D175" s="288" t="s">
        <v>646</v>
      </c>
      <c r="E175" s="55">
        <v>577532</v>
      </c>
      <c r="F175" s="95"/>
      <c r="G175" s="55">
        <v>235572.62</v>
      </c>
      <c r="H175" s="95"/>
      <c r="I175" s="359">
        <f t="shared" si="2"/>
        <v>40.789535471627545</v>
      </c>
    </row>
    <row r="176" spans="1:9" ht="26.25" customHeight="1">
      <c r="A176" s="88"/>
      <c r="B176" s="89"/>
      <c r="C176" s="9">
        <v>4140</v>
      </c>
      <c r="D176" s="288" t="s">
        <v>357</v>
      </c>
      <c r="E176" s="55">
        <v>24500</v>
      </c>
      <c r="F176" s="95"/>
      <c r="G176" s="55">
        <v>3104</v>
      </c>
      <c r="H176" s="95"/>
      <c r="I176" s="359">
        <f t="shared" si="2"/>
        <v>12.66938775510204</v>
      </c>
    </row>
    <row r="177" spans="1:9" ht="15" customHeight="1">
      <c r="A177" s="88"/>
      <c r="B177" s="89"/>
      <c r="C177" s="3">
        <v>4170</v>
      </c>
      <c r="D177" s="288" t="s">
        <v>652</v>
      </c>
      <c r="E177" s="55">
        <v>43000</v>
      </c>
      <c r="F177" s="95"/>
      <c r="G177" s="55">
        <v>12846.07</v>
      </c>
      <c r="H177" s="95"/>
      <c r="I177" s="359">
        <f t="shared" si="2"/>
        <v>29.874581395348837</v>
      </c>
    </row>
    <row r="178" spans="1:9" ht="15" customHeight="1">
      <c r="A178" s="88"/>
      <c r="B178" s="89"/>
      <c r="C178" s="9">
        <v>4210</v>
      </c>
      <c r="D178" s="288" t="s">
        <v>602</v>
      </c>
      <c r="E178" s="55">
        <v>431583</v>
      </c>
      <c r="F178" s="95"/>
      <c r="G178" s="55">
        <v>254649.06</v>
      </c>
      <c r="H178" s="95"/>
      <c r="I178" s="359">
        <f t="shared" si="2"/>
        <v>59.0034964305823</v>
      </c>
    </row>
    <row r="179" spans="1:9" ht="24.75" customHeight="1">
      <c r="A179" s="88"/>
      <c r="B179" s="89"/>
      <c r="C179" s="9">
        <v>4240</v>
      </c>
      <c r="D179" s="288" t="s">
        <v>358</v>
      </c>
      <c r="E179" s="55">
        <v>51040</v>
      </c>
      <c r="F179" s="95"/>
      <c r="G179" s="55">
        <v>20080</v>
      </c>
      <c r="H179" s="95"/>
      <c r="I179" s="359">
        <f t="shared" si="2"/>
        <v>39.341692789968654</v>
      </c>
    </row>
    <row r="180" spans="1:9" ht="15" customHeight="1">
      <c r="A180" s="88"/>
      <c r="B180" s="89"/>
      <c r="C180" s="9">
        <v>4260</v>
      </c>
      <c r="D180" s="288" t="s">
        <v>660</v>
      </c>
      <c r="E180" s="55">
        <f>1890873-90873</f>
        <v>1800000</v>
      </c>
      <c r="F180" s="95"/>
      <c r="G180" s="55">
        <v>1040190.01</v>
      </c>
      <c r="H180" s="95"/>
      <c r="I180" s="359">
        <f t="shared" si="2"/>
        <v>57.788333888888886</v>
      </c>
    </row>
    <row r="181" spans="1:9" ht="15" customHeight="1">
      <c r="A181" s="88"/>
      <c r="B181" s="89"/>
      <c r="C181" s="9">
        <v>4270</v>
      </c>
      <c r="D181" s="288" t="s">
        <v>603</v>
      </c>
      <c r="E181" s="55">
        <v>294800</v>
      </c>
      <c r="F181" s="95"/>
      <c r="G181" s="55">
        <v>48114.88</v>
      </c>
      <c r="H181" s="95"/>
      <c r="I181" s="359">
        <f t="shared" si="2"/>
        <v>16.321194029850744</v>
      </c>
    </row>
    <row r="182" spans="1:9" ht="15" customHeight="1">
      <c r="A182" s="88"/>
      <c r="B182" s="89"/>
      <c r="C182" s="9">
        <v>4280</v>
      </c>
      <c r="D182" s="288" t="s">
        <v>326</v>
      </c>
      <c r="E182" s="55">
        <f>25960-2960</f>
        <v>23000</v>
      </c>
      <c r="F182" s="95"/>
      <c r="G182" s="55">
        <v>3114</v>
      </c>
      <c r="H182" s="95"/>
      <c r="I182" s="359">
        <f t="shared" si="2"/>
        <v>13.53913043478261</v>
      </c>
    </row>
    <row r="183" spans="1:9" ht="15" customHeight="1">
      <c r="A183" s="88"/>
      <c r="B183" s="89"/>
      <c r="C183" s="9">
        <v>4300</v>
      </c>
      <c r="D183" s="288" t="s">
        <v>599</v>
      </c>
      <c r="E183" s="55">
        <v>531706</v>
      </c>
      <c r="F183" s="95"/>
      <c r="G183" s="55">
        <v>260508.78</v>
      </c>
      <c r="H183" s="95"/>
      <c r="I183" s="359">
        <f t="shared" si="2"/>
        <v>48.99489191395245</v>
      </c>
    </row>
    <row r="184" spans="1:9" ht="15" customHeight="1">
      <c r="A184" s="88"/>
      <c r="B184" s="89"/>
      <c r="C184" s="3">
        <v>4350</v>
      </c>
      <c r="D184" s="288" t="s">
        <v>655</v>
      </c>
      <c r="E184" s="55">
        <v>15581</v>
      </c>
      <c r="F184" s="95"/>
      <c r="G184" s="55">
        <v>7253.85</v>
      </c>
      <c r="H184" s="95"/>
      <c r="I184" s="359">
        <f t="shared" si="2"/>
        <v>46.55574096656184</v>
      </c>
    </row>
    <row r="185" spans="1:9" ht="38.25" customHeight="1">
      <c r="A185" s="88"/>
      <c r="B185" s="89"/>
      <c r="C185" s="3">
        <v>4360</v>
      </c>
      <c r="D185" s="288" t="s">
        <v>390</v>
      </c>
      <c r="E185" s="55">
        <v>5400</v>
      </c>
      <c r="F185" s="95"/>
      <c r="G185" s="55">
        <v>2605.21</v>
      </c>
      <c r="H185" s="95"/>
      <c r="I185" s="359">
        <f t="shared" si="2"/>
        <v>48.24462962962963</v>
      </c>
    </row>
    <row r="186" spans="1:9" ht="37.5" customHeight="1">
      <c r="A186" s="88"/>
      <c r="B186" s="89"/>
      <c r="C186" s="3">
        <v>4370</v>
      </c>
      <c r="D186" s="288" t="s">
        <v>389</v>
      </c>
      <c r="E186" s="55">
        <v>31780</v>
      </c>
      <c r="F186" s="95"/>
      <c r="G186" s="55">
        <v>12914.19</v>
      </c>
      <c r="H186" s="95"/>
      <c r="I186" s="359">
        <f t="shared" si="2"/>
        <v>40.6362177470107</v>
      </c>
    </row>
    <row r="187" spans="1:9" ht="27" customHeight="1">
      <c r="A187" s="88"/>
      <c r="B187" s="89"/>
      <c r="C187" s="3">
        <v>4390</v>
      </c>
      <c r="D187" s="288" t="s">
        <v>555</v>
      </c>
      <c r="E187" s="55">
        <v>3300</v>
      </c>
      <c r="F187" s="95"/>
      <c r="G187" s="55">
        <v>0</v>
      </c>
      <c r="H187" s="95"/>
      <c r="I187" s="359"/>
    </row>
    <row r="188" spans="1:9" ht="16.5" customHeight="1">
      <c r="A188" s="88"/>
      <c r="B188" s="89"/>
      <c r="C188" s="3">
        <v>4410</v>
      </c>
      <c r="D188" s="288" t="s">
        <v>649</v>
      </c>
      <c r="E188" s="55">
        <f>15990-1990</f>
        <v>14000</v>
      </c>
      <c r="F188" s="95"/>
      <c r="G188" s="55">
        <v>3546.06</v>
      </c>
      <c r="H188" s="95"/>
      <c r="I188" s="359">
        <f t="shared" si="2"/>
        <v>25.329</v>
      </c>
    </row>
    <row r="189" spans="1:9" ht="17.25" customHeight="1">
      <c r="A189" s="88"/>
      <c r="B189" s="89"/>
      <c r="C189" s="9">
        <v>4430</v>
      </c>
      <c r="D189" s="288" t="s">
        <v>433</v>
      </c>
      <c r="E189" s="55">
        <f>40740-10740</f>
        <v>30000</v>
      </c>
      <c r="F189" s="95"/>
      <c r="G189" s="55">
        <v>15678.2</v>
      </c>
      <c r="H189" s="95"/>
      <c r="I189" s="359">
        <f t="shared" si="2"/>
        <v>52.260666666666665</v>
      </c>
    </row>
    <row r="190" spans="1:9" ht="23.25" customHeight="1">
      <c r="A190" s="88"/>
      <c r="B190" s="89"/>
      <c r="C190" s="9">
        <v>4440</v>
      </c>
      <c r="D190" s="288" t="s">
        <v>647</v>
      </c>
      <c r="E190" s="55">
        <v>1356708</v>
      </c>
      <c r="F190" s="95"/>
      <c r="G190" s="55">
        <v>1019661.5</v>
      </c>
      <c r="H190" s="95"/>
      <c r="I190" s="359">
        <f t="shared" si="2"/>
        <v>75.15703452769498</v>
      </c>
    </row>
    <row r="191" spans="1:9" ht="16.5" customHeight="1">
      <c r="A191" s="88"/>
      <c r="B191" s="89"/>
      <c r="C191" s="9">
        <v>4480</v>
      </c>
      <c r="D191" s="288" t="s">
        <v>452</v>
      </c>
      <c r="E191" s="55">
        <v>8802</v>
      </c>
      <c r="F191" s="95"/>
      <c r="G191" s="55">
        <v>4175.79</v>
      </c>
      <c r="H191" s="95"/>
      <c r="I191" s="359">
        <f t="shared" si="2"/>
        <v>47.44137695978187</v>
      </c>
    </row>
    <row r="192" spans="1:9" ht="16.5" customHeight="1">
      <c r="A192" s="88"/>
      <c r="B192" s="89"/>
      <c r="C192" s="9">
        <v>4510</v>
      </c>
      <c r="D192" s="288" t="s">
        <v>638</v>
      </c>
      <c r="E192" s="55">
        <v>600</v>
      </c>
      <c r="F192" s="95"/>
      <c r="G192" s="55">
        <v>75</v>
      </c>
      <c r="H192" s="95"/>
      <c r="I192" s="359">
        <f t="shared" si="2"/>
        <v>12.5</v>
      </c>
    </row>
    <row r="193" spans="1:9" ht="28.5" customHeight="1">
      <c r="A193" s="88"/>
      <c r="B193" s="89"/>
      <c r="C193" s="9">
        <v>4610</v>
      </c>
      <c r="D193" s="288" t="s">
        <v>388</v>
      </c>
      <c r="E193" s="55">
        <v>2000</v>
      </c>
      <c r="F193" s="95"/>
      <c r="G193" s="55">
        <v>1845</v>
      </c>
      <c r="H193" s="95"/>
      <c r="I193" s="359">
        <f t="shared" si="2"/>
        <v>92.25</v>
      </c>
    </row>
    <row r="194" spans="1:9" ht="27" customHeight="1">
      <c r="A194" s="88"/>
      <c r="B194" s="89"/>
      <c r="C194" s="9">
        <v>4700</v>
      </c>
      <c r="D194" s="288" t="s">
        <v>420</v>
      </c>
      <c r="E194" s="55">
        <v>21000</v>
      </c>
      <c r="F194" s="95"/>
      <c r="G194" s="55">
        <v>12397.8</v>
      </c>
      <c r="H194" s="95"/>
      <c r="I194" s="359">
        <f t="shared" si="2"/>
        <v>59.037142857142854</v>
      </c>
    </row>
    <row r="195" spans="1:9" ht="30" customHeight="1">
      <c r="A195" s="88"/>
      <c r="B195" s="89"/>
      <c r="C195" s="3">
        <v>6050</v>
      </c>
      <c r="D195" s="288" t="s">
        <v>611</v>
      </c>
      <c r="E195" s="55">
        <v>1043600</v>
      </c>
      <c r="F195" s="95"/>
      <c r="G195" s="55">
        <v>38231</v>
      </c>
      <c r="H195" s="95"/>
      <c r="I195" s="359">
        <f t="shared" si="2"/>
        <v>3.6633767727098503</v>
      </c>
    </row>
    <row r="196" spans="1:9" ht="24" customHeight="1">
      <c r="A196" s="88"/>
      <c r="B196" s="89"/>
      <c r="C196" s="3">
        <v>6060</v>
      </c>
      <c r="D196" s="288" t="s">
        <v>665</v>
      </c>
      <c r="E196" s="55">
        <v>65000</v>
      </c>
      <c r="F196" s="95"/>
      <c r="G196" s="55">
        <v>4000</v>
      </c>
      <c r="H196" s="95"/>
      <c r="I196" s="359">
        <f t="shared" si="2"/>
        <v>6.153846153846154</v>
      </c>
    </row>
    <row r="197" spans="1:25" s="56" customFormat="1" ht="30.75" customHeight="1">
      <c r="A197" s="120"/>
      <c r="B197" s="49">
        <v>80103</v>
      </c>
      <c r="C197" s="39"/>
      <c r="D197" s="293" t="s">
        <v>169</v>
      </c>
      <c r="E197" s="106">
        <f>SUM(E198:E209)</f>
        <v>1080283</v>
      </c>
      <c r="F197" s="114"/>
      <c r="G197" s="106">
        <f>SUM(G198:G209)</f>
        <v>536811.8500000001</v>
      </c>
      <c r="H197" s="114"/>
      <c r="I197" s="359">
        <f t="shared" si="2"/>
        <v>49.69177983917178</v>
      </c>
      <c r="J197" s="243"/>
      <c r="K197" s="243"/>
      <c r="L197" s="261"/>
      <c r="M197" s="243"/>
      <c r="N197" s="243"/>
      <c r="O197" s="243"/>
      <c r="P197" s="243"/>
      <c r="Q197" s="243"/>
      <c r="R197" s="243"/>
      <c r="S197" s="243"/>
      <c r="T197" s="252"/>
      <c r="U197" s="252"/>
      <c r="V197" s="252"/>
      <c r="W197" s="252"/>
      <c r="X197" s="252"/>
      <c r="Y197" s="252"/>
    </row>
    <row r="198" spans="1:25" s="56" customFormat="1" ht="27" customHeight="1">
      <c r="A198" s="120"/>
      <c r="B198" s="118"/>
      <c r="C198" s="9">
        <v>3020</v>
      </c>
      <c r="D198" s="288" t="s">
        <v>324</v>
      </c>
      <c r="E198" s="101">
        <v>2110</v>
      </c>
      <c r="F198" s="114"/>
      <c r="G198" s="101">
        <v>694.56</v>
      </c>
      <c r="H198" s="114"/>
      <c r="I198" s="359">
        <f t="shared" si="2"/>
        <v>32.917535545023696</v>
      </c>
      <c r="J198" s="243"/>
      <c r="K198" s="243"/>
      <c r="L198" s="261"/>
      <c r="M198" s="243"/>
      <c r="N198" s="243"/>
      <c r="O198" s="243"/>
      <c r="P198" s="243"/>
      <c r="Q198" s="243"/>
      <c r="R198" s="243"/>
      <c r="S198" s="243"/>
      <c r="T198" s="252"/>
      <c r="U198" s="252"/>
      <c r="V198" s="252"/>
      <c r="W198" s="252"/>
      <c r="X198" s="252"/>
      <c r="Y198" s="252"/>
    </row>
    <row r="199" spans="1:9" ht="18.75" customHeight="1">
      <c r="A199" s="88"/>
      <c r="B199" s="89"/>
      <c r="C199" s="9">
        <v>4010</v>
      </c>
      <c r="D199" s="288" t="s">
        <v>643</v>
      </c>
      <c r="E199" s="55">
        <v>768873</v>
      </c>
      <c r="F199" s="95"/>
      <c r="G199" s="55">
        <v>359054.25</v>
      </c>
      <c r="H199" s="95"/>
      <c r="I199" s="359">
        <f t="shared" si="2"/>
        <v>46.6987720989032</v>
      </c>
    </row>
    <row r="200" spans="1:9" ht="15" customHeight="1">
      <c r="A200" s="88"/>
      <c r="B200" s="89"/>
      <c r="C200" s="9">
        <v>4040</v>
      </c>
      <c r="D200" s="288" t="s">
        <v>644</v>
      </c>
      <c r="E200" s="55">
        <v>58662</v>
      </c>
      <c r="F200" s="95"/>
      <c r="G200" s="55">
        <v>54070.61</v>
      </c>
      <c r="H200" s="95"/>
      <c r="I200" s="359">
        <f t="shared" si="2"/>
        <v>92.17314445467252</v>
      </c>
    </row>
    <row r="201" spans="1:9" ht="15" customHeight="1">
      <c r="A201" s="88"/>
      <c r="B201" s="89"/>
      <c r="C201" s="9">
        <v>4110</v>
      </c>
      <c r="D201" s="288" t="s">
        <v>645</v>
      </c>
      <c r="E201" s="55">
        <v>141206</v>
      </c>
      <c r="F201" s="95"/>
      <c r="G201" s="55">
        <v>65018.83</v>
      </c>
      <c r="H201" s="95"/>
      <c r="I201" s="359">
        <f t="shared" si="2"/>
        <v>46.04537342605838</v>
      </c>
    </row>
    <row r="202" spans="1:9" ht="15" customHeight="1">
      <c r="A202" s="88"/>
      <c r="B202" s="89"/>
      <c r="C202" s="9">
        <v>4120</v>
      </c>
      <c r="D202" s="288" t="s">
        <v>646</v>
      </c>
      <c r="E202" s="55">
        <v>20170</v>
      </c>
      <c r="F202" s="95"/>
      <c r="G202" s="55">
        <v>8269.9</v>
      </c>
      <c r="H202" s="95"/>
      <c r="I202" s="359">
        <f t="shared" si="2"/>
        <v>41.00099157164105</v>
      </c>
    </row>
    <row r="203" spans="1:9" ht="15" customHeight="1">
      <c r="A203" s="88"/>
      <c r="B203" s="89"/>
      <c r="C203" s="9">
        <v>4210</v>
      </c>
      <c r="D203" s="288" t="s">
        <v>602</v>
      </c>
      <c r="E203" s="55">
        <v>8200</v>
      </c>
      <c r="F203" s="95"/>
      <c r="G203" s="55">
        <v>1620.67</v>
      </c>
      <c r="H203" s="95"/>
      <c r="I203" s="359">
        <f t="shared" si="2"/>
        <v>19.764268292682928</v>
      </c>
    </row>
    <row r="204" spans="1:9" ht="24" customHeight="1">
      <c r="A204" s="88"/>
      <c r="B204" s="89"/>
      <c r="C204" s="9">
        <v>4240</v>
      </c>
      <c r="D204" s="288" t="s">
        <v>358</v>
      </c>
      <c r="E204" s="55">
        <v>2510</v>
      </c>
      <c r="F204" s="95"/>
      <c r="G204" s="55">
        <v>740.01</v>
      </c>
      <c r="H204" s="95"/>
      <c r="I204" s="359">
        <f t="shared" si="2"/>
        <v>29.482470119521913</v>
      </c>
    </row>
    <row r="205" spans="1:9" ht="18" customHeight="1">
      <c r="A205" s="88"/>
      <c r="B205" s="89"/>
      <c r="C205" s="9">
        <v>4260</v>
      </c>
      <c r="D205" s="288" t="s">
        <v>660</v>
      </c>
      <c r="E205" s="55">
        <v>26700</v>
      </c>
      <c r="F205" s="95"/>
      <c r="G205" s="55">
        <v>13121.08</v>
      </c>
      <c r="H205" s="95"/>
      <c r="I205" s="359">
        <f t="shared" si="2"/>
        <v>49.14262172284644</v>
      </c>
    </row>
    <row r="206" spans="1:9" ht="18" customHeight="1">
      <c r="A206" s="88"/>
      <c r="B206" s="89"/>
      <c r="C206" s="9">
        <v>4280</v>
      </c>
      <c r="D206" s="288" t="s">
        <v>326</v>
      </c>
      <c r="E206" s="55">
        <v>1270</v>
      </c>
      <c r="F206" s="95"/>
      <c r="G206" s="55">
        <v>45</v>
      </c>
      <c r="H206" s="95"/>
      <c r="I206" s="359">
        <f aca="true" t="shared" si="3" ref="I206:I269">G206/E206*100</f>
        <v>3.543307086614173</v>
      </c>
    </row>
    <row r="207" spans="1:9" ht="18" customHeight="1">
      <c r="A207" s="88"/>
      <c r="B207" s="89"/>
      <c r="C207" s="9">
        <v>4300</v>
      </c>
      <c r="D207" s="288" t="s">
        <v>599</v>
      </c>
      <c r="E207" s="55">
        <v>3275</v>
      </c>
      <c r="F207" s="95"/>
      <c r="G207" s="55">
        <v>1605.94</v>
      </c>
      <c r="H207" s="95"/>
      <c r="I207" s="359">
        <f t="shared" si="3"/>
        <v>49.0363358778626</v>
      </c>
    </row>
    <row r="208" spans="1:9" ht="25.5" customHeight="1">
      <c r="A208" s="88"/>
      <c r="B208" s="89"/>
      <c r="C208" s="9">
        <v>4440</v>
      </c>
      <c r="D208" s="288" t="s">
        <v>647</v>
      </c>
      <c r="E208" s="55">
        <v>46807</v>
      </c>
      <c r="F208" s="95"/>
      <c r="G208" s="55">
        <v>32571</v>
      </c>
      <c r="H208" s="95"/>
      <c r="I208" s="359">
        <f t="shared" si="3"/>
        <v>69.58574572179374</v>
      </c>
    </row>
    <row r="209" spans="1:9" ht="29.25" customHeight="1">
      <c r="A209" s="88"/>
      <c r="B209" s="89"/>
      <c r="C209" s="9">
        <v>4700</v>
      </c>
      <c r="D209" s="288" t="s">
        <v>420</v>
      </c>
      <c r="E209" s="79">
        <v>500</v>
      </c>
      <c r="F209" s="95"/>
      <c r="G209" s="79">
        <v>0</v>
      </c>
      <c r="H209" s="95"/>
      <c r="I209" s="359"/>
    </row>
    <row r="210" spans="1:9" ht="25.5" customHeight="1">
      <c r="A210" s="118"/>
      <c r="B210" s="49">
        <v>80104</v>
      </c>
      <c r="C210" s="38"/>
      <c r="D210" s="293" t="s">
        <v>327</v>
      </c>
      <c r="E210" s="106">
        <f>SUM(E211:E244)</f>
        <v>30330339.750000004</v>
      </c>
      <c r="F210" s="95"/>
      <c r="G210" s="106">
        <f>SUM(G211:G244)</f>
        <v>15396215.990000002</v>
      </c>
      <c r="H210" s="95"/>
      <c r="I210" s="359">
        <f t="shared" si="3"/>
        <v>50.76176566732986</v>
      </c>
    </row>
    <row r="211" spans="1:9" ht="32.25" customHeight="1">
      <c r="A211" s="89"/>
      <c r="B211" s="99"/>
      <c r="C211" s="14">
        <v>2540</v>
      </c>
      <c r="D211" s="288" t="s">
        <v>328</v>
      </c>
      <c r="E211" s="55">
        <v>970000</v>
      </c>
      <c r="F211" s="95"/>
      <c r="G211" s="55">
        <v>626226.35</v>
      </c>
      <c r="H211" s="95"/>
      <c r="I211" s="359">
        <f t="shared" si="3"/>
        <v>64.55941752577318</v>
      </c>
    </row>
    <row r="212" spans="1:9" ht="23.25" customHeight="1">
      <c r="A212" s="89"/>
      <c r="B212" s="99"/>
      <c r="C212" s="14">
        <v>3020</v>
      </c>
      <c r="D212" s="288" t="s">
        <v>651</v>
      </c>
      <c r="E212" s="55">
        <v>82030</v>
      </c>
      <c r="F212" s="95"/>
      <c r="G212" s="55">
        <v>27361.85</v>
      </c>
      <c r="H212" s="95"/>
      <c r="I212" s="359">
        <f t="shared" si="3"/>
        <v>33.3559063757162</v>
      </c>
    </row>
    <row r="213" spans="1:9" ht="20.25" customHeight="1">
      <c r="A213" s="89"/>
      <c r="B213" s="99"/>
      <c r="C213" s="3">
        <v>4010</v>
      </c>
      <c r="D213" s="288" t="s">
        <v>643</v>
      </c>
      <c r="E213" s="55">
        <v>17028819.96</v>
      </c>
      <c r="F213" s="95"/>
      <c r="G213" s="55">
        <v>8388719.64</v>
      </c>
      <c r="H213" s="95"/>
      <c r="I213" s="359">
        <f t="shared" si="3"/>
        <v>49.26189635984618</v>
      </c>
    </row>
    <row r="214" spans="1:9" ht="18.75" customHeight="1">
      <c r="A214" s="89"/>
      <c r="B214" s="99"/>
      <c r="C214" s="3">
        <v>4040</v>
      </c>
      <c r="D214" s="288" t="s">
        <v>644</v>
      </c>
      <c r="E214" s="55">
        <v>1466280</v>
      </c>
      <c r="F214" s="95"/>
      <c r="G214" s="55">
        <v>1363415.93</v>
      </c>
      <c r="H214" s="95"/>
      <c r="I214" s="359">
        <f t="shared" si="3"/>
        <v>92.98469119131407</v>
      </c>
    </row>
    <row r="215" spans="1:9" ht="18.75" customHeight="1">
      <c r="A215" s="89"/>
      <c r="B215" s="99"/>
      <c r="C215" s="3">
        <v>4110</v>
      </c>
      <c r="D215" s="288" t="s">
        <v>645</v>
      </c>
      <c r="E215" s="55">
        <v>3052108</v>
      </c>
      <c r="F215" s="95"/>
      <c r="G215" s="55">
        <v>1545450.78</v>
      </c>
      <c r="H215" s="95"/>
      <c r="I215" s="359">
        <f t="shared" si="3"/>
        <v>50.63552076138852</v>
      </c>
    </row>
    <row r="216" spans="1:9" ht="18.75" customHeight="1">
      <c r="A216" s="89"/>
      <c r="B216" s="99"/>
      <c r="C216" s="3">
        <v>4111</v>
      </c>
      <c r="D216" s="288" t="s">
        <v>645</v>
      </c>
      <c r="E216" s="55">
        <v>420</v>
      </c>
      <c r="F216" s="95"/>
      <c r="G216" s="55">
        <v>205.2</v>
      </c>
      <c r="H216" s="95"/>
      <c r="I216" s="359">
        <f t="shared" si="3"/>
        <v>48.857142857142854</v>
      </c>
    </row>
    <row r="217" spans="1:9" ht="18" customHeight="1">
      <c r="A217" s="89"/>
      <c r="B217" s="99"/>
      <c r="C217" s="3">
        <v>4120</v>
      </c>
      <c r="D217" s="288" t="s">
        <v>646</v>
      </c>
      <c r="E217" s="55">
        <v>445576</v>
      </c>
      <c r="F217" s="95"/>
      <c r="G217" s="55">
        <v>178370.57</v>
      </c>
      <c r="H217" s="95"/>
      <c r="I217" s="359">
        <f t="shared" si="3"/>
        <v>40.03145815753093</v>
      </c>
    </row>
    <row r="218" spans="1:9" ht="18" customHeight="1">
      <c r="A218" s="89"/>
      <c r="B218" s="99"/>
      <c r="C218" s="3">
        <v>4121</v>
      </c>
      <c r="D218" s="288" t="s">
        <v>646</v>
      </c>
      <c r="E218" s="55">
        <v>60</v>
      </c>
      <c r="F218" s="95"/>
      <c r="G218" s="55">
        <v>29.4</v>
      </c>
      <c r="H218" s="95"/>
      <c r="I218" s="359">
        <f t="shared" si="3"/>
        <v>49</v>
      </c>
    </row>
    <row r="219" spans="1:9" ht="27.75" customHeight="1">
      <c r="A219" s="89"/>
      <c r="B219" s="99"/>
      <c r="C219" s="14">
        <v>4140</v>
      </c>
      <c r="D219" s="288" t="s">
        <v>357</v>
      </c>
      <c r="E219" s="55">
        <v>8000</v>
      </c>
      <c r="F219" s="95"/>
      <c r="G219" s="55">
        <v>0</v>
      </c>
      <c r="H219" s="95"/>
      <c r="I219" s="359"/>
    </row>
    <row r="220" spans="1:9" ht="15.75" customHeight="1">
      <c r="A220" s="89"/>
      <c r="B220" s="99"/>
      <c r="C220" s="3">
        <v>4170</v>
      </c>
      <c r="D220" s="288" t="s">
        <v>652</v>
      </c>
      <c r="E220" s="55">
        <v>32500</v>
      </c>
      <c r="F220" s="95"/>
      <c r="G220" s="55">
        <v>13192</v>
      </c>
      <c r="H220" s="95"/>
      <c r="I220" s="359">
        <f t="shared" si="3"/>
        <v>40.59076923076923</v>
      </c>
    </row>
    <row r="221" spans="1:9" ht="15.75" customHeight="1">
      <c r="A221" s="89"/>
      <c r="B221" s="99"/>
      <c r="C221" s="3">
        <v>4171</v>
      </c>
      <c r="D221" s="288" t="s">
        <v>652</v>
      </c>
      <c r="E221" s="55">
        <v>2400</v>
      </c>
      <c r="F221" s="95"/>
      <c r="G221" s="55">
        <v>1200</v>
      </c>
      <c r="H221" s="95"/>
      <c r="I221" s="359">
        <f t="shared" si="3"/>
        <v>50</v>
      </c>
    </row>
    <row r="222" spans="1:9" ht="15" customHeight="1">
      <c r="A222" s="89"/>
      <c r="B222" s="99"/>
      <c r="C222" s="3">
        <v>4210</v>
      </c>
      <c r="D222" s="288" t="s">
        <v>653</v>
      </c>
      <c r="E222" s="55">
        <v>527005</v>
      </c>
      <c r="F222" s="95"/>
      <c r="G222" s="55">
        <v>241811.31</v>
      </c>
      <c r="H222" s="95"/>
      <c r="I222" s="359">
        <f t="shared" si="3"/>
        <v>45.88406371856055</v>
      </c>
    </row>
    <row r="223" spans="1:9" ht="15" customHeight="1">
      <c r="A223" s="89"/>
      <c r="B223" s="99"/>
      <c r="C223" s="3">
        <v>4211</v>
      </c>
      <c r="D223" s="288" t="s">
        <v>653</v>
      </c>
      <c r="E223" s="55">
        <v>4500</v>
      </c>
      <c r="F223" s="95"/>
      <c r="G223" s="55">
        <v>3278.72</v>
      </c>
      <c r="H223" s="95"/>
      <c r="I223" s="359">
        <f t="shared" si="3"/>
        <v>72.86044444444444</v>
      </c>
    </row>
    <row r="224" spans="1:9" ht="16.5" customHeight="1">
      <c r="A224" s="89"/>
      <c r="B224" s="99"/>
      <c r="C224" s="3">
        <v>4220</v>
      </c>
      <c r="D224" s="288" t="s">
        <v>163</v>
      </c>
      <c r="E224" s="55">
        <v>2290824</v>
      </c>
      <c r="F224" s="95"/>
      <c r="G224" s="55">
        <v>1141450.43</v>
      </c>
      <c r="H224" s="95"/>
      <c r="I224" s="359">
        <f t="shared" si="3"/>
        <v>49.82706790220462</v>
      </c>
    </row>
    <row r="225" spans="1:9" ht="24.75" customHeight="1">
      <c r="A225" s="89"/>
      <c r="B225" s="99"/>
      <c r="C225" s="3">
        <v>4240</v>
      </c>
      <c r="D225" s="288" t="s">
        <v>358</v>
      </c>
      <c r="E225" s="55">
        <v>24705</v>
      </c>
      <c r="F225" s="95"/>
      <c r="G225" s="55">
        <v>11758.46</v>
      </c>
      <c r="H225" s="95"/>
      <c r="I225" s="359">
        <f t="shared" si="3"/>
        <v>47.59546650475612</v>
      </c>
    </row>
    <row r="226" spans="1:9" ht="24.75" customHeight="1">
      <c r="A226" s="89"/>
      <c r="B226" s="99"/>
      <c r="C226" s="3">
        <v>4241</v>
      </c>
      <c r="D226" s="288" t="s">
        <v>358</v>
      </c>
      <c r="E226" s="55">
        <v>200</v>
      </c>
      <c r="F226" s="95"/>
      <c r="G226" s="55">
        <v>0</v>
      </c>
      <c r="H226" s="95"/>
      <c r="I226" s="359"/>
    </row>
    <row r="227" spans="1:9" ht="16.5" customHeight="1">
      <c r="A227" s="89"/>
      <c r="B227" s="99"/>
      <c r="C227" s="3">
        <v>4260</v>
      </c>
      <c r="D227" s="288" t="s">
        <v>660</v>
      </c>
      <c r="E227" s="55">
        <v>1198100</v>
      </c>
      <c r="F227" s="95"/>
      <c r="G227" s="55">
        <v>585695.43</v>
      </c>
      <c r="H227" s="95"/>
      <c r="I227" s="359">
        <f t="shared" si="3"/>
        <v>48.885354310992405</v>
      </c>
    </row>
    <row r="228" spans="1:9" ht="18" customHeight="1">
      <c r="A228" s="89"/>
      <c r="B228" s="99"/>
      <c r="C228" s="3">
        <v>4270</v>
      </c>
      <c r="D228" s="288" t="s">
        <v>603</v>
      </c>
      <c r="E228" s="55">
        <v>198082</v>
      </c>
      <c r="F228" s="95"/>
      <c r="G228" s="55">
        <v>38944.04</v>
      </c>
      <c r="H228" s="95"/>
      <c r="I228" s="359">
        <f t="shared" si="3"/>
        <v>19.66056481659111</v>
      </c>
    </row>
    <row r="229" spans="1:9" ht="18" customHeight="1">
      <c r="A229" s="89"/>
      <c r="B229" s="99"/>
      <c r="C229" s="3">
        <v>4280</v>
      </c>
      <c r="D229" s="350" t="s">
        <v>326</v>
      </c>
      <c r="E229" s="55">
        <v>23900</v>
      </c>
      <c r="F229" s="95"/>
      <c r="G229" s="55">
        <v>3778.5</v>
      </c>
      <c r="H229" s="95"/>
      <c r="I229" s="359">
        <f t="shared" si="3"/>
        <v>15.809623430962343</v>
      </c>
    </row>
    <row r="230" spans="1:9" ht="17.25" customHeight="1">
      <c r="A230" s="89"/>
      <c r="B230" s="99"/>
      <c r="C230" s="3">
        <v>4300</v>
      </c>
      <c r="D230" s="288" t="s">
        <v>640</v>
      </c>
      <c r="E230" s="55">
        <v>611215</v>
      </c>
      <c r="F230" s="95"/>
      <c r="G230" s="55">
        <v>285525.84</v>
      </c>
      <c r="H230" s="95"/>
      <c r="I230" s="359">
        <f t="shared" si="3"/>
        <v>46.71446872213542</v>
      </c>
    </row>
    <row r="231" spans="1:9" ht="17.25" customHeight="1">
      <c r="A231" s="89"/>
      <c r="B231" s="99"/>
      <c r="C231" s="3">
        <v>4301</v>
      </c>
      <c r="D231" s="288" t="s">
        <v>640</v>
      </c>
      <c r="E231" s="55">
        <v>2500</v>
      </c>
      <c r="F231" s="95"/>
      <c r="G231" s="55">
        <v>411.95</v>
      </c>
      <c r="H231" s="95"/>
      <c r="I231" s="359">
        <f t="shared" si="3"/>
        <v>16.477999999999998</v>
      </c>
    </row>
    <row r="232" spans="1:9" ht="18" customHeight="1">
      <c r="A232" s="89"/>
      <c r="B232" s="99"/>
      <c r="C232" s="3">
        <v>4350</v>
      </c>
      <c r="D232" s="288" t="s">
        <v>655</v>
      </c>
      <c r="E232" s="55">
        <v>21395.78</v>
      </c>
      <c r="F232" s="95"/>
      <c r="G232" s="55">
        <v>7745.23</v>
      </c>
      <c r="H232" s="95"/>
      <c r="I232" s="359">
        <f t="shared" si="3"/>
        <v>36.199802017033264</v>
      </c>
    </row>
    <row r="233" spans="1:9" ht="43.5" customHeight="1">
      <c r="A233" s="89"/>
      <c r="B233" s="99"/>
      <c r="C233" s="3">
        <v>4360</v>
      </c>
      <c r="D233" s="288" t="s">
        <v>390</v>
      </c>
      <c r="E233" s="55">
        <v>1680</v>
      </c>
      <c r="F233" s="95"/>
      <c r="G233" s="55">
        <v>762.9</v>
      </c>
      <c r="H233" s="95"/>
      <c r="I233" s="359">
        <f t="shared" si="3"/>
        <v>45.410714285714285</v>
      </c>
    </row>
    <row r="234" spans="1:9" ht="41.25" customHeight="1">
      <c r="A234" s="89"/>
      <c r="B234" s="99"/>
      <c r="C234" s="3">
        <v>4370</v>
      </c>
      <c r="D234" s="288" t="s">
        <v>389</v>
      </c>
      <c r="E234" s="55">
        <v>59452</v>
      </c>
      <c r="F234" s="95"/>
      <c r="G234" s="55">
        <v>20236.05</v>
      </c>
      <c r="H234" s="95"/>
      <c r="I234" s="359">
        <f t="shared" si="3"/>
        <v>34.0376269932046</v>
      </c>
    </row>
    <row r="235" spans="1:9" ht="31.5" customHeight="1">
      <c r="A235" s="89"/>
      <c r="B235" s="99"/>
      <c r="C235" s="3">
        <v>4400</v>
      </c>
      <c r="D235" s="288" t="s">
        <v>331</v>
      </c>
      <c r="E235" s="55">
        <v>42000</v>
      </c>
      <c r="F235" s="95"/>
      <c r="G235" s="55">
        <v>18000</v>
      </c>
      <c r="H235" s="95"/>
      <c r="I235" s="359">
        <f t="shared" si="3"/>
        <v>42.857142857142854</v>
      </c>
    </row>
    <row r="236" spans="1:9" ht="18" customHeight="1">
      <c r="A236" s="89"/>
      <c r="B236" s="99"/>
      <c r="C236" s="3">
        <v>4410</v>
      </c>
      <c r="D236" s="288" t="s">
        <v>649</v>
      </c>
      <c r="E236" s="55">
        <v>10595</v>
      </c>
      <c r="F236" s="95"/>
      <c r="G236" s="55">
        <v>5044.32</v>
      </c>
      <c r="H236" s="95"/>
      <c r="I236" s="359">
        <f t="shared" si="3"/>
        <v>47.610382255781026</v>
      </c>
    </row>
    <row r="237" spans="1:9" ht="18" customHeight="1">
      <c r="A237" s="89"/>
      <c r="B237" s="99"/>
      <c r="C237" s="3">
        <v>4421</v>
      </c>
      <c r="D237" s="288" t="s">
        <v>657</v>
      </c>
      <c r="E237" s="55">
        <v>43067.01</v>
      </c>
      <c r="F237" s="95"/>
      <c r="G237" s="55">
        <v>12572.88</v>
      </c>
      <c r="H237" s="95"/>
      <c r="I237" s="359">
        <f t="shared" si="3"/>
        <v>29.193761071409412</v>
      </c>
    </row>
    <row r="238" spans="1:9" ht="17.25" customHeight="1">
      <c r="A238" s="89"/>
      <c r="B238" s="99"/>
      <c r="C238" s="3">
        <v>4430</v>
      </c>
      <c r="D238" s="288" t="s">
        <v>433</v>
      </c>
      <c r="E238" s="55">
        <v>23718</v>
      </c>
      <c r="F238" s="95"/>
      <c r="G238" s="55">
        <v>9967</v>
      </c>
      <c r="H238" s="95"/>
      <c r="I238" s="359">
        <f t="shared" si="3"/>
        <v>42.022936166624504</v>
      </c>
    </row>
    <row r="239" spans="1:9" ht="28.5" customHeight="1">
      <c r="A239" s="89"/>
      <c r="B239" s="99"/>
      <c r="C239" s="3">
        <v>4440</v>
      </c>
      <c r="D239" s="288" t="s">
        <v>647</v>
      </c>
      <c r="E239" s="55">
        <v>1044452</v>
      </c>
      <c r="F239" s="95"/>
      <c r="G239" s="55">
        <v>789406.55</v>
      </c>
      <c r="H239" s="95"/>
      <c r="I239" s="359">
        <f t="shared" si="3"/>
        <v>75.58093143581515</v>
      </c>
    </row>
    <row r="240" spans="1:9" ht="18.75" customHeight="1">
      <c r="A240" s="89"/>
      <c r="B240" s="99"/>
      <c r="C240" s="3">
        <v>4480</v>
      </c>
      <c r="D240" s="288" t="s">
        <v>452</v>
      </c>
      <c r="E240" s="55">
        <v>5664</v>
      </c>
      <c r="F240" s="95"/>
      <c r="G240" s="55">
        <v>2743</v>
      </c>
      <c r="H240" s="95"/>
      <c r="I240" s="359">
        <f t="shared" si="3"/>
        <v>48.42867231638418</v>
      </c>
    </row>
    <row r="241" spans="1:9" ht="18" customHeight="1">
      <c r="A241" s="89"/>
      <c r="B241" s="99"/>
      <c r="C241" s="3">
        <v>4510</v>
      </c>
      <c r="D241" s="288" t="s">
        <v>166</v>
      </c>
      <c r="E241" s="55">
        <v>1950</v>
      </c>
      <c r="F241" s="95"/>
      <c r="G241" s="55">
        <v>0</v>
      </c>
      <c r="H241" s="95"/>
      <c r="I241" s="359"/>
    </row>
    <row r="242" spans="1:9" ht="24" customHeight="1">
      <c r="A242" s="89"/>
      <c r="B242" s="99"/>
      <c r="C242" s="3">
        <v>4700</v>
      </c>
      <c r="D242" s="288" t="s">
        <v>420</v>
      </c>
      <c r="E242" s="55">
        <v>22100</v>
      </c>
      <c r="F242" s="95"/>
      <c r="G242" s="55">
        <v>10119</v>
      </c>
      <c r="H242" s="95"/>
      <c r="I242" s="359">
        <f t="shared" si="3"/>
        <v>45.78733031674208</v>
      </c>
    </row>
    <row r="243" spans="1:9" ht="24.75" customHeight="1">
      <c r="A243" s="89"/>
      <c r="B243" s="99"/>
      <c r="C243" s="3">
        <v>6050</v>
      </c>
      <c r="D243" s="288" t="s">
        <v>611</v>
      </c>
      <c r="E243" s="79">
        <v>1079541</v>
      </c>
      <c r="F243" s="95"/>
      <c r="G243" s="79">
        <v>57331.46</v>
      </c>
      <c r="H243" s="95"/>
      <c r="I243" s="359">
        <f t="shared" si="3"/>
        <v>5.310725576888696</v>
      </c>
    </row>
    <row r="244" spans="1:9" ht="29.25" customHeight="1">
      <c r="A244" s="89"/>
      <c r="B244" s="99"/>
      <c r="C244" s="3">
        <v>6060</v>
      </c>
      <c r="D244" s="288" t="s">
        <v>665</v>
      </c>
      <c r="E244" s="79">
        <v>5500</v>
      </c>
      <c r="F244" s="95"/>
      <c r="G244" s="79">
        <v>5461.2</v>
      </c>
      <c r="H244" s="95"/>
      <c r="I244" s="359">
        <f t="shared" si="3"/>
        <v>99.29454545454544</v>
      </c>
    </row>
    <row r="245" spans="1:9" ht="23.25" customHeight="1">
      <c r="A245" s="118"/>
      <c r="B245" s="49">
        <v>80110</v>
      </c>
      <c r="C245" s="25"/>
      <c r="D245" s="293" t="s">
        <v>551</v>
      </c>
      <c r="E245" s="41">
        <f>SUM(E246:E271)</f>
        <v>22676700</v>
      </c>
      <c r="F245" s="95"/>
      <c r="G245" s="41">
        <f>SUM(G246:G271)</f>
        <v>12054275.480000002</v>
      </c>
      <c r="H245" s="95"/>
      <c r="I245" s="359">
        <f t="shared" si="3"/>
        <v>53.15709728487832</v>
      </c>
    </row>
    <row r="246" spans="1:9" ht="32.25" customHeight="1">
      <c r="A246" s="89"/>
      <c r="B246" s="99"/>
      <c r="C246" s="3">
        <v>2540</v>
      </c>
      <c r="D246" s="288" t="s">
        <v>328</v>
      </c>
      <c r="E246" s="101">
        <v>1013158</v>
      </c>
      <c r="F246" s="95"/>
      <c r="G246" s="101">
        <v>455418.6</v>
      </c>
      <c r="H246" s="95"/>
      <c r="I246" s="359">
        <f t="shared" si="3"/>
        <v>44.95040260255557</v>
      </c>
    </row>
    <row r="247" spans="1:9" ht="28.5" customHeight="1">
      <c r="A247" s="89"/>
      <c r="B247" s="10"/>
      <c r="C247" s="3">
        <v>3020</v>
      </c>
      <c r="D247" s="288" t="s">
        <v>324</v>
      </c>
      <c r="E247" s="55">
        <f>105304-30000</f>
        <v>75304</v>
      </c>
      <c r="F247" s="95"/>
      <c r="G247" s="55">
        <v>14487.1</v>
      </c>
      <c r="H247" s="95"/>
      <c r="I247" s="359">
        <f t="shared" si="3"/>
        <v>19.23815467969829</v>
      </c>
    </row>
    <row r="248" spans="1:9" ht="16.5" customHeight="1">
      <c r="A248" s="89"/>
      <c r="B248" s="10"/>
      <c r="C248" s="3">
        <v>4010</v>
      </c>
      <c r="D248" s="288" t="s">
        <v>643</v>
      </c>
      <c r="E248" s="55">
        <f>14684286+117500</f>
        <v>14801786</v>
      </c>
      <c r="F248" s="95"/>
      <c r="G248" s="55">
        <v>7331457.25</v>
      </c>
      <c r="H248" s="95"/>
      <c r="I248" s="359">
        <f t="shared" si="3"/>
        <v>49.530896136452725</v>
      </c>
    </row>
    <row r="249" spans="1:9" ht="15" customHeight="1">
      <c r="A249" s="89"/>
      <c r="B249" s="10"/>
      <c r="C249" s="3">
        <v>4040</v>
      </c>
      <c r="D249" s="288" t="s">
        <v>644</v>
      </c>
      <c r="E249" s="55">
        <v>1256976</v>
      </c>
      <c r="F249" s="95"/>
      <c r="G249" s="55">
        <v>1214610.09</v>
      </c>
      <c r="H249" s="95"/>
      <c r="I249" s="359">
        <f t="shared" si="3"/>
        <v>96.62953707946691</v>
      </c>
    </row>
    <row r="250" spans="1:9" ht="15" customHeight="1">
      <c r="A250" s="89"/>
      <c r="B250" s="10"/>
      <c r="C250" s="3">
        <v>4110</v>
      </c>
      <c r="D250" s="288" t="s">
        <v>645</v>
      </c>
      <c r="E250" s="55">
        <f>2411470+21000</f>
        <v>2432470</v>
      </c>
      <c r="F250" s="95"/>
      <c r="G250" s="55">
        <v>1410856.25</v>
      </c>
      <c r="H250" s="95"/>
      <c r="I250" s="359">
        <f t="shared" si="3"/>
        <v>58.00097226276172</v>
      </c>
    </row>
    <row r="251" spans="1:9" ht="18.75" customHeight="1">
      <c r="A251" s="89"/>
      <c r="B251" s="10"/>
      <c r="C251" s="3">
        <v>4120</v>
      </c>
      <c r="D251" s="288" t="s">
        <v>646</v>
      </c>
      <c r="E251" s="55">
        <f>387104+4000</f>
        <v>391104</v>
      </c>
      <c r="F251" s="95"/>
      <c r="G251" s="55">
        <v>167261.32</v>
      </c>
      <c r="H251" s="95"/>
      <c r="I251" s="359">
        <f t="shared" si="3"/>
        <v>42.766455981017835</v>
      </c>
    </row>
    <row r="252" spans="1:9" ht="27" customHeight="1">
      <c r="A252" s="89"/>
      <c r="B252" s="10"/>
      <c r="C252" s="3">
        <v>4140</v>
      </c>
      <c r="D252" s="288" t="s">
        <v>357</v>
      </c>
      <c r="E252" s="55">
        <v>16000</v>
      </c>
      <c r="F252" s="95"/>
      <c r="G252" s="55">
        <v>7174</v>
      </c>
      <c r="H252" s="95"/>
      <c r="I252" s="359">
        <f t="shared" si="3"/>
        <v>44.837500000000006</v>
      </c>
    </row>
    <row r="253" spans="1:9" ht="18.75" customHeight="1">
      <c r="A253" s="89"/>
      <c r="B253" s="10"/>
      <c r="C253" s="3">
        <v>4170</v>
      </c>
      <c r="D253" s="288" t="s">
        <v>652</v>
      </c>
      <c r="E253" s="55">
        <v>42850</v>
      </c>
      <c r="F253" s="95"/>
      <c r="G253" s="55">
        <v>11327.24</v>
      </c>
      <c r="H253" s="95"/>
      <c r="I253" s="359">
        <f t="shared" si="3"/>
        <v>26.43463243873979</v>
      </c>
    </row>
    <row r="254" spans="1:9" ht="18" customHeight="1">
      <c r="A254" s="89"/>
      <c r="B254" s="10"/>
      <c r="C254" s="3">
        <v>4210</v>
      </c>
      <c r="D254" s="288" t="s">
        <v>602</v>
      </c>
      <c r="E254" s="55">
        <v>212670</v>
      </c>
      <c r="F254" s="95"/>
      <c r="G254" s="55">
        <v>126269.61</v>
      </c>
      <c r="H254" s="95"/>
      <c r="I254" s="359">
        <f t="shared" si="3"/>
        <v>59.37349414585979</v>
      </c>
    </row>
    <row r="255" spans="1:9" ht="18" customHeight="1">
      <c r="A255" s="89"/>
      <c r="B255" s="10"/>
      <c r="C255" s="3">
        <v>4220</v>
      </c>
      <c r="D255" s="288" t="s">
        <v>163</v>
      </c>
      <c r="E255" s="55">
        <v>1200</v>
      </c>
      <c r="F255" s="95"/>
      <c r="G255" s="55">
        <v>619.66</v>
      </c>
      <c r="H255" s="95"/>
      <c r="I255" s="359">
        <f t="shared" si="3"/>
        <v>51.63833333333333</v>
      </c>
    </row>
    <row r="256" spans="1:9" ht="23.25" customHeight="1">
      <c r="A256" s="89"/>
      <c r="B256" s="10"/>
      <c r="C256" s="3">
        <v>4240</v>
      </c>
      <c r="D256" s="288" t="s">
        <v>358</v>
      </c>
      <c r="E256" s="55">
        <v>70100</v>
      </c>
      <c r="F256" s="95"/>
      <c r="G256" s="55">
        <v>29549.69</v>
      </c>
      <c r="H256" s="95"/>
      <c r="I256" s="359">
        <f t="shared" si="3"/>
        <v>42.153623395149786</v>
      </c>
    </row>
    <row r="257" spans="1:9" ht="15" customHeight="1">
      <c r="A257" s="89"/>
      <c r="B257" s="10"/>
      <c r="C257" s="3">
        <v>4260</v>
      </c>
      <c r="D257" s="288" t="s">
        <v>660</v>
      </c>
      <c r="E257" s="55">
        <v>703438</v>
      </c>
      <c r="F257" s="95"/>
      <c r="G257" s="55">
        <v>368326.24</v>
      </c>
      <c r="H257" s="95"/>
      <c r="I257" s="359">
        <f t="shared" si="3"/>
        <v>52.360867624438825</v>
      </c>
    </row>
    <row r="258" spans="1:9" ht="15" customHeight="1">
      <c r="A258" s="89"/>
      <c r="B258" s="10"/>
      <c r="C258" s="3">
        <v>4270</v>
      </c>
      <c r="D258" s="288" t="s">
        <v>603</v>
      </c>
      <c r="E258" s="55">
        <v>228200</v>
      </c>
      <c r="F258" s="95"/>
      <c r="G258" s="55">
        <v>25728.22</v>
      </c>
      <c r="H258" s="95"/>
      <c r="I258" s="359">
        <f t="shared" si="3"/>
        <v>11.27441717791411</v>
      </c>
    </row>
    <row r="259" spans="1:9" ht="15" customHeight="1">
      <c r="A259" s="89"/>
      <c r="B259" s="10"/>
      <c r="C259" s="3">
        <v>4280</v>
      </c>
      <c r="D259" s="288" t="s">
        <v>326</v>
      </c>
      <c r="E259" s="55">
        <f>18090-3000</f>
        <v>15090</v>
      </c>
      <c r="F259" s="95"/>
      <c r="G259" s="55">
        <v>2798</v>
      </c>
      <c r="H259" s="95"/>
      <c r="I259" s="359">
        <f t="shared" si="3"/>
        <v>18.54208084824387</v>
      </c>
    </row>
    <row r="260" spans="1:9" ht="15" customHeight="1">
      <c r="A260" s="89"/>
      <c r="B260" s="10"/>
      <c r="C260" s="3">
        <v>4300</v>
      </c>
      <c r="D260" s="288" t="s">
        <v>599</v>
      </c>
      <c r="E260" s="55">
        <v>310968</v>
      </c>
      <c r="F260" s="95"/>
      <c r="G260" s="55">
        <v>123232.55</v>
      </c>
      <c r="H260" s="95"/>
      <c r="I260" s="359">
        <f t="shared" si="3"/>
        <v>39.628691698181164</v>
      </c>
    </row>
    <row r="261" spans="1:9" ht="15" customHeight="1">
      <c r="A261" s="89"/>
      <c r="B261" s="10"/>
      <c r="C261" s="3">
        <v>4350</v>
      </c>
      <c r="D261" s="288" t="s">
        <v>655</v>
      </c>
      <c r="E261" s="55">
        <v>7851</v>
      </c>
      <c r="F261" s="95"/>
      <c r="G261" s="55">
        <v>2972.65</v>
      </c>
      <c r="H261" s="95"/>
      <c r="I261" s="359">
        <f t="shared" si="3"/>
        <v>37.86332951216406</v>
      </c>
    </row>
    <row r="262" spans="1:9" ht="42.75" customHeight="1">
      <c r="A262" s="89"/>
      <c r="B262" s="10"/>
      <c r="C262" s="3">
        <v>4360</v>
      </c>
      <c r="D262" s="288" t="s">
        <v>390</v>
      </c>
      <c r="E262" s="55">
        <v>3650</v>
      </c>
      <c r="F262" s="95"/>
      <c r="G262" s="55">
        <v>1067.55</v>
      </c>
      <c r="H262" s="95"/>
      <c r="I262" s="359">
        <f t="shared" si="3"/>
        <v>29.247945205479454</v>
      </c>
    </row>
    <row r="263" spans="1:9" ht="35.25" customHeight="1">
      <c r="A263" s="89"/>
      <c r="B263" s="10"/>
      <c r="C263" s="3">
        <v>4370</v>
      </c>
      <c r="D263" s="288" t="s">
        <v>389</v>
      </c>
      <c r="E263" s="55">
        <f>27000-4000</f>
        <v>23000</v>
      </c>
      <c r="F263" s="95"/>
      <c r="G263" s="55">
        <v>9536.57</v>
      </c>
      <c r="H263" s="95"/>
      <c r="I263" s="359">
        <f t="shared" si="3"/>
        <v>41.46334782608695</v>
      </c>
    </row>
    <row r="264" spans="1:9" ht="27.75" customHeight="1">
      <c r="A264" s="89"/>
      <c r="B264" s="10"/>
      <c r="C264" s="3">
        <v>4390</v>
      </c>
      <c r="D264" s="288" t="s">
        <v>555</v>
      </c>
      <c r="E264" s="55">
        <v>1400</v>
      </c>
      <c r="F264" s="95"/>
      <c r="G264" s="55">
        <v>0</v>
      </c>
      <c r="H264" s="95"/>
      <c r="I264" s="359"/>
    </row>
    <row r="265" spans="1:9" ht="19.5" customHeight="1">
      <c r="A265" s="89"/>
      <c r="B265" s="10"/>
      <c r="C265" s="3">
        <v>4410</v>
      </c>
      <c r="D265" s="288" t="s">
        <v>649</v>
      </c>
      <c r="E265" s="55">
        <f>17600-5600</f>
        <v>12000</v>
      </c>
      <c r="F265" s="95"/>
      <c r="G265" s="55">
        <v>4810.04</v>
      </c>
      <c r="H265" s="95"/>
      <c r="I265" s="359">
        <f t="shared" si="3"/>
        <v>40.083666666666666</v>
      </c>
    </row>
    <row r="266" spans="1:9" ht="18.75" customHeight="1">
      <c r="A266" s="89"/>
      <c r="B266" s="10"/>
      <c r="C266" s="3">
        <v>4430</v>
      </c>
      <c r="D266" s="288" t="s">
        <v>433</v>
      </c>
      <c r="E266" s="55">
        <v>28340</v>
      </c>
      <c r="F266" s="95"/>
      <c r="G266" s="55">
        <v>12724</v>
      </c>
      <c r="H266" s="95"/>
      <c r="I266" s="359">
        <f t="shared" si="3"/>
        <v>44.89767113620325</v>
      </c>
    </row>
    <row r="267" spans="1:9" ht="25.5" customHeight="1">
      <c r="A267" s="89"/>
      <c r="B267" s="10"/>
      <c r="C267" s="3">
        <v>4440</v>
      </c>
      <c r="D267" s="288" t="s">
        <v>647</v>
      </c>
      <c r="E267" s="55">
        <v>955265</v>
      </c>
      <c r="F267" s="95"/>
      <c r="G267" s="55">
        <v>720911.75</v>
      </c>
      <c r="H267" s="95"/>
      <c r="I267" s="359">
        <f t="shared" si="3"/>
        <v>75.46720020099134</v>
      </c>
    </row>
    <row r="268" spans="1:9" ht="20.25" customHeight="1">
      <c r="A268" s="89"/>
      <c r="B268" s="10"/>
      <c r="C268" s="3">
        <v>4480</v>
      </c>
      <c r="D268" s="288" t="s">
        <v>452</v>
      </c>
      <c r="E268" s="55">
        <v>2880</v>
      </c>
      <c r="F268" s="95"/>
      <c r="G268" s="55">
        <v>488</v>
      </c>
      <c r="H268" s="95"/>
      <c r="I268" s="359">
        <f t="shared" si="3"/>
        <v>16.944444444444446</v>
      </c>
    </row>
    <row r="269" spans="1:9" ht="24" customHeight="1">
      <c r="A269" s="89"/>
      <c r="B269" s="10"/>
      <c r="C269" s="3">
        <v>4700</v>
      </c>
      <c r="D269" s="288" t="s">
        <v>420</v>
      </c>
      <c r="E269" s="55">
        <f>21200-11200</f>
        <v>10000</v>
      </c>
      <c r="F269" s="95"/>
      <c r="G269" s="55">
        <v>6649.1</v>
      </c>
      <c r="H269" s="95"/>
      <c r="I269" s="359">
        <f t="shared" si="3"/>
        <v>66.491</v>
      </c>
    </row>
    <row r="270" spans="1:9" ht="24" customHeight="1">
      <c r="A270" s="89"/>
      <c r="B270" s="10"/>
      <c r="C270" s="3">
        <v>6050</v>
      </c>
      <c r="D270" s="288" t="s">
        <v>611</v>
      </c>
      <c r="E270" s="55">
        <v>55000</v>
      </c>
      <c r="F270" s="95"/>
      <c r="G270" s="55">
        <v>0</v>
      </c>
      <c r="H270" s="95"/>
      <c r="I270" s="359"/>
    </row>
    <row r="271" spans="1:9" ht="29.25" customHeight="1">
      <c r="A271" s="89"/>
      <c r="B271" s="10"/>
      <c r="C271" s="3">
        <v>6060</v>
      </c>
      <c r="D271" s="288" t="s">
        <v>665</v>
      </c>
      <c r="E271" s="55">
        <v>6000</v>
      </c>
      <c r="F271" s="95"/>
      <c r="G271" s="55">
        <v>6000</v>
      </c>
      <c r="H271" s="95"/>
      <c r="I271" s="359">
        <f aca="true" t="shared" si="4" ref="I271:I333">G271/E271*100</f>
        <v>100</v>
      </c>
    </row>
    <row r="272" spans="1:9" ht="24" customHeight="1">
      <c r="A272" s="89"/>
      <c r="B272" s="24">
        <v>80113</v>
      </c>
      <c r="C272" s="25"/>
      <c r="D272" s="293" t="s">
        <v>164</v>
      </c>
      <c r="E272" s="106">
        <f>SUM(E273:E273)</f>
        <v>120380</v>
      </c>
      <c r="F272" s="95"/>
      <c r="G272" s="106">
        <f>SUM(G273:G273)</f>
        <v>54802.59</v>
      </c>
      <c r="H272" s="95"/>
      <c r="I272" s="359">
        <f t="shared" si="4"/>
        <v>45.52466356537631</v>
      </c>
    </row>
    <row r="273" spans="1:9" ht="19.5" customHeight="1">
      <c r="A273" s="89"/>
      <c r="B273" s="10"/>
      <c r="C273" s="3">
        <v>4300</v>
      </c>
      <c r="D273" s="288" t="s">
        <v>599</v>
      </c>
      <c r="E273" s="55">
        <v>120380</v>
      </c>
      <c r="F273" s="95"/>
      <c r="G273" s="55">
        <v>54802.59</v>
      </c>
      <c r="H273" s="95"/>
      <c r="I273" s="359">
        <f t="shared" si="4"/>
        <v>45.52466356537631</v>
      </c>
    </row>
    <row r="274" spans="1:9" ht="26.25" customHeight="1">
      <c r="A274" s="89"/>
      <c r="B274" s="49">
        <v>80146</v>
      </c>
      <c r="C274" s="3"/>
      <c r="D274" s="293" t="s">
        <v>591</v>
      </c>
      <c r="E274" s="106">
        <f>SUM(E275:E285)</f>
        <v>444772</v>
      </c>
      <c r="F274" s="95"/>
      <c r="G274" s="106">
        <f>SUM(G275:G285)</f>
        <v>175684.64</v>
      </c>
      <c r="H274" s="95"/>
      <c r="I274" s="359">
        <f t="shared" si="4"/>
        <v>39.49993254971086</v>
      </c>
    </row>
    <row r="275" spans="1:9" ht="24.75" customHeight="1">
      <c r="A275" s="89"/>
      <c r="B275" s="86"/>
      <c r="C275" s="3">
        <v>3020</v>
      </c>
      <c r="D275" s="288" t="s">
        <v>324</v>
      </c>
      <c r="E275" s="101">
        <v>450</v>
      </c>
      <c r="F275" s="95"/>
      <c r="G275" s="101">
        <v>450</v>
      </c>
      <c r="H275" s="95"/>
      <c r="I275" s="359">
        <f t="shared" si="4"/>
        <v>100</v>
      </c>
    </row>
    <row r="276" spans="1:9" ht="19.5" customHeight="1">
      <c r="A276" s="89"/>
      <c r="B276" s="86"/>
      <c r="C276" s="3">
        <v>4010</v>
      </c>
      <c r="D276" s="288" t="s">
        <v>643</v>
      </c>
      <c r="E276" s="55">
        <v>75576</v>
      </c>
      <c r="F276" s="95"/>
      <c r="G276" s="55">
        <v>27023.8</v>
      </c>
      <c r="H276" s="95"/>
      <c r="I276" s="359">
        <f t="shared" si="4"/>
        <v>35.757118662009105</v>
      </c>
    </row>
    <row r="277" spans="1:9" ht="15" customHeight="1">
      <c r="A277" s="89"/>
      <c r="B277" s="86"/>
      <c r="C277" s="3">
        <v>4110</v>
      </c>
      <c r="D277" s="288" t="s">
        <v>645</v>
      </c>
      <c r="E277" s="55">
        <v>13274</v>
      </c>
      <c r="F277" s="95"/>
      <c r="G277" s="55">
        <v>4576.5</v>
      </c>
      <c r="H277" s="95"/>
      <c r="I277" s="359">
        <f t="shared" si="4"/>
        <v>34.47717342172668</v>
      </c>
    </row>
    <row r="278" spans="1:9" ht="15" customHeight="1">
      <c r="A278" s="89"/>
      <c r="B278" s="86"/>
      <c r="C278" s="3">
        <v>4120</v>
      </c>
      <c r="D278" s="288" t="s">
        <v>646</v>
      </c>
      <c r="E278" s="55">
        <v>1850</v>
      </c>
      <c r="F278" s="95"/>
      <c r="G278" s="55">
        <v>534.37</v>
      </c>
      <c r="H278" s="95"/>
      <c r="I278" s="359">
        <f t="shared" si="4"/>
        <v>28.884864864864866</v>
      </c>
    </row>
    <row r="279" spans="1:9" ht="15" customHeight="1">
      <c r="A279" s="89"/>
      <c r="B279" s="86"/>
      <c r="C279" s="3">
        <v>4170</v>
      </c>
      <c r="D279" s="288" t="s">
        <v>652</v>
      </c>
      <c r="E279" s="55">
        <v>10000</v>
      </c>
      <c r="F279" s="95"/>
      <c r="G279" s="55">
        <v>0</v>
      </c>
      <c r="H279" s="95"/>
      <c r="I279" s="359"/>
    </row>
    <row r="280" spans="1:9" ht="15" customHeight="1">
      <c r="A280" s="89"/>
      <c r="B280" s="86"/>
      <c r="C280" s="3">
        <v>4210</v>
      </c>
      <c r="D280" s="288" t="s">
        <v>602</v>
      </c>
      <c r="E280" s="55">
        <v>8743</v>
      </c>
      <c r="F280" s="95"/>
      <c r="G280" s="55">
        <f>2394.01+66.79</f>
        <v>2460.8</v>
      </c>
      <c r="H280" s="95"/>
      <c r="I280" s="359">
        <f t="shared" si="4"/>
        <v>28.145945327690725</v>
      </c>
    </row>
    <row r="281" spans="1:9" ht="26.25" customHeight="1">
      <c r="A281" s="89"/>
      <c r="B281" s="86"/>
      <c r="C281" s="3">
        <v>4240</v>
      </c>
      <c r="D281" s="288" t="s">
        <v>358</v>
      </c>
      <c r="E281" s="55">
        <v>1070</v>
      </c>
      <c r="F281" s="95"/>
      <c r="G281" s="55">
        <v>536</v>
      </c>
      <c r="H281" s="95"/>
      <c r="I281" s="359">
        <f t="shared" si="4"/>
        <v>50.09345794392524</v>
      </c>
    </row>
    <row r="282" spans="1:9" ht="15" customHeight="1">
      <c r="A282" s="89"/>
      <c r="B282" s="86"/>
      <c r="C282" s="3">
        <v>4300</v>
      </c>
      <c r="D282" s="288" t="s">
        <v>599</v>
      </c>
      <c r="E282" s="55">
        <v>75300</v>
      </c>
      <c r="F282" s="95"/>
      <c r="G282" s="55">
        <f>31498.25+1590</f>
        <v>33088.25</v>
      </c>
      <c r="H282" s="95"/>
      <c r="I282" s="359">
        <f t="shared" si="4"/>
        <v>43.941899070385126</v>
      </c>
    </row>
    <row r="283" spans="1:9" ht="15" customHeight="1">
      <c r="A283" s="89"/>
      <c r="B283" s="86"/>
      <c r="C283" s="3">
        <v>4410</v>
      </c>
      <c r="D283" s="288" t="s">
        <v>649</v>
      </c>
      <c r="E283" s="55">
        <v>26335</v>
      </c>
      <c r="F283" s="95"/>
      <c r="G283" s="55">
        <v>7971.09</v>
      </c>
      <c r="H283" s="95"/>
      <c r="I283" s="359">
        <f t="shared" si="4"/>
        <v>30.268046326181885</v>
      </c>
    </row>
    <row r="284" spans="1:9" ht="15" customHeight="1">
      <c r="A284" s="89"/>
      <c r="B284" s="86"/>
      <c r="C284" s="3">
        <v>4420</v>
      </c>
      <c r="D284" s="288" t="s">
        <v>657</v>
      </c>
      <c r="E284" s="55">
        <v>6500</v>
      </c>
      <c r="F284" s="95"/>
      <c r="G284" s="55">
        <v>0</v>
      </c>
      <c r="H284" s="95"/>
      <c r="I284" s="359"/>
    </row>
    <row r="285" spans="1:9" ht="25.5" customHeight="1">
      <c r="A285" s="89"/>
      <c r="B285" s="86"/>
      <c r="C285" s="3">
        <v>4700</v>
      </c>
      <c r="D285" s="288" t="s">
        <v>420</v>
      </c>
      <c r="E285" s="55">
        <v>225674</v>
      </c>
      <c r="F285" s="95"/>
      <c r="G285" s="55">
        <f>97554.83+1489</f>
        <v>99043.83</v>
      </c>
      <c r="H285" s="95"/>
      <c r="I285" s="359">
        <f t="shared" si="4"/>
        <v>43.88801102475252</v>
      </c>
    </row>
    <row r="286" spans="1:9" ht="21.75" customHeight="1">
      <c r="A286" s="89"/>
      <c r="B286" s="25">
        <v>80148</v>
      </c>
      <c r="C286" s="25"/>
      <c r="D286" s="293" t="s">
        <v>407</v>
      </c>
      <c r="E286" s="106">
        <f>SUM(E287:E304)</f>
        <v>3949787</v>
      </c>
      <c r="F286" s="95"/>
      <c r="G286" s="106">
        <f>SUM(G287:G304)</f>
        <v>1970119.0100000002</v>
      </c>
      <c r="H286" s="95"/>
      <c r="I286" s="359">
        <f t="shared" si="4"/>
        <v>49.87912031712091</v>
      </c>
    </row>
    <row r="287" spans="1:9" ht="25.5" customHeight="1">
      <c r="A287" s="89"/>
      <c r="B287" s="10"/>
      <c r="C287" s="3">
        <v>3020</v>
      </c>
      <c r="D287" s="288" t="s">
        <v>324</v>
      </c>
      <c r="E287" s="101">
        <v>21710</v>
      </c>
      <c r="F287" s="95"/>
      <c r="G287" s="101">
        <v>4136.1</v>
      </c>
      <c r="H287" s="95"/>
      <c r="I287" s="359">
        <f t="shared" si="4"/>
        <v>19.051589129433445</v>
      </c>
    </row>
    <row r="288" spans="1:9" ht="19.5" customHeight="1">
      <c r="A288" s="89"/>
      <c r="B288" s="10"/>
      <c r="C288" s="3">
        <v>4010</v>
      </c>
      <c r="D288" s="288" t="s">
        <v>643</v>
      </c>
      <c r="E288" s="55">
        <v>1244278</v>
      </c>
      <c r="F288" s="95"/>
      <c r="G288" s="55">
        <v>551056.41</v>
      </c>
      <c r="H288" s="95"/>
      <c r="I288" s="359">
        <f t="shared" si="4"/>
        <v>44.2872420793424</v>
      </c>
    </row>
    <row r="289" spans="1:9" ht="15" customHeight="1">
      <c r="A289" s="89"/>
      <c r="B289" s="10"/>
      <c r="C289" s="3">
        <v>4040</v>
      </c>
      <c r="D289" s="288" t="s">
        <v>644</v>
      </c>
      <c r="E289" s="55">
        <v>97908</v>
      </c>
      <c r="F289" s="95"/>
      <c r="G289" s="55">
        <v>92840.98</v>
      </c>
      <c r="H289" s="95"/>
      <c r="I289" s="359">
        <f t="shared" si="4"/>
        <v>94.82471299587367</v>
      </c>
    </row>
    <row r="290" spans="1:9" ht="15" customHeight="1">
      <c r="A290" s="89"/>
      <c r="B290" s="10"/>
      <c r="C290" s="3">
        <v>4110</v>
      </c>
      <c r="D290" s="288" t="s">
        <v>645</v>
      </c>
      <c r="E290" s="55">
        <v>218635</v>
      </c>
      <c r="F290" s="95"/>
      <c r="G290" s="55">
        <v>109812.33</v>
      </c>
      <c r="H290" s="95"/>
      <c r="I290" s="359">
        <f t="shared" si="4"/>
        <v>50.226326983328384</v>
      </c>
    </row>
    <row r="291" spans="1:9" ht="15" customHeight="1">
      <c r="A291" s="89"/>
      <c r="B291" s="10"/>
      <c r="C291" s="3">
        <v>4120</v>
      </c>
      <c r="D291" s="288" t="s">
        <v>646</v>
      </c>
      <c r="E291" s="55">
        <v>31090</v>
      </c>
      <c r="F291" s="95"/>
      <c r="G291" s="55">
        <v>10999.69</v>
      </c>
      <c r="H291" s="95"/>
      <c r="I291" s="359">
        <f t="shared" si="4"/>
        <v>35.380154390479255</v>
      </c>
    </row>
    <row r="292" spans="1:9" ht="15" customHeight="1">
      <c r="A292" s="89"/>
      <c r="B292" s="10"/>
      <c r="C292" s="3">
        <v>4170</v>
      </c>
      <c r="D292" s="288" t="s">
        <v>652</v>
      </c>
      <c r="E292" s="55">
        <v>5187</v>
      </c>
      <c r="F292" s="95"/>
      <c r="G292" s="55">
        <v>1502.28</v>
      </c>
      <c r="H292" s="95"/>
      <c r="I292" s="359">
        <f t="shared" si="4"/>
        <v>28.962406015037594</v>
      </c>
    </row>
    <row r="293" spans="1:9" ht="15" customHeight="1">
      <c r="A293" s="89"/>
      <c r="B293" s="10"/>
      <c r="C293" s="3">
        <v>4210</v>
      </c>
      <c r="D293" s="288" t="s">
        <v>602</v>
      </c>
      <c r="E293" s="55">
        <v>63110</v>
      </c>
      <c r="F293" s="95"/>
      <c r="G293" s="55">
        <v>24478.1</v>
      </c>
      <c r="H293" s="95"/>
      <c r="I293" s="359">
        <f t="shared" si="4"/>
        <v>38.78640469022342</v>
      </c>
    </row>
    <row r="294" spans="1:9" ht="15" customHeight="1">
      <c r="A294" s="89"/>
      <c r="B294" s="10"/>
      <c r="C294" s="3">
        <v>4220</v>
      </c>
      <c r="D294" s="288" t="s">
        <v>163</v>
      </c>
      <c r="E294" s="55">
        <v>1703151</v>
      </c>
      <c r="F294" s="95"/>
      <c r="G294" s="55">
        <v>908594.54</v>
      </c>
      <c r="H294" s="95"/>
      <c r="I294" s="359">
        <f t="shared" si="4"/>
        <v>53.34785582722847</v>
      </c>
    </row>
    <row r="295" spans="1:9" ht="15" customHeight="1">
      <c r="A295" s="89"/>
      <c r="B295" s="10"/>
      <c r="C295" s="3">
        <v>4260</v>
      </c>
      <c r="D295" s="288" t="s">
        <v>660</v>
      </c>
      <c r="E295" s="55">
        <v>309777</v>
      </c>
      <c r="F295" s="95"/>
      <c r="G295" s="55">
        <v>136630.36</v>
      </c>
      <c r="H295" s="95"/>
      <c r="I295" s="359">
        <f t="shared" si="4"/>
        <v>44.10603756896089</v>
      </c>
    </row>
    <row r="296" spans="1:9" ht="15" customHeight="1">
      <c r="A296" s="89"/>
      <c r="B296" s="10"/>
      <c r="C296" s="3">
        <v>4270</v>
      </c>
      <c r="D296" s="288" t="s">
        <v>603</v>
      </c>
      <c r="E296" s="55">
        <v>75481</v>
      </c>
      <c r="F296" s="95"/>
      <c r="G296" s="55">
        <v>38760.61</v>
      </c>
      <c r="H296" s="95"/>
      <c r="I296" s="359">
        <f t="shared" si="4"/>
        <v>51.35147918019104</v>
      </c>
    </row>
    <row r="297" spans="1:9" ht="15" customHeight="1">
      <c r="A297" s="89"/>
      <c r="B297" s="10"/>
      <c r="C297" s="3">
        <v>4280</v>
      </c>
      <c r="D297" s="288" t="s">
        <v>326</v>
      </c>
      <c r="E297" s="55">
        <v>3600</v>
      </c>
      <c r="F297" s="95"/>
      <c r="G297" s="55">
        <v>647</v>
      </c>
      <c r="H297" s="95"/>
      <c r="I297" s="359">
        <f t="shared" si="4"/>
        <v>17.97222222222222</v>
      </c>
    </row>
    <row r="298" spans="1:9" ht="15" customHeight="1">
      <c r="A298" s="89"/>
      <c r="B298" s="10"/>
      <c r="C298" s="3">
        <v>4300</v>
      </c>
      <c r="D298" s="288" t="s">
        <v>599</v>
      </c>
      <c r="E298" s="55">
        <v>110063</v>
      </c>
      <c r="F298" s="95"/>
      <c r="G298" s="55">
        <v>41395.61</v>
      </c>
      <c r="H298" s="95"/>
      <c r="I298" s="359">
        <f t="shared" si="4"/>
        <v>37.610831978048935</v>
      </c>
    </row>
    <row r="299" spans="1:9" ht="27" customHeight="1">
      <c r="A299" s="89"/>
      <c r="B299" s="10"/>
      <c r="C299" s="3">
        <v>4390</v>
      </c>
      <c r="D299" s="288" t="s">
        <v>555</v>
      </c>
      <c r="E299" s="55">
        <v>900</v>
      </c>
      <c r="F299" s="95"/>
      <c r="G299" s="55">
        <v>0</v>
      </c>
      <c r="H299" s="95"/>
      <c r="I299" s="359"/>
    </row>
    <row r="300" spans="1:9" ht="15.75" customHeight="1">
      <c r="A300" s="89"/>
      <c r="B300" s="10"/>
      <c r="C300" s="3">
        <v>4410</v>
      </c>
      <c r="D300" s="288" t="s">
        <v>649</v>
      </c>
      <c r="E300" s="55">
        <v>100</v>
      </c>
      <c r="F300" s="95"/>
      <c r="G300" s="55">
        <v>0</v>
      </c>
      <c r="H300" s="95"/>
      <c r="I300" s="359"/>
    </row>
    <row r="301" spans="1:9" ht="15.75" customHeight="1">
      <c r="A301" s="89"/>
      <c r="B301" s="10"/>
      <c r="C301" s="3">
        <v>4430</v>
      </c>
      <c r="D301" s="288" t="s">
        <v>433</v>
      </c>
      <c r="E301" s="55">
        <v>520</v>
      </c>
      <c r="F301" s="95"/>
      <c r="G301" s="55">
        <v>474</v>
      </c>
      <c r="H301" s="95"/>
      <c r="I301" s="359">
        <f t="shared" si="4"/>
        <v>91.15384615384615</v>
      </c>
    </row>
    <row r="302" spans="1:9" ht="26.25" customHeight="1">
      <c r="A302" s="89"/>
      <c r="B302" s="10"/>
      <c r="C302" s="3">
        <v>4440</v>
      </c>
      <c r="D302" s="288" t="s">
        <v>647</v>
      </c>
      <c r="E302" s="55">
        <v>54777</v>
      </c>
      <c r="F302" s="95"/>
      <c r="G302" s="55">
        <v>42021</v>
      </c>
      <c r="H302" s="95"/>
      <c r="I302" s="359">
        <f t="shared" si="4"/>
        <v>76.71285393504573</v>
      </c>
    </row>
    <row r="303" spans="1:9" ht="30" customHeight="1">
      <c r="A303" s="89"/>
      <c r="B303" s="10"/>
      <c r="C303" s="3">
        <v>4700</v>
      </c>
      <c r="D303" s="288" t="s">
        <v>420</v>
      </c>
      <c r="E303" s="79">
        <v>3000</v>
      </c>
      <c r="F303" s="95"/>
      <c r="G303" s="79">
        <v>270</v>
      </c>
      <c r="H303" s="95"/>
      <c r="I303" s="359">
        <f t="shared" si="4"/>
        <v>9</v>
      </c>
    </row>
    <row r="304" spans="1:9" ht="30" customHeight="1">
      <c r="A304" s="89"/>
      <c r="B304" s="10"/>
      <c r="C304" s="3">
        <v>6060</v>
      </c>
      <c r="D304" s="288" t="s">
        <v>665</v>
      </c>
      <c r="E304" s="303">
        <v>6500</v>
      </c>
      <c r="F304" s="95"/>
      <c r="G304" s="303">
        <v>6500</v>
      </c>
      <c r="H304" s="95"/>
      <c r="I304" s="359">
        <f t="shared" si="4"/>
        <v>100</v>
      </c>
    </row>
    <row r="305" spans="1:9" ht="22.5" customHeight="1">
      <c r="A305" s="118"/>
      <c r="B305" s="110">
        <v>80195</v>
      </c>
      <c r="C305" s="25"/>
      <c r="D305" s="293" t="s">
        <v>544</v>
      </c>
      <c r="E305" s="174">
        <f>SUM(E306:E308)</f>
        <v>6484045</v>
      </c>
      <c r="F305" s="95"/>
      <c r="G305" s="174">
        <f>SUM(G306:G308)</f>
        <v>2835420.93</v>
      </c>
      <c r="H305" s="95"/>
      <c r="I305" s="359">
        <f t="shared" si="4"/>
        <v>43.729198825733015</v>
      </c>
    </row>
    <row r="306" spans="1:9" ht="22.5" customHeight="1">
      <c r="A306" s="120"/>
      <c r="B306" s="109"/>
      <c r="C306" s="3">
        <v>4300</v>
      </c>
      <c r="D306" s="288" t="s">
        <v>599</v>
      </c>
      <c r="E306" s="162">
        <v>6700</v>
      </c>
      <c r="F306" s="95"/>
      <c r="G306" s="162">
        <v>0</v>
      </c>
      <c r="H306" s="95"/>
      <c r="I306" s="359"/>
    </row>
    <row r="307" spans="1:9" ht="25.5" customHeight="1">
      <c r="A307" s="120"/>
      <c r="B307" s="109"/>
      <c r="C307" s="9">
        <v>4440</v>
      </c>
      <c r="D307" s="288" t="s">
        <v>647</v>
      </c>
      <c r="E307" s="162">
        <v>801429</v>
      </c>
      <c r="F307" s="95"/>
      <c r="G307" s="162">
        <v>601074</v>
      </c>
      <c r="H307" s="95"/>
      <c r="I307" s="359">
        <f t="shared" si="4"/>
        <v>75.00028074851298</v>
      </c>
    </row>
    <row r="308" spans="1:25" s="93" customFormat="1" ht="26.25" customHeight="1">
      <c r="A308" s="17"/>
      <c r="B308" s="2"/>
      <c r="C308" s="3">
        <v>6050</v>
      </c>
      <c r="D308" s="288" t="s">
        <v>611</v>
      </c>
      <c r="E308" s="55">
        <v>5675916</v>
      </c>
      <c r="F308" s="97"/>
      <c r="G308" s="55">
        <v>2234346.93</v>
      </c>
      <c r="H308" s="97"/>
      <c r="I308" s="359">
        <f t="shared" si="4"/>
        <v>39.365398113714164</v>
      </c>
      <c r="J308" s="59"/>
      <c r="K308" s="59"/>
      <c r="L308" s="263"/>
      <c r="M308" s="59"/>
      <c r="N308" s="59"/>
      <c r="O308" s="59"/>
      <c r="P308" s="59"/>
      <c r="Q308" s="59"/>
      <c r="R308" s="59"/>
      <c r="S308" s="59"/>
      <c r="T308" s="253"/>
      <c r="U308" s="253"/>
      <c r="V308" s="253"/>
      <c r="W308" s="253"/>
      <c r="X308" s="253"/>
      <c r="Y308" s="253"/>
    </row>
    <row r="309" spans="1:9" ht="21" customHeight="1">
      <c r="A309" s="64">
        <v>851</v>
      </c>
      <c r="B309" s="74"/>
      <c r="C309" s="12"/>
      <c r="D309" s="292" t="s">
        <v>409</v>
      </c>
      <c r="E309" s="36">
        <f>E310+E312+E316+E336+E357</f>
        <v>2996850</v>
      </c>
      <c r="F309" s="116"/>
      <c r="G309" s="36">
        <f>G310+G312+G316+G336+G357</f>
        <v>1523856.35</v>
      </c>
      <c r="H309" s="116"/>
      <c r="I309" s="359">
        <f t="shared" si="4"/>
        <v>50.84860269950114</v>
      </c>
    </row>
    <row r="310" spans="1:25" s="56" customFormat="1" ht="21" customHeight="1">
      <c r="A310" s="360"/>
      <c r="B310" s="110">
        <v>85111</v>
      </c>
      <c r="C310" s="24"/>
      <c r="D310" s="293" t="s">
        <v>632</v>
      </c>
      <c r="E310" s="106">
        <f>E311</f>
        <v>100000</v>
      </c>
      <c r="F310" s="114"/>
      <c r="G310" s="106">
        <f>G311</f>
        <v>0</v>
      </c>
      <c r="H310" s="114"/>
      <c r="I310" s="359"/>
      <c r="J310" s="243"/>
      <c r="K310" s="243"/>
      <c r="L310" s="261"/>
      <c r="M310" s="243"/>
      <c r="N310" s="243"/>
      <c r="O310" s="243"/>
      <c r="P310" s="243"/>
      <c r="Q310" s="243"/>
      <c r="R310" s="243"/>
      <c r="S310" s="243"/>
      <c r="T310" s="252"/>
      <c r="U310" s="252"/>
      <c r="V310" s="252"/>
      <c r="W310" s="252"/>
      <c r="X310" s="252"/>
      <c r="Y310" s="252"/>
    </row>
    <row r="311" spans="1:9" ht="63.75" customHeight="1">
      <c r="A311" s="76"/>
      <c r="B311" s="62"/>
      <c r="C311" s="3">
        <v>6220</v>
      </c>
      <c r="D311" s="31" t="s">
        <v>434</v>
      </c>
      <c r="E311" s="55">
        <v>100000</v>
      </c>
      <c r="F311" s="95"/>
      <c r="G311" s="36">
        <v>0</v>
      </c>
      <c r="H311" s="95"/>
      <c r="I311" s="359"/>
    </row>
    <row r="312" spans="1:9" ht="21.75" customHeight="1">
      <c r="A312" s="109"/>
      <c r="B312" s="124">
        <v>85153</v>
      </c>
      <c r="C312" s="25"/>
      <c r="D312" s="293" t="s">
        <v>607</v>
      </c>
      <c r="E312" s="106">
        <f>SUM(E313:E315)</f>
        <v>101000</v>
      </c>
      <c r="F312" s="95"/>
      <c r="G312" s="106">
        <f>SUM(G313:G315)</f>
        <v>57172.9</v>
      </c>
      <c r="H312" s="95"/>
      <c r="I312" s="359">
        <f t="shared" si="4"/>
        <v>56.60683168316832</v>
      </c>
    </row>
    <row r="313" spans="1:9" ht="72.75" customHeight="1">
      <c r="A313" s="77"/>
      <c r="B313" s="67"/>
      <c r="C313" s="9">
        <v>2360</v>
      </c>
      <c r="D313" s="288" t="s">
        <v>492</v>
      </c>
      <c r="E313" s="101">
        <v>95000</v>
      </c>
      <c r="F313" s="95"/>
      <c r="G313" s="101">
        <v>57000</v>
      </c>
      <c r="H313" s="95"/>
      <c r="I313" s="359">
        <f t="shared" si="4"/>
        <v>60</v>
      </c>
    </row>
    <row r="314" spans="1:9" ht="15" customHeight="1">
      <c r="A314" s="77"/>
      <c r="B314" s="66"/>
      <c r="C314" s="9">
        <v>4210</v>
      </c>
      <c r="D314" s="288" t="s">
        <v>602</v>
      </c>
      <c r="E314" s="55">
        <v>3000</v>
      </c>
      <c r="F314" s="95"/>
      <c r="G314" s="55">
        <v>172.9</v>
      </c>
      <c r="H314" s="95"/>
      <c r="I314" s="359">
        <f t="shared" si="4"/>
        <v>5.763333333333334</v>
      </c>
    </row>
    <row r="315" spans="1:9" ht="20.25" customHeight="1">
      <c r="A315" s="77"/>
      <c r="B315" s="75"/>
      <c r="C315" s="9">
        <v>4300</v>
      </c>
      <c r="D315" s="288" t="s">
        <v>599</v>
      </c>
      <c r="E315" s="79">
        <v>3000</v>
      </c>
      <c r="F315" s="95"/>
      <c r="G315" s="79">
        <v>0</v>
      </c>
      <c r="H315" s="95"/>
      <c r="I315" s="359"/>
    </row>
    <row r="316" spans="1:9" ht="21.75" customHeight="1">
      <c r="A316" s="66"/>
      <c r="B316" s="110">
        <v>85154</v>
      </c>
      <c r="C316" s="25"/>
      <c r="D316" s="293" t="s">
        <v>338</v>
      </c>
      <c r="E316" s="41">
        <f>SUM(E317:E335)</f>
        <v>1520600</v>
      </c>
      <c r="F316" s="95"/>
      <c r="G316" s="41">
        <f>SUM(G317:G335)</f>
        <v>798616.61</v>
      </c>
      <c r="H316" s="95"/>
      <c r="I316" s="359">
        <f t="shared" si="4"/>
        <v>52.51983493357885</v>
      </c>
    </row>
    <row r="317" spans="1:9" ht="72" customHeight="1">
      <c r="A317" s="89"/>
      <c r="B317" s="89"/>
      <c r="C317" s="9">
        <v>2360</v>
      </c>
      <c r="D317" s="288" t="s">
        <v>492</v>
      </c>
      <c r="E317" s="101">
        <v>875100</v>
      </c>
      <c r="F317" s="95"/>
      <c r="G317" s="101">
        <v>512100</v>
      </c>
      <c r="H317" s="95"/>
      <c r="I317" s="359">
        <f t="shared" si="4"/>
        <v>58.5190263969832</v>
      </c>
    </row>
    <row r="318" spans="1:9" ht="28.5" customHeight="1">
      <c r="A318" s="89"/>
      <c r="B318" s="89"/>
      <c r="C318" s="3">
        <v>3020</v>
      </c>
      <c r="D318" s="288" t="s">
        <v>165</v>
      </c>
      <c r="E318" s="55">
        <v>4000</v>
      </c>
      <c r="F318" s="95"/>
      <c r="G318" s="55">
        <v>1408.99</v>
      </c>
      <c r="H318" s="95"/>
      <c r="I318" s="359">
        <f t="shared" si="4"/>
        <v>35.22475</v>
      </c>
    </row>
    <row r="319" spans="1:9" ht="16.5" customHeight="1">
      <c r="A319" s="89"/>
      <c r="B319" s="89"/>
      <c r="C319" s="9">
        <v>4010</v>
      </c>
      <c r="D319" s="288" t="s">
        <v>643</v>
      </c>
      <c r="E319" s="55">
        <v>283000</v>
      </c>
      <c r="F319" s="95"/>
      <c r="G319" s="55">
        <v>121542.84</v>
      </c>
      <c r="H319" s="95"/>
      <c r="I319" s="359">
        <f t="shared" si="4"/>
        <v>42.948</v>
      </c>
    </row>
    <row r="320" spans="1:9" ht="15" customHeight="1">
      <c r="A320" s="89"/>
      <c r="B320" s="89"/>
      <c r="C320" s="3">
        <v>4040</v>
      </c>
      <c r="D320" s="288" t="s">
        <v>644</v>
      </c>
      <c r="E320" s="55">
        <v>26000</v>
      </c>
      <c r="F320" s="95"/>
      <c r="G320" s="55">
        <v>26000</v>
      </c>
      <c r="H320" s="95"/>
      <c r="I320" s="359">
        <f t="shared" si="4"/>
        <v>100</v>
      </c>
    </row>
    <row r="321" spans="1:9" ht="15" customHeight="1">
      <c r="A321" s="89"/>
      <c r="B321" s="89"/>
      <c r="C321" s="9">
        <v>4110</v>
      </c>
      <c r="D321" s="288" t="s">
        <v>645</v>
      </c>
      <c r="E321" s="55">
        <v>48700</v>
      </c>
      <c r="F321" s="95"/>
      <c r="G321" s="55">
        <v>19952.75</v>
      </c>
      <c r="H321" s="95"/>
      <c r="I321" s="359">
        <f t="shared" si="4"/>
        <v>40.97073921971253</v>
      </c>
    </row>
    <row r="322" spans="1:9" ht="15" customHeight="1">
      <c r="A322" s="89"/>
      <c r="B322" s="89"/>
      <c r="C322" s="9">
        <v>4120</v>
      </c>
      <c r="D322" s="288" t="s">
        <v>646</v>
      </c>
      <c r="E322" s="55">
        <v>6800</v>
      </c>
      <c r="F322" s="95"/>
      <c r="G322" s="55">
        <v>3183.86</v>
      </c>
      <c r="H322" s="95"/>
      <c r="I322" s="359">
        <f t="shared" si="4"/>
        <v>46.8214705882353</v>
      </c>
    </row>
    <row r="323" spans="1:9" ht="15" customHeight="1">
      <c r="A323" s="89"/>
      <c r="B323" s="89"/>
      <c r="C323" s="3">
        <v>4170</v>
      </c>
      <c r="D323" s="288" t="s">
        <v>652</v>
      </c>
      <c r="E323" s="55">
        <f>40000+40000+700</f>
        <v>80700</v>
      </c>
      <c r="F323" s="95"/>
      <c r="G323" s="55">
        <v>34426.92</v>
      </c>
      <c r="H323" s="95"/>
      <c r="I323" s="359">
        <f t="shared" si="4"/>
        <v>42.6603717472119</v>
      </c>
    </row>
    <row r="324" spans="1:10" ht="15" customHeight="1">
      <c r="A324" s="89"/>
      <c r="B324" s="89"/>
      <c r="C324" s="9">
        <v>4210</v>
      </c>
      <c r="D324" s="288" t="s">
        <v>602</v>
      </c>
      <c r="E324" s="55">
        <v>20100</v>
      </c>
      <c r="F324" s="95"/>
      <c r="G324" s="55">
        <v>6770.38</v>
      </c>
      <c r="H324" s="95"/>
      <c r="I324" s="359">
        <f t="shared" si="4"/>
        <v>33.68348258706468</v>
      </c>
      <c r="J324" s="254"/>
    </row>
    <row r="325" spans="1:9" ht="15" customHeight="1">
      <c r="A325" s="89"/>
      <c r="B325" s="89"/>
      <c r="C325" s="9">
        <v>4260</v>
      </c>
      <c r="D325" s="288" t="s">
        <v>660</v>
      </c>
      <c r="E325" s="55">
        <v>28500</v>
      </c>
      <c r="F325" s="95"/>
      <c r="G325" s="55">
        <v>10646.31</v>
      </c>
      <c r="H325" s="95"/>
      <c r="I325" s="359">
        <f t="shared" si="4"/>
        <v>37.35547368421053</v>
      </c>
    </row>
    <row r="326" spans="1:9" ht="15" customHeight="1">
      <c r="A326" s="89"/>
      <c r="B326" s="89"/>
      <c r="C326" s="9">
        <v>4270</v>
      </c>
      <c r="D326" s="288" t="s">
        <v>603</v>
      </c>
      <c r="E326" s="55">
        <v>900</v>
      </c>
      <c r="F326" s="95"/>
      <c r="G326" s="55">
        <v>323.49</v>
      </c>
      <c r="H326" s="95"/>
      <c r="I326" s="359">
        <f t="shared" si="4"/>
        <v>35.943333333333335</v>
      </c>
    </row>
    <row r="327" spans="1:10" ht="15" customHeight="1">
      <c r="A327" s="89"/>
      <c r="B327" s="89"/>
      <c r="C327" s="9">
        <v>4300</v>
      </c>
      <c r="D327" s="288" t="s">
        <v>599</v>
      </c>
      <c r="E327" s="55">
        <v>117700</v>
      </c>
      <c r="F327" s="95"/>
      <c r="G327" s="55">
        <v>46447.63</v>
      </c>
      <c r="H327" s="95"/>
      <c r="I327" s="359">
        <f t="shared" si="4"/>
        <v>39.46272727272727</v>
      </c>
      <c r="J327" s="254"/>
    </row>
    <row r="328" spans="1:9" ht="15" customHeight="1">
      <c r="A328" s="89"/>
      <c r="B328" s="89"/>
      <c r="C328" s="9">
        <v>4350</v>
      </c>
      <c r="D328" s="288" t="s">
        <v>655</v>
      </c>
      <c r="E328" s="55">
        <v>1200</v>
      </c>
      <c r="F328" s="95"/>
      <c r="G328" s="55">
        <v>479.37</v>
      </c>
      <c r="H328" s="95"/>
      <c r="I328" s="359">
        <f t="shared" si="4"/>
        <v>39.947500000000005</v>
      </c>
    </row>
    <row r="329" spans="1:9" ht="39" customHeight="1">
      <c r="A329" s="89"/>
      <c r="B329" s="89"/>
      <c r="C329" s="3">
        <v>4360</v>
      </c>
      <c r="D329" s="288" t="s">
        <v>390</v>
      </c>
      <c r="E329" s="55">
        <v>1500</v>
      </c>
      <c r="F329" s="95"/>
      <c r="G329" s="55">
        <v>743.1</v>
      </c>
      <c r="H329" s="95"/>
      <c r="I329" s="359">
        <f t="shared" si="4"/>
        <v>49.54</v>
      </c>
    </row>
    <row r="330" spans="1:9" ht="35.25" customHeight="1">
      <c r="A330" s="89"/>
      <c r="B330" s="89"/>
      <c r="C330" s="3">
        <v>4370</v>
      </c>
      <c r="D330" s="288" t="s">
        <v>389</v>
      </c>
      <c r="E330" s="55">
        <v>5500</v>
      </c>
      <c r="F330" s="95"/>
      <c r="G330" s="55">
        <v>2215.59</v>
      </c>
      <c r="H330" s="95"/>
      <c r="I330" s="359">
        <f t="shared" si="4"/>
        <v>40.28345454545455</v>
      </c>
    </row>
    <row r="331" spans="1:9" ht="15" customHeight="1">
      <c r="A331" s="89"/>
      <c r="B331" s="89"/>
      <c r="C331" s="9">
        <v>4410</v>
      </c>
      <c r="D331" s="288" t="s">
        <v>649</v>
      </c>
      <c r="E331" s="55">
        <v>4900</v>
      </c>
      <c r="F331" s="95"/>
      <c r="G331" s="55">
        <v>1472.28</v>
      </c>
      <c r="H331" s="95"/>
      <c r="I331" s="359">
        <f t="shared" si="4"/>
        <v>30.046530612244897</v>
      </c>
    </row>
    <row r="332" spans="1:9" ht="15" customHeight="1">
      <c r="A332" s="89"/>
      <c r="B332" s="89"/>
      <c r="C332" s="3">
        <v>4430</v>
      </c>
      <c r="D332" s="288" t="s">
        <v>433</v>
      </c>
      <c r="E332" s="55">
        <v>200</v>
      </c>
      <c r="F332" s="95"/>
      <c r="G332" s="55">
        <v>0</v>
      </c>
      <c r="H332" s="95"/>
      <c r="I332" s="359"/>
    </row>
    <row r="333" spans="1:9" ht="24.75" customHeight="1">
      <c r="A333" s="89"/>
      <c r="B333" s="89"/>
      <c r="C333" s="3">
        <v>4440</v>
      </c>
      <c r="D333" s="288" t="s">
        <v>647</v>
      </c>
      <c r="E333" s="55">
        <v>12900</v>
      </c>
      <c r="F333" s="95"/>
      <c r="G333" s="55">
        <v>9675</v>
      </c>
      <c r="H333" s="95"/>
      <c r="I333" s="359">
        <f t="shared" si="4"/>
        <v>75</v>
      </c>
    </row>
    <row r="334" spans="1:9" ht="18" customHeight="1">
      <c r="A334" s="89"/>
      <c r="B334" s="89"/>
      <c r="C334" s="3">
        <v>4480</v>
      </c>
      <c r="D334" s="288" t="s">
        <v>452</v>
      </c>
      <c r="E334" s="55">
        <v>1900</v>
      </c>
      <c r="F334" s="95"/>
      <c r="G334" s="55">
        <v>868.1</v>
      </c>
      <c r="H334" s="95"/>
      <c r="I334" s="359">
        <f aca="true" t="shared" si="5" ref="I334:I397">G334/E334*100</f>
        <v>45.68947368421053</v>
      </c>
    </row>
    <row r="335" spans="1:9" ht="27" customHeight="1">
      <c r="A335" s="89"/>
      <c r="B335" s="89"/>
      <c r="C335" s="3">
        <v>4610</v>
      </c>
      <c r="D335" s="288" t="s">
        <v>575</v>
      </c>
      <c r="E335" s="55">
        <v>1000</v>
      </c>
      <c r="F335" s="95"/>
      <c r="G335" s="55">
        <v>360</v>
      </c>
      <c r="H335" s="95"/>
      <c r="I335" s="359">
        <f t="shared" si="5"/>
        <v>36</v>
      </c>
    </row>
    <row r="336" spans="1:9" ht="26.25" customHeight="1">
      <c r="A336" s="89"/>
      <c r="B336" s="25">
        <v>85158</v>
      </c>
      <c r="C336" s="25"/>
      <c r="D336" s="293" t="s">
        <v>451</v>
      </c>
      <c r="E336" s="29">
        <f>SUM(E337:E356)</f>
        <v>1208250</v>
      </c>
      <c r="F336" s="95"/>
      <c r="G336" s="29">
        <f>SUM(G337:G356)</f>
        <v>639261.7200000001</v>
      </c>
      <c r="H336" s="95"/>
      <c r="I336" s="359">
        <f t="shared" si="5"/>
        <v>52.90806703910616</v>
      </c>
    </row>
    <row r="337" spans="1:9" ht="25.5" customHeight="1">
      <c r="A337" s="89"/>
      <c r="B337" s="16"/>
      <c r="C337" s="9">
        <v>3020</v>
      </c>
      <c r="D337" s="288" t="s">
        <v>165</v>
      </c>
      <c r="E337" s="101">
        <v>3000</v>
      </c>
      <c r="F337" s="95"/>
      <c r="G337" s="101">
        <v>446.88</v>
      </c>
      <c r="H337" s="95"/>
      <c r="I337" s="359">
        <f t="shared" si="5"/>
        <v>14.896</v>
      </c>
    </row>
    <row r="338" spans="1:9" ht="19.5" customHeight="1">
      <c r="A338" s="89"/>
      <c r="B338" s="18"/>
      <c r="C338" s="9">
        <v>4010</v>
      </c>
      <c r="D338" s="288" t="s">
        <v>643</v>
      </c>
      <c r="E338" s="55">
        <v>695000</v>
      </c>
      <c r="F338" s="95"/>
      <c r="G338" s="55">
        <v>324069.9</v>
      </c>
      <c r="H338" s="95"/>
      <c r="I338" s="359">
        <f t="shared" si="5"/>
        <v>46.628762589928066</v>
      </c>
    </row>
    <row r="339" spans="1:9" ht="15" customHeight="1">
      <c r="A339" s="89"/>
      <c r="B339" s="18"/>
      <c r="C339" s="9">
        <v>4040</v>
      </c>
      <c r="D339" s="288" t="s">
        <v>644</v>
      </c>
      <c r="E339" s="55">
        <v>53314</v>
      </c>
      <c r="F339" s="95"/>
      <c r="G339" s="55">
        <v>53313.39</v>
      </c>
      <c r="H339" s="95"/>
      <c r="I339" s="359">
        <f t="shared" si="5"/>
        <v>99.99885583524028</v>
      </c>
    </row>
    <row r="340" spans="1:9" ht="15" customHeight="1">
      <c r="A340" s="89"/>
      <c r="B340" s="18"/>
      <c r="C340" s="9">
        <v>4110</v>
      </c>
      <c r="D340" s="288" t="s">
        <v>645</v>
      </c>
      <c r="E340" s="55">
        <v>119000</v>
      </c>
      <c r="F340" s="95"/>
      <c r="G340" s="55">
        <v>64114.23</v>
      </c>
      <c r="H340" s="95"/>
      <c r="I340" s="359">
        <f t="shared" si="5"/>
        <v>53.87750420168067</v>
      </c>
    </row>
    <row r="341" spans="1:9" ht="15" customHeight="1">
      <c r="A341" s="89"/>
      <c r="B341" s="18"/>
      <c r="C341" s="9">
        <v>4120</v>
      </c>
      <c r="D341" s="288" t="s">
        <v>646</v>
      </c>
      <c r="E341" s="55">
        <v>13500</v>
      </c>
      <c r="F341" s="95"/>
      <c r="G341" s="55">
        <v>6115.87</v>
      </c>
      <c r="H341" s="95"/>
      <c r="I341" s="359">
        <f t="shared" si="5"/>
        <v>45.30274074074074</v>
      </c>
    </row>
    <row r="342" spans="1:9" ht="15" customHeight="1">
      <c r="A342" s="89"/>
      <c r="B342" s="18"/>
      <c r="C342" s="3">
        <v>4170</v>
      </c>
      <c r="D342" s="288" t="s">
        <v>652</v>
      </c>
      <c r="E342" s="55">
        <v>50600</v>
      </c>
      <c r="F342" s="95"/>
      <c r="G342" s="55">
        <v>21243</v>
      </c>
      <c r="H342" s="95"/>
      <c r="I342" s="359">
        <f t="shared" si="5"/>
        <v>41.98221343873518</v>
      </c>
    </row>
    <row r="343" spans="1:9" ht="15" customHeight="1">
      <c r="A343" s="89"/>
      <c r="B343" s="18"/>
      <c r="C343" s="9">
        <v>4210</v>
      </c>
      <c r="D343" s="288" t="s">
        <v>602</v>
      </c>
      <c r="E343" s="55">
        <v>54338</v>
      </c>
      <c r="F343" s="95"/>
      <c r="G343" s="55">
        <v>36882.3</v>
      </c>
      <c r="H343" s="95"/>
      <c r="I343" s="359">
        <f t="shared" si="5"/>
        <v>67.87570392727005</v>
      </c>
    </row>
    <row r="344" spans="1:9" ht="24.75" customHeight="1">
      <c r="A344" s="89"/>
      <c r="B344" s="18"/>
      <c r="C344" s="9">
        <v>4230</v>
      </c>
      <c r="D344" s="288" t="s">
        <v>329</v>
      </c>
      <c r="E344" s="55">
        <v>1300</v>
      </c>
      <c r="F344" s="95"/>
      <c r="G344" s="55">
        <v>483.34</v>
      </c>
      <c r="H344" s="95"/>
      <c r="I344" s="359">
        <f t="shared" si="5"/>
        <v>37.18</v>
      </c>
    </row>
    <row r="345" spans="1:9" ht="15" customHeight="1">
      <c r="A345" s="89"/>
      <c r="B345" s="18"/>
      <c r="C345" s="9">
        <v>4260</v>
      </c>
      <c r="D345" s="288" t="s">
        <v>660</v>
      </c>
      <c r="E345" s="55">
        <v>57500</v>
      </c>
      <c r="F345" s="95"/>
      <c r="G345" s="55">
        <v>34578.48</v>
      </c>
      <c r="H345" s="95"/>
      <c r="I345" s="359">
        <f t="shared" si="5"/>
        <v>60.136486956521736</v>
      </c>
    </row>
    <row r="346" spans="1:9" ht="15" customHeight="1">
      <c r="A346" s="89"/>
      <c r="B346" s="18"/>
      <c r="C346" s="9">
        <v>4270</v>
      </c>
      <c r="D346" s="288" t="s">
        <v>603</v>
      </c>
      <c r="E346" s="55">
        <v>7511</v>
      </c>
      <c r="F346" s="95"/>
      <c r="G346" s="55">
        <v>4776.81</v>
      </c>
      <c r="H346" s="95"/>
      <c r="I346" s="359">
        <f t="shared" si="5"/>
        <v>63.59752363200639</v>
      </c>
    </row>
    <row r="347" spans="1:9" ht="15" customHeight="1">
      <c r="A347" s="89"/>
      <c r="B347" s="18"/>
      <c r="C347" s="9">
        <v>4280</v>
      </c>
      <c r="D347" s="288" t="s">
        <v>326</v>
      </c>
      <c r="E347" s="55">
        <v>900</v>
      </c>
      <c r="F347" s="95"/>
      <c r="G347" s="55">
        <v>145</v>
      </c>
      <c r="H347" s="95"/>
      <c r="I347" s="359">
        <f t="shared" si="5"/>
        <v>16.11111111111111</v>
      </c>
    </row>
    <row r="348" spans="1:9" ht="15" customHeight="1">
      <c r="A348" s="89"/>
      <c r="B348" s="18"/>
      <c r="C348" s="9">
        <v>4300</v>
      </c>
      <c r="D348" s="288" t="s">
        <v>599</v>
      </c>
      <c r="E348" s="55">
        <v>105000</v>
      </c>
      <c r="F348" s="95"/>
      <c r="G348" s="55">
        <v>60616.85</v>
      </c>
      <c r="H348" s="95"/>
      <c r="I348" s="359">
        <f t="shared" si="5"/>
        <v>57.73033333333333</v>
      </c>
    </row>
    <row r="349" spans="1:9" ht="15" customHeight="1">
      <c r="A349" s="89"/>
      <c r="B349" s="18"/>
      <c r="C349" s="9">
        <v>4350</v>
      </c>
      <c r="D349" s="288" t="s">
        <v>655</v>
      </c>
      <c r="E349" s="55">
        <v>780</v>
      </c>
      <c r="F349" s="95"/>
      <c r="G349" s="55">
        <v>344.81</v>
      </c>
      <c r="H349" s="95"/>
      <c r="I349" s="359">
        <f t="shared" si="5"/>
        <v>44.20641025641026</v>
      </c>
    </row>
    <row r="350" spans="1:9" ht="39.75" customHeight="1">
      <c r="A350" s="89"/>
      <c r="B350" s="18"/>
      <c r="C350" s="3">
        <v>4360</v>
      </c>
      <c r="D350" s="288" t="s">
        <v>390</v>
      </c>
      <c r="E350" s="55">
        <v>650</v>
      </c>
      <c r="F350" s="95"/>
      <c r="G350" s="55">
        <v>294.04</v>
      </c>
      <c r="H350" s="95"/>
      <c r="I350" s="359">
        <f t="shared" si="5"/>
        <v>45.23692307692308</v>
      </c>
    </row>
    <row r="351" spans="1:9" ht="40.5" customHeight="1">
      <c r="A351" s="89"/>
      <c r="B351" s="18"/>
      <c r="C351" s="3">
        <v>4370</v>
      </c>
      <c r="D351" s="288" t="s">
        <v>389</v>
      </c>
      <c r="E351" s="55">
        <v>2800</v>
      </c>
      <c r="F351" s="95"/>
      <c r="G351" s="55">
        <v>1281.21</v>
      </c>
      <c r="H351" s="95"/>
      <c r="I351" s="359">
        <f t="shared" si="5"/>
        <v>45.7575</v>
      </c>
    </row>
    <row r="352" spans="1:9" ht="17.25" customHeight="1">
      <c r="A352" s="89"/>
      <c r="B352" s="18"/>
      <c r="C352" s="9">
        <v>4410</v>
      </c>
      <c r="D352" s="288" t="s">
        <v>649</v>
      </c>
      <c r="E352" s="55">
        <v>3870</v>
      </c>
      <c r="F352" s="95"/>
      <c r="G352" s="55">
        <v>1755.86</v>
      </c>
      <c r="H352" s="95"/>
      <c r="I352" s="359">
        <f t="shared" si="5"/>
        <v>45.37105943152454</v>
      </c>
    </row>
    <row r="353" spans="1:9" ht="26.25" customHeight="1">
      <c r="A353" s="89"/>
      <c r="B353" s="18"/>
      <c r="C353" s="9">
        <v>4440</v>
      </c>
      <c r="D353" s="288" t="s">
        <v>647</v>
      </c>
      <c r="E353" s="55">
        <v>24249</v>
      </c>
      <c r="F353" s="95"/>
      <c r="G353" s="55">
        <v>18186.75</v>
      </c>
      <c r="H353" s="95"/>
      <c r="I353" s="359">
        <f t="shared" si="5"/>
        <v>75</v>
      </c>
    </row>
    <row r="354" spans="1:9" ht="15" customHeight="1">
      <c r="A354" s="89"/>
      <c r="B354" s="18"/>
      <c r="C354" s="9">
        <v>4480</v>
      </c>
      <c r="D354" s="288" t="s">
        <v>452</v>
      </c>
      <c r="E354" s="55">
        <v>4239</v>
      </c>
      <c r="F354" s="95"/>
      <c r="G354" s="55">
        <v>4239</v>
      </c>
      <c r="H354" s="95"/>
      <c r="I354" s="359">
        <f t="shared" si="5"/>
        <v>100</v>
      </c>
    </row>
    <row r="355" spans="1:9" ht="30.75" customHeight="1">
      <c r="A355" s="89"/>
      <c r="B355" s="18"/>
      <c r="C355" s="3">
        <v>4700</v>
      </c>
      <c r="D355" s="288" t="s">
        <v>420</v>
      </c>
      <c r="E355" s="55">
        <v>4600</v>
      </c>
      <c r="F355" s="95"/>
      <c r="G355" s="55">
        <v>275</v>
      </c>
      <c r="H355" s="95"/>
      <c r="I355" s="359">
        <f t="shared" si="5"/>
        <v>5.978260869565218</v>
      </c>
    </row>
    <row r="356" spans="1:9" ht="30.75" customHeight="1">
      <c r="A356" s="89"/>
      <c r="B356" s="18"/>
      <c r="C356" s="3">
        <v>6060</v>
      </c>
      <c r="D356" s="288" t="s">
        <v>665</v>
      </c>
      <c r="E356" s="55">
        <v>6099</v>
      </c>
      <c r="F356" s="95"/>
      <c r="G356" s="55">
        <v>6099</v>
      </c>
      <c r="H356" s="95"/>
      <c r="I356" s="359">
        <f t="shared" si="5"/>
        <v>100</v>
      </c>
    </row>
    <row r="357" spans="1:9" ht="21" customHeight="1">
      <c r="A357" s="118"/>
      <c r="B357" s="49">
        <v>85195</v>
      </c>
      <c r="C357" s="24"/>
      <c r="D357" s="293" t="s">
        <v>662</v>
      </c>
      <c r="E357" s="106">
        <f>SUM(E358:E359)</f>
        <v>67000</v>
      </c>
      <c r="F357" s="95"/>
      <c r="G357" s="106">
        <f>SUM(G358:G359)</f>
        <v>28805.120000000003</v>
      </c>
      <c r="H357" s="95"/>
      <c r="I357" s="359">
        <f t="shared" si="5"/>
        <v>42.99271641791045</v>
      </c>
    </row>
    <row r="358" spans="1:9" ht="23.25" customHeight="1">
      <c r="A358" s="89"/>
      <c r="B358" s="81"/>
      <c r="C358" s="9">
        <v>4210</v>
      </c>
      <c r="D358" s="288" t="s">
        <v>598</v>
      </c>
      <c r="E358" s="101">
        <v>1000</v>
      </c>
      <c r="F358" s="95"/>
      <c r="G358" s="101">
        <v>774.72</v>
      </c>
      <c r="H358" s="95"/>
      <c r="I358" s="359">
        <f t="shared" si="5"/>
        <v>77.47200000000001</v>
      </c>
    </row>
    <row r="359" spans="1:9" ht="21.75" customHeight="1">
      <c r="A359" s="89"/>
      <c r="B359" s="81"/>
      <c r="C359" s="9">
        <v>4300</v>
      </c>
      <c r="D359" s="288" t="s">
        <v>599</v>
      </c>
      <c r="E359" s="101">
        <v>66000</v>
      </c>
      <c r="F359" s="95"/>
      <c r="G359" s="101">
        <v>28030.4</v>
      </c>
      <c r="H359" s="95"/>
      <c r="I359" s="359">
        <f t="shared" si="5"/>
        <v>42.47030303030303</v>
      </c>
    </row>
    <row r="360" spans="1:9" ht="21.75" customHeight="1">
      <c r="A360" s="62">
        <v>852</v>
      </c>
      <c r="B360" s="105"/>
      <c r="C360" s="12"/>
      <c r="D360" s="292" t="s">
        <v>424</v>
      </c>
      <c r="E360" s="92">
        <f>E361+E379+E389+E396+E414+E416+E418+E421+E423+E446+E453+E456</f>
        <v>40870784.58</v>
      </c>
      <c r="F360" s="178">
        <f>F361+F379+F389+F396+F414+F416+F418+F421+F423+F446+F453+F456</f>
        <v>20618512</v>
      </c>
      <c r="G360" s="92">
        <f>G361+G379+G389+G396+G414+G416+G418+G421+G423+G446+G453+G456</f>
        <v>22984358.910000004</v>
      </c>
      <c r="H360" s="178">
        <f>H361+H379+H389+H396+H414+H416+H418+H421+H423+H446+H453+H456</f>
        <v>10724895.71</v>
      </c>
      <c r="I360" s="359">
        <f t="shared" si="5"/>
        <v>56.23664714586207</v>
      </c>
    </row>
    <row r="361" spans="1:9" ht="24.75" customHeight="1">
      <c r="A361" s="73"/>
      <c r="B361" s="28">
        <v>85203</v>
      </c>
      <c r="C361" s="25"/>
      <c r="D361" s="293" t="s">
        <v>330</v>
      </c>
      <c r="E361" s="106">
        <f>SUM(E362:E378)</f>
        <v>282590</v>
      </c>
      <c r="F361" s="106">
        <f>SUM(F362:F378)</f>
        <v>232590</v>
      </c>
      <c r="G361" s="106">
        <f>SUM(G362:G378)</f>
        <v>156012.23</v>
      </c>
      <c r="H361" s="106">
        <f>SUM(H362:H378)</f>
        <v>120721.14999999998</v>
      </c>
      <c r="I361" s="359">
        <f t="shared" si="5"/>
        <v>55.20797975866096</v>
      </c>
    </row>
    <row r="362" spans="1:9" ht="80.25" customHeight="1">
      <c r="A362" s="76"/>
      <c r="B362" s="34"/>
      <c r="C362" s="9">
        <v>2910</v>
      </c>
      <c r="D362" s="32" t="s">
        <v>633</v>
      </c>
      <c r="E362" s="55">
        <v>2928.17</v>
      </c>
      <c r="F362" s="116"/>
      <c r="G362" s="55">
        <v>2928.17</v>
      </c>
      <c r="H362" s="116"/>
      <c r="I362" s="359">
        <f t="shared" si="5"/>
        <v>100</v>
      </c>
    </row>
    <row r="363" spans="1:9" ht="18" customHeight="1">
      <c r="A363" s="76"/>
      <c r="B363" s="8"/>
      <c r="C363" s="9">
        <v>4010</v>
      </c>
      <c r="D363" s="288" t="s">
        <v>643</v>
      </c>
      <c r="E363" s="55">
        <v>177301.6</v>
      </c>
      <c r="F363" s="116">
        <v>160890</v>
      </c>
      <c r="G363" s="55">
        <v>90902.82</v>
      </c>
      <c r="H363" s="116">
        <v>79719.59</v>
      </c>
      <c r="I363" s="359">
        <f t="shared" si="5"/>
        <v>51.270163382620346</v>
      </c>
    </row>
    <row r="364" spans="1:9" ht="15" customHeight="1">
      <c r="A364" s="76"/>
      <c r="B364" s="8"/>
      <c r="C364" s="9">
        <v>4040</v>
      </c>
      <c r="D364" s="288" t="s">
        <v>644</v>
      </c>
      <c r="E364" s="55">
        <v>14780</v>
      </c>
      <c r="F364" s="116">
        <v>11900</v>
      </c>
      <c r="G364" s="55">
        <v>14764.6</v>
      </c>
      <c r="H364" s="116">
        <v>11900</v>
      </c>
      <c r="I364" s="359">
        <f t="shared" si="5"/>
        <v>99.8958051420839</v>
      </c>
    </row>
    <row r="365" spans="1:9" ht="15" customHeight="1">
      <c r="A365" s="76"/>
      <c r="B365" s="8"/>
      <c r="C365" s="9">
        <v>4110</v>
      </c>
      <c r="D365" s="288" t="s">
        <v>645</v>
      </c>
      <c r="E365" s="55">
        <v>34000</v>
      </c>
      <c r="F365" s="116">
        <v>26700</v>
      </c>
      <c r="G365" s="55">
        <v>15945.05</v>
      </c>
      <c r="H365" s="116">
        <v>10193.46</v>
      </c>
      <c r="I365" s="359">
        <f t="shared" si="5"/>
        <v>46.897205882352935</v>
      </c>
    </row>
    <row r="366" spans="1:9" ht="15" customHeight="1">
      <c r="A366" s="76"/>
      <c r="B366" s="8"/>
      <c r="C366" s="9">
        <v>4120</v>
      </c>
      <c r="D366" s="288" t="s">
        <v>646</v>
      </c>
      <c r="E366" s="55">
        <v>3900</v>
      </c>
      <c r="F366" s="116">
        <v>3900</v>
      </c>
      <c r="G366" s="55">
        <v>1765.15</v>
      </c>
      <c r="H366" s="116">
        <v>1765.15</v>
      </c>
      <c r="I366" s="359">
        <f t="shared" si="5"/>
        <v>45.26025641025641</v>
      </c>
    </row>
    <row r="367" spans="1:11" ht="15" customHeight="1">
      <c r="A367" s="76"/>
      <c r="B367" s="8"/>
      <c r="C367" s="9">
        <v>4210</v>
      </c>
      <c r="D367" s="288" t="s">
        <v>602</v>
      </c>
      <c r="E367" s="55">
        <v>12000</v>
      </c>
      <c r="F367" s="116">
        <v>6890</v>
      </c>
      <c r="G367" s="55">
        <v>8036.14</v>
      </c>
      <c r="H367" s="116">
        <v>3889.42</v>
      </c>
      <c r="I367" s="359">
        <f t="shared" si="5"/>
        <v>66.96783333333333</v>
      </c>
      <c r="J367" s="257"/>
      <c r="K367" s="257"/>
    </row>
    <row r="368" spans="1:9" ht="15" customHeight="1">
      <c r="A368" s="76"/>
      <c r="B368" s="8"/>
      <c r="C368" s="9">
        <v>4260</v>
      </c>
      <c r="D368" s="288" t="s">
        <v>660</v>
      </c>
      <c r="E368" s="55">
        <v>8680</v>
      </c>
      <c r="F368" s="116">
        <v>4500</v>
      </c>
      <c r="G368" s="55">
        <v>6414.58</v>
      </c>
      <c r="H368" s="116">
        <v>4108.58</v>
      </c>
      <c r="I368" s="359">
        <f t="shared" si="5"/>
        <v>73.90069124423964</v>
      </c>
    </row>
    <row r="369" spans="1:9" ht="15" customHeight="1">
      <c r="A369" s="76"/>
      <c r="B369" s="8"/>
      <c r="C369" s="9">
        <v>4270</v>
      </c>
      <c r="D369" s="288" t="s">
        <v>603</v>
      </c>
      <c r="E369" s="55">
        <v>1000</v>
      </c>
      <c r="F369" s="116">
        <v>0</v>
      </c>
      <c r="G369" s="55">
        <v>0</v>
      </c>
      <c r="H369" s="116"/>
      <c r="I369" s="359"/>
    </row>
    <row r="370" spans="1:9" ht="15" customHeight="1">
      <c r="A370" s="76"/>
      <c r="B370" s="8"/>
      <c r="C370" s="9">
        <v>4300</v>
      </c>
      <c r="D370" s="288" t="s">
        <v>599</v>
      </c>
      <c r="E370" s="55">
        <v>3200</v>
      </c>
      <c r="F370" s="116">
        <v>1200</v>
      </c>
      <c r="G370" s="55">
        <v>2798.87</v>
      </c>
      <c r="H370" s="116">
        <v>798.87</v>
      </c>
      <c r="I370" s="359">
        <f t="shared" si="5"/>
        <v>87.4646875</v>
      </c>
    </row>
    <row r="371" spans="1:9" ht="15" customHeight="1">
      <c r="A371" s="76"/>
      <c r="B371" s="8"/>
      <c r="C371" s="9">
        <v>4350</v>
      </c>
      <c r="D371" s="288" t="s">
        <v>655</v>
      </c>
      <c r="E371" s="55">
        <v>1140</v>
      </c>
      <c r="F371" s="116">
        <v>713</v>
      </c>
      <c r="G371" s="55">
        <v>598.18</v>
      </c>
      <c r="H371" s="116">
        <v>306.67</v>
      </c>
      <c r="I371" s="359">
        <f t="shared" si="5"/>
        <v>52.4719298245614</v>
      </c>
    </row>
    <row r="372" spans="1:9" ht="44.25" customHeight="1">
      <c r="A372" s="76"/>
      <c r="B372" s="8"/>
      <c r="C372" s="9">
        <v>4360</v>
      </c>
      <c r="D372" s="288" t="s">
        <v>390</v>
      </c>
      <c r="E372" s="55">
        <v>2000</v>
      </c>
      <c r="F372" s="116">
        <v>2000</v>
      </c>
      <c r="G372" s="55">
        <v>0</v>
      </c>
      <c r="H372" s="116">
        <v>0</v>
      </c>
      <c r="I372" s="359"/>
    </row>
    <row r="373" spans="1:9" ht="42.75" customHeight="1">
      <c r="A373" s="76"/>
      <c r="B373" s="8"/>
      <c r="C373" s="9">
        <v>4370</v>
      </c>
      <c r="D373" s="288" t="s">
        <v>389</v>
      </c>
      <c r="E373" s="55">
        <v>1000</v>
      </c>
      <c r="F373" s="116">
        <v>1000</v>
      </c>
      <c r="G373" s="55">
        <v>447.38</v>
      </c>
      <c r="H373" s="116">
        <v>447.38</v>
      </c>
      <c r="I373" s="359">
        <f t="shared" si="5"/>
        <v>44.738</v>
      </c>
    </row>
    <row r="374" spans="1:9" ht="30" customHeight="1">
      <c r="A374" s="76"/>
      <c r="B374" s="8"/>
      <c r="C374" s="9">
        <v>4400</v>
      </c>
      <c r="D374" s="288" t="s">
        <v>331</v>
      </c>
      <c r="E374" s="55">
        <v>13000</v>
      </c>
      <c r="F374" s="116">
        <v>6207</v>
      </c>
      <c r="G374" s="55">
        <v>7098.06</v>
      </c>
      <c r="H374" s="116">
        <v>3549.03</v>
      </c>
      <c r="I374" s="359">
        <f t="shared" si="5"/>
        <v>54.600461538461545</v>
      </c>
    </row>
    <row r="375" spans="1:9" ht="18.75" customHeight="1">
      <c r="A375" s="76"/>
      <c r="B375" s="8"/>
      <c r="C375" s="9">
        <v>4410</v>
      </c>
      <c r="D375" s="288" t="s">
        <v>649</v>
      </c>
      <c r="E375" s="55">
        <v>1700</v>
      </c>
      <c r="F375" s="116">
        <v>1000</v>
      </c>
      <c r="G375" s="55">
        <v>0</v>
      </c>
      <c r="H375" s="116">
        <v>0</v>
      </c>
      <c r="I375" s="359">
        <f t="shared" si="5"/>
        <v>0</v>
      </c>
    </row>
    <row r="376" spans="1:9" ht="15" customHeight="1">
      <c r="A376" s="76"/>
      <c r="B376" s="8"/>
      <c r="C376" s="9">
        <v>4430</v>
      </c>
      <c r="D376" s="288" t="s">
        <v>433</v>
      </c>
      <c r="E376" s="55">
        <v>690</v>
      </c>
      <c r="F376" s="116">
        <v>690</v>
      </c>
      <c r="G376" s="55">
        <v>293</v>
      </c>
      <c r="H376" s="116">
        <v>293</v>
      </c>
      <c r="I376" s="359">
        <f t="shared" si="5"/>
        <v>42.46376811594203</v>
      </c>
    </row>
    <row r="377" spans="1:9" ht="29.25" customHeight="1">
      <c r="A377" s="76"/>
      <c r="B377" s="8"/>
      <c r="C377" s="9">
        <v>4440</v>
      </c>
      <c r="D377" s="288" t="s">
        <v>647</v>
      </c>
      <c r="E377" s="55">
        <v>5000</v>
      </c>
      <c r="F377" s="116">
        <v>5000</v>
      </c>
      <c r="G377" s="55">
        <v>3750</v>
      </c>
      <c r="H377" s="116">
        <v>3750</v>
      </c>
      <c r="I377" s="359">
        <f t="shared" si="5"/>
        <v>75</v>
      </c>
    </row>
    <row r="378" spans="1:9" ht="82.5" customHeight="1">
      <c r="A378" s="76"/>
      <c r="B378" s="2"/>
      <c r="C378" s="3">
        <v>4560</v>
      </c>
      <c r="D378" s="1" t="s">
        <v>634</v>
      </c>
      <c r="E378" s="55">
        <v>270.23</v>
      </c>
      <c r="F378" s="116"/>
      <c r="G378" s="55">
        <v>270.23</v>
      </c>
      <c r="H378" s="116"/>
      <c r="I378" s="359">
        <f t="shared" si="5"/>
        <v>100</v>
      </c>
    </row>
    <row r="379" spans="1:25" s="56" customFormat="1" ht="28.5" customHeight="1">
      <c r="A379" s="91"/>
      <c r="B379" s="38">
        <v>85205</v>
      </c>
      <c r="C379" s="25"/>
      <c r="D379" s="293" t="s">
        <v>395</v>
      </c>
      <c r="E379" s="106">
        <f>SUM(E380:E388)</f>
        <v>63300</v>
      </c>
      <c r="F379" s="115"/>
      <c r="G379" s="106">
        <f>SUM(G380:G388)</f>
        <v>34848.05</v>
      </c>
      <c r="H379" s="115"/>
      <c r="I379" s="359">
        <f t="shared" si="5"/>
        <v>55.05221169036335</v>
      </c>
      <c r="J379" s="243"/>
      <c r="K379" s="243"/>
      <c r="L379" s="261"/>
      <c r="M379" s="243"/>
      <c r="N379" s="243"/>
      <c r="O379" s="243"/>
      <c r="P379" s="243"/>
      <c r="Q379" s="243"/>
      <c r="R379" s="243"/>
      <c r="S379" s="243"/>
      <c r="T379" s="252"/>
      <c r="U379" s="252"/>
      <c r="V379" s="252"/>
      <c r="W379" s="252"/>
      <c r="X379" s="252"/>
      <c r="Y379" s="252"/>
    </row>
    <row r="380" spans="1:9" ht="20.25" customHeight="1">
      <c r="A380" s="73"/>
      <c r="B380" s="10"/>
      <c r="C380" s="3">
        <v>4010</v>
      </c>
      <c r="D380" s="288" t="s">
        <v>643</v>
      </c>
      <c r="E380" s="55">
        <v>29760</v>
      </c>
      <c r="F380" s="116"/>
      <c r="G380" s="55">
        <v>15394.53</v>
      </c>
      <c r="H380" s="116"/>
      <c r="I380" s="359">
        <f t="shared" si="5"/>
        <v>51.7289314516129</v>
      </c>
    </row>
    <row r="381" spans="1:9" ht="20.25" customHeight="1">
      <c r="A381" s="73"/>
      <c r="B381" s="10"/>
      <c r="C381" s="3">
        <v>4040</v>
      </c>
      <c r="D381" s="288" t="s">
        <v>644</v>
      </c>
      <c r="E381" s="55">
        <v>2400</v>
      </c>
      <c r="F381" s="116"/>
      <c r="G381" s="55">
        <v>2400</v>
      </c>
      <c r="H381" s="116"/>
      <c r="I381" s="359">
        <f t="shared" si="5"/>
        <v>100</v>
      </c>
    </row>
    <row r="382" spans="1:9" ht="20.25" customHeight="1">
      <c r="A382" s="73"/>
      <c r="B382" s="10"/>
      <c r="C382" s="3">
        <v>4110</v>
      </c>
      <c r="D382" s="288" t="s">
        <v>645</v>
      </c>
      <c r="E382" s="55">
        <v>4850</v>
      </c>
      <c r="F382" s="116"/>
      <c r="G382" s="55">
        <v>2034.47</v>
      </c>
      <c r="H382" s="116"/>
      <c r="I382" s="359">
        <f t="shared" si="5"/>
        <v>41.94783505154639</v>
      </c>
    </row>
    <row r="383" spans="1:9" ht="20.25" customHeight="1">
      <c r="A383" s="73"/>
      <c r="B383" s="10"/>
      <c r="C383" s="3">
        <v>4120</v>
      </c>
      <c r="D383" s="288" t="s">
        <v>646</v>
      </c>
      <c r="E383" s="55">
        <v>700</v>
      </c>
      <c r="F383" s="116"/>
      <c r="G383" s="55">
        <v>381.93</v>
      </c>
      <c r="H383" s="116"/>
      <c r="I383" s="359">
        <f t="shared" si="5"/>
        <v>54.56142857142857</v>
      </c>
    </row>
    <row r="384" spans="1:9" ht="20.25" customHeight="1">
      <c r="A384" s="73"/>
      <c r="B384" s="10"/>
      <c r="C384" s="3">
        <v>4210</v>
      </c>
      <c r="D384" s="288" t="s">
        <v>602</v>
      </c>
      <c r="E384" s="55">
        <v>4000</v>
      </c>
      <c r="F384" s="116"/>
      <c r="G384" s="55">
        <v>360.7</v>
      </c>
      <c r="H384" s="116"/>
      <c r="I384" s="359">
        <f t="shared" si="5"/>
        <v>9.017499999999998</v>
      </c>
    </row>
    <row r="385" spans="1:9" ht="20.25" customHeight="1">
      <c r="A385" s="73"/>
      <c r="B385" s="10"/>
      <c r="C385" s="3">
        <v>4260</v>
      </c>
      <c r="D385" s="288" t="s">
        <v>660</v>
      </c>
      <c r="E385" s="55">
        <v>5000</v>
      </c>
      <c r="F385" s="116"/>
      <c r="G385" s="55">
        <v>2274.42</v>
      </c>
      <c r="H385" s="116"/>
      <c r="I385" s="359">
        <f t="shared" si="5"/>
        <v>45.4884</v>
      </c>
    </row>
    <row r="386" spans="1:9" ht="20.25" customHeight="1">
      <c r="A386" s="73"/>
      <c r="B386" s="10"/>
      <c r="C386" s="3">
        <v>4300</v>
      </c>
      <c r="D386" s="288" t="s">
        <v>599</v>
      </c>
      <c r="E386" s="55">
        <v>14420</v>
      </c>
      <c r="F386" s="116"/>
      <c r="G386" s="55">
        <v>11124</v>
      </c>
      <c r="H386" s="116"/>
      <c r="I386" s="359">
        <f t="shared" si="5"/>
        <v>77.14285714285715</v>
      </c>
    </row>
    <row r="387" spans="1:9" ht="30" customHeight="1">
      <c r="A387" s="73"/>
      <c r="B387" s="10"/>
      <c r="C387" s="3">
        <v>4440</v>
      </c>
      <c r="D387" s="288" t="s">
        <v>647</v>
      </c>
      <c r="E387" s="55">
        <v>1170</v>
      </c>
      <c r="F387" s="116"/>
      <c r="G387" s="55">
        <v>878</v>
      </c>
      <c r="H387" s="116"/>
      <c r="I387" s="359">
        <f t="shared" si="5"/>
        <v>75.04273504273505</v>
      </c>
    </row>
    <row r="388" spans="1:9" ht="29.25" customHeight="1">
      <c r="A388" s="73"/>
      <c r="B388" s="10"/>
      <c r="C388" s="3">
        <v>4700</v>
      </c>
      <c r="D388" s="288" t="s">
        <v>420</v>
      </c>
      <c r="E388" s="55">
        <v>1000</v>
      </c>
      <c r="F388" s="116"/>
      <c r="G388" s="55">
        <v>0</v>
      </c>
      <c r="H388" s="116"/>
      <c r="I388" s="359"/>
    </row>
    <row r="389" spans="1:25" s="56" customFormat="1" ht="24" customHeight="1">
      <c r="A389" s="91"/>
      <c r="B389" s="25">
        <v>85206</v>
      </c>
      <c r="C389" s="25"/>
      <c r="D389" s="293" t="s">
        <v>663</v>
      </c>
      <c r="E389" s="106">
        <f>SUM(E390:E395)</f>
        <v>255952</v>
      </c>
      <c r="F389" s="115"/>
      <c r="G389" s="106">
        <f>SUM(G390:G395)</f>
        <v>91172.11000000002</v>
      </c>
      <c r="H389" s="115"/>
      <c r="I389" s="359">
        <f t="shared" si="5"/>
        <v>35.6207843658186</v>
      </c>
      <c r="J389" s="243"/>
      <c r="K389" s="243"/>
      <c r="L389" s="261"/>
      <c r="M389" s="243"/>
      <c r="N389" s="243"/>
      <c r="O389" s="243"/>
      <c r="P389" s="243"/>
      <c r="Q389" s="243"/>
      <c r="R389" s="243"/>
      <c r="S389" s="243"/>
      <c r="T389" s="252"/>
      <c r="U389" s="252"/>
      <c r="V389" s="252"/>
      <c r="W389" s="252"/>
      <c r="X389" s="252"/>
      <c r="Y389" s="252"/>
    </row>
    <row r="390" spans="1:9" ht="18.75" customHeight="1">
      <c r="A390" s="73"/>
      <c r="B390" s="10"/>
      <c r="C390" s="3">
        <v>4010</v>
      </c>
      <c r="D390" s="288" t="s">
        <v>643</v>
      </c>
      <c r="E390" s="55">
        <v>127320</v>
      </c>
      <c r="F390" s="116"/>
      <c r="G390" s="55">
        <v>64143.98</v>
      </c>
      <c r="H390" s="116"/>
      <c r="I390" s="359">
        <f t="shared" si="5"/>
        <v>50.38012880929941</v>
      </c>
    </row>
    <row r="391" spans="1:9" ht="24" customHeight="1">
      <c r="A391" s="73"/>
      <c r="B391" s="10"/>
      <c r="C391" s="3">
        <v>4040</v>
      </c>
      <c r="D391" s="288" t="s">
        <v>644</v>
      </c>
      <c r="E391" s="55">
        <v>11000</v>
      </c>
      <c r="F391" s="116"/>
      <c r="G391" s="55">
        <v>11000</v>
      </c>
      <c r="H391" s="116"/>
      <c r="I391" s="359">
        <f t="shared" si="5"/>
        <v>100</v>
      </c>
    </row>
    <row r="392" spans="1:9" ht="22.5" customHeight="1">
      <c r="A392" s="73"/>
      <c r="B392" s="10"/>
      <c r="C392" s="3">
        <v>4110</v>
      </c>
      <c r="D392" s="288" t="s">
        <v>645</v>
      </c>
      <c r="E392" s="55">
        <v>37212</v>
      </c>
      <c r="F392" s="116"/>
      <c r="G392" s="55">
        <v>12114.29</v>
      </c>
      <c r="H392" s="116"/>
      <c r="I392" s="359">
        <f t="shared" si="5"/>
        <v>32.55479415242395</v>
      </c>
    </row>
    <row r="393" spans="1:9" ht="21.75" customHeight="1">
      <c r="A393" s="73"/>
      <c r="B393" s="10"/>
      <c r="C393" s="3">
        <v>4120</v>
      </c>
      <c r="D393" s="288" t="s">
        <v>646</v>
      </c>
      <c r="E393" s="55">
        <v>4920</v>
      </c>
      <c r="F393" s="116"/>
      <c r="G393" s="55">
        <v>1288.84</v>
      </c>
      <c r="H393" s="116"/>
      <c r="I393" s="359">
        <f t="shared" si="5"/>
        <v>26.195934959349593</v>
      </c>
    </row>
    <row r="394" spans="1:9" ht="21.75" customHeight="1">
      <c r="A394" s="73"/>
      <c r="B394" s="10"/>
      <c r="C394" s="3">
        <v>4170</v>
      </c>
      <c r="D394" s="288" t="s">
        <v>652</v>
      </c>
      <c r="E394" s="55">
        <v>72000</v>
      </c>
      <c r="F394" s="116"/>
      <c r="G394" s="55">
        <v>0</v>
      </c>
      <c r="H394" s="116"/>
      <c r="I394" s="359"/>
    </row>
    <row r="395" spans="1:9" ht="28.5" customHeight="1">
      <c r="A395" s="73"/>
      <c r="B395" s="10"/>
      <c r="C395" s="3">
        <v>4440</v>
      </c>
      <c r="D395" s="288" t="s">
        <v>647</v>
      </c>
      <c r="E395" s="55">
        <v>3500</v>
      </c>
      <c r="F395" s="116"/>
      <c r="G395" s="55">
        <v>2625</v>
      </c>
      <c r="H395" s="116"/>
      <c r="I395" s="359">
        <f t="shared" si="5"/>
        <v>75</v>
      </c>
    </row>
    <row r="396" spans="1:9" ht="51.75" customHeight="1">
      <c r="A396" s="73"/>
      <c r="B396" s="25">
        <v>85212</v>
      </c>
      <c r="C396" s="25"/>
      <c r="D396" s="293" t="s">
        <v>162</v>
      </c>
      <c r="E396" s="106">
        <f>SUM(E397:E413)</f>
        <v>20331224</v>
      </c>
      <c r="F396" s="115">
        <f>SUM(F397:F413)</f>
        <v>19610824</v>
      </c>
      <c r="G396" s="106">
        <f>SUM(G397:G413)</f>
        <v>10530628.610000001</v>
      </c>
      <c r="H396" s="115">
        <f>SUM(H397:H413)</f>
        <v>10272660.12</v>
      </c>
      <c r="I396" s="359">
        <f t="shared" si="5"/>
        <v>51.79534990121599</v>
      </c>
    </row>
    <row r="397" spans="1:9" ht="30" customHeight="1">
      <c r="A397" s="73"/>
      <c r="B397" s="30"/>
      <c r="C397" s="3">
        <v>3020</v>
      </c>
      <c r="D397" s="288" t="s">
        <v>165</v>
      </c>
      <c r="E397" s="55">
        <v>7000</v>
      </c>
      <c r="F397" s="116"/>
      <c r="G397" s="55">
        <v>924.52</v>
      </c>
      <c r="H397" s="116"/>
      <c r="I397" s="359">
        <f t="shared" si="5"/>
        <v>13.20742857142857</v>
      </c>
    </row>
    <row r="398" spans="1:9" ht="18" customHeight="1">
      <c r="A398" s="73"/>
      <c r="B398" s="30"/>
      <c r="C398" s="3">
        <v>3030</v>
      </c>
      <c r="D398" s="288" t="s">
        <v>669</v>
      </c>
      <c r="E398" s="55">
        <v>2000</v>
      </c>
      <c r="F398" s="116"/>
      <c r="G398" s="55">
        <v>0</v>
      </c>
      <c r="H398" s="116"/>
      <c r="I398" s="359"/>
    </row>
    <row r="399" spans="1:9" ht="15.75" customHeight="1">
      <c r="A399" s="73"/>
      <c r="B399" s="10"/>
      <c r="C399" s="3">
        <v>3110</v>
      </c>
      <c r="D399" s="288" t="s">
        <v>339</v>
      </c>
      <c r="E399" s="116">
        <v>18479810</v>
      </c>
      <c r="F399" s="116">
        <v>18319810</v>
      </c>
      <c r="G399" s="116">
        <v>9660054.77</v>
      </c>
      <c r="H399" s="116">
        <v>9624054.77</v>
      </c>
      <c r="I399" s="359">
        <f aca="true" t="shared" si="6" ref="I399:I461">G399/E399*100</f>
        <v>52.273561091807764</v>
      </c>
    </row>
    <row r="400" spans="1:9" ht="18.75" customHeight="1">
      <c r="A400" s="73"/>
      <c r="B400" s="10"/>
      <c r="C400" s="3">
        <v>4010</v>
      </c>
      <c r="D400" s="288" t="s">
        <v>643</v>
      </c>
      <c r="E400" s="55">
        <v>746720</v>
      </c>
      <c r="F400" s="116">
        <v>428000</v>
      </c>
      <c r="G400" s="55">
        <v>330555.31</v>
      </c>
      <c r="H400" s="116">
        <v>223298.19</v>
      </c>
      <c r="I400" s="359">
        <f t="shared" si="6"/>
        <v>44.26763847225198</v>
      </c>
    </row>
    <row r="401" spans="1:9" ht="15" customHeight="1">
      <c r="A401" s="73"/>
      <c r="B401" s="10"/>
      <c r="C401" s="3">
        <v>4040</v>
      </c>
      <c r="D401" s="288" t="s">
        <v>644</v>
      </c>
      <c r="E401" s="55">
        <v>68000</v>
      </c>
      <c r="F401" s="116">
        <v>38000</v>
      </c>
      <c r="G401" s="55">
        <v>68000</v>
      </c>
      <c r="H401" s="116">
        <v>38000</v>
      </c>
      <c r="I401" s="359">
        <f t="shared" si="6"/>
        <v>100</v>
      </c>
    </row>
    <row r="402" spans="1:9" ht="15" customHeight="1">
      <c r="A402" s="73"/>
      <c r="B402" s="10"/>
      <c r="C402" s="3">
        <v>4110</v>
      </c>
      <c r="D402" s="288" t="s">
        <v>645</v>
      </c>
      <c r="E402" s="55">
        <v>873000</v>
      </c>
      <c r="F402" s="116">
        <v>803000</v>
      </c>
      <c r="G402" s="55">
        <v>393375.63</v>
      </c>
      <c r="H402" s="116">
        <v>371772.47</v>
      </c>
      <c r="I402" s="359">
        <f t="shared" si="6"/>
        <v>45.06020962199313</v>
      </c>
    </row>
    <row r="403" spans="1:9" ht="15" customHeight="1">
      <c r="A403" s="73"/>
      <c r="B403" s="10"/>
      <c r="C403" s="3">
        <v>4120</v>
      </c>
      <c r="D403" s="288" t="s">
        <v>646</v>
      </c>
      <c r="E403" s="55">
        <v>15534</v>
      </c>
      <c r="F403" s="116">
        <v>8014</v>
      </c>
      <c r="G403" s="55">
        <v>7188.49</v>
      </c>
      <c r="H403" s="116">
        <v>5034.69</v>
      </c>
      <c r="I403" s="359">
        <f t="shared" si="6"/>
        <v>46.275846530191835</v>
      </c>
    </row>
    <row r="404" spans="1:9" ht="15" customHeight="1">
      <c r="A404" s="73"/>
      <c r="B404" s="10"/>
      <c r="C404" s="3">
        <v>4170</v>
      </c>
      <c r="D404" s="288" t="s">
        <v>652</v>
      </c>
      <c r="E404" s="55">
        <v>1000</v>
      </c>
      <c r="F404" s="116"/>
      <c r="G404" s="55">
        <v>0</v>
      </c>
      <c r="H404" s="116"/>
      <c r="I404" s="359"/>
    </row>
    <row r="405" spans="1:9" ht="15" customHeight="1">
      <c r="A405" s="73"/>
      <c r="B405" s="10"/>
      <c r="C405" s="3">
        <v>4210</v>
      </c>
      <c r="D405" s="288" t="s">
        <v>602</v>
      </c>
      <c r="E405" s="55">
        <v>25000</v>
      </c>
      <c r="F405" s="116"/>
      <c r="G405" s="55">
        <v>13682.56</v>
      </c>
      <c r="H405" s="116"/>
      <c r="I405" s="359">
        <f t="shared" si="6"/>
        <v>54.730239999999995</v>
      </c>
    </row>
    <row r="406" spans="1:9" ht="15" customHeight="1">
      <c r="A406" s="73"/>
      <c r="B406" s="10"/>
      <c r="C406" s="3">
        <v>4260</v>
      </c>
      <c r="D406" s="288" t="s">
        <v>660</v>
      </c>
      <c r="E406" s="55">
        <v>27000</v>
      </c>
      <c r="F406" s="116"/>
      <c r="G406" s="55">
        <v>11986.33</v>
      </c>
      <c r="H406" s="116"/>
      <c r="I406" s="359">
        <f t="shared" si="6"/>
        <v>44.39381481481482</v>
      </c>
    </row>
    <row r="407" spans="1:9" ht="15" customHeight="1">
      <c r="A407" s="73"/>
      <c r="B407" s="10"/>
      <c r="C407" s="3">
        <v>4270</v>
      </c>
      <c r="D407" s="288" t="s">
        <v>603</v>
      </c>
      <c r="E407" s="55">
        <v>6000</v>
      </c>
      <c r="F407" s="116"/>
      <c r="G407" s="55">
        <v>0</v>
      </c>
      <c r="H407" s="116"/>
      <c r="I407" s="359"/>
    </row>
    <row r="408" spans="1:9" ht="15" customHeight="1">
      <c r="A408" s="73"/>
      <c r="B408" s="10"/>
      <c r="C408" s="3">
        <v>4300</v>
      </c>
      <c r="D408" s="288" t="s">
        <v>599</v>
      </c>
      <c r="E408" s="55">
        <v>50000</v>
      </c>
      <c r="F408" s="116"/>
      <c r="G408" s="55">
        <v>23491.4</v>
      </c>
      <c r="H408" s="116"/>
      <c r="I408" s="359">
        <f t="shared" si="6"/>
        <v>46.982800000000005</v>
      </c>
    </row>
    <row r="409" spans="1:9" ht="15" customHeight="1">
      <c r="A409" s="73"/>
      <c r="B409" s="10"/>
      <c r="C409" s="3">
        <v>4380</v>
      </c>
      <c r="D409" s="288" t="s">
        <v>425</v>
      </c>
      <c r="E409" s="55">
        <v>500</v>
      </c>
      <c r="F409" s="116"/>
      <c r="G409" s="55">
        <v>0</v>
      </c>
      <c r="H409" s="116"/>
      <c r="I409" s="359"/>
    </row>
    <row r="410" spans="1:9" ht="15" customHeight="1">
      <c r="A410" s="73"/>
      <c r="B410" s="10"/>
      <c r="C410" s="3">
        <v>4410</v>
      </c>
      <c r="D410" s="288" t="s">
        <v>649</v>
      </c>
      <c r="E410" s="55">
        <v>400</v>
      </c>
      <c r="F410" s="116"/>
      <c r="G410" s="55">
        <v>0</v>
      </c>
      <c r="H410" s="116"/>
      <c r="I410" s="359"/>
    </row>
    <row r="411" spans="1:9" ht="24" customHeight="1">
      <c r="A411" s="73"/>
      <c r="B411" s="10"/>
      <c r="C411" s="3">
        <v>4440</v>
      </c>
      <c r="D411" s="288" t="s">
        <v>647</v>
      </c>
      <c r="E411" s="55">
        <v>25160</v>
      </c>
      <c r="F411" s="116">
        <v>14000</v>
      </c>
      <c r="G411" s="55">
        <v>18870</v>
      </c>
      <c r="H411" s="116">
        <v>10500</v>
      </c>
      <c r="I411" s="359">
        <f t="shared" si="6"/>
        <v>75</v>
      </c>
    </row>
    <row r="412" spans="1:9" ht="26.25" customHeight="1">
      <c r="A412" s="73"/>
      <c r="B412" s="10"/>
      <c r="C412" s="3">
        <v>4610</v>
      </c>
      <c r="D412" s="288" t="s">
        <v>575</v>
      </c>
      <c r="E412" s="55">
        <v>2500</v>
      </c>
      <c r="F412" s="116"/>
      <c r="G412" s="55">
        <v>2499.6</v>
      </c>
      <c r="H412" s="116"/>
      <c r="I412" s="359">
        <f t="shared" si="6"/>
        <v>99.984</v>
      </c>
    </row>
    <row r="413" spans="1:9" ht="28.5" customHeight="1">
      <c r="A413" s="73"/>
      <c r="B413" s="10"/>
      <c r="C413" s="3">
        <v>4700</v>
      </c>
      <c r="D413" s="288" t="s">
        <v>420</v>
      </c>
      <c r="E413" s="55">
        <v>1600</v>
      </c>
      <c r="F413" s="116"/>
      <c r="G413" s="55">
        <v>0</v>
      </c>
      <c r="H413" s="116"/>
      <c r="I413" s="359"/>
    </row>
    <row r="414" spans="1:9" ht="61.5" customHeight="1">
      <c r="A414" s="73"/>
      <c r="B414" s="25">
        <v>85213</v>
      </c>
      <c r="C414" s="25"/>
      <c r="D414" s="340" t="s">
        <v>307</v>
      </c>
      <c r="E414" s="106">
        <f>E415</f>
        <v>286740</v>
      </c>
      <c r="F414" s="106">
        <f>F415</f>
        <v>135000</v>
      </c>
      <c r="G414" s="106">
        <f>G415</f>
        <v>128757.08</v>
      </c>
      <c r="H414" s="106">
        <f>H415</f>
        <v>57448.89</v>
      </c>
      <c r="I414" s="359">
        <f t="shared" si="6"/>
        <v>44.90377345330264</v>
      </c>
    </row>
    <row r="415" spans="1:9" ht="19.5" customHeight="1">
      <c r="A415" s="73"/>
      <c r="B415" s="10"/>
      <c r="C415" s="3">
        <v>4130</v>
      </c>
      <c r="D415" s="288" t="s">
        <v>332</v>
      </c>
      <c r="E415" s="79">
        <v>286740</v>
      </c>
      <c r="F415" s="95">
        <v>135000</v>
      </c>
      <c r="G415" s="79">
        <v>128757.08</v>
      </c>
      <c r="H415" s="95">
        <v>57448.89</v>
      </c>
      <c r="I415" s="359">
        <f t="shared" si="6"/>
        <v>44.90377345330264</v>
      </c>
    </row>
    <row r="416" spans="1:9" ht="27" customHeight="1">
      <c r="A416" s="73"/>
      <c r="B416" s="24">
        <v>85214</v>
      </c>
      <c r="C416" s="25"/>
      <c r="D416" s="293" t="s">
        <v>453</v>
      </c>
      <c r="E416" s="106">
        <f>E417</f>
        <v>5033583</v>
      </c>
      <c r="F416" s="116"/>
      <c r="G416" s="106">
        <f>G417</f>
        <v>3344575.65</v>
      </c>
      <c r="H416" s="116"/>
      <c r="I416" s="359">
        <f t="shared" si="6"/>
        <v>66.44522698840964</v>
      </c>
    </row>
    <row r="417" spans="1:9" ht="20.25" customHeight="1">
      <c r="A417" s="73"/>
      <c r="B417" s="30"/>
      <c r="C417" s="3">
        <v>3110</v>
      </c>
      <c r="D417" s="288" t="s">
        <v>339</v>
      </c>
      <c r="E417" s="101">
        <v>5033583</v>
      </c>
      <c r="F417" s="95"/>
      <c r="G417" s="101">
        <v>3344575.65</v>
      </c>
      <c r="H417" s="95"/>
      <c r="I417" s="359">
        <f t="shared" si="6"/>
        <v>66.44522698840964</v>
      </c>
    </row>
    <row r="418" spans="1:9" ht="21.75" customHeight="1">
      <c r="A418" s="118"/>
      <c r="B418" s="83">
        <v>85215</v>
      </c>
      <c r="C418" s="25"/>
      <c r="D418" s="293" t="s">
        <v>340</v>
      </c>
      <c r="E418" s="106">
        <f>E419+E420</f>
        <v>2950500</v>
      </c>
      <c r="F418" s="116"/>
      <c r="G418" s="106">
        <f>G419+G420</f>
        <v>1568665.9500000002</v>
      </c>
      <c r="H418" s="116"/>
      <c r="I418" s="359">
        <f t="shared" si="6"/>
        <v>53.16610574478903</v>
      </c>
    </row>
    <row r="419" spans="1:9" ht="16.5" customHeight="1">
      <c r="A419" s="89"/>
      <c r="B419" s="99"/>
      <c r="C419" s="3">
        <v>3110</v>
      </c>
      <c r="D419" s="288" t="s">
        <v>339</v>
      </c>
      <c r="E419" s="101">
        <v>2950000</v>
      </c>
      <c r="F419" s="95"/>
      <c r="G419" s="101">
        <v>1568393.85</v>
      </c>
      <c r="H419" s="95"/>
      <c r="I419" s="359">
        <f t="shared" si="6"/>
        <v>53.16589322033899</v>
      </c>
    </row>
    <row r="420" spans="1:9" ht="15" customHeight="1">
      <c r="A420" s="89"/>
      <c r="B420" s="99"/>
      <c r="C420" s="3">
        <v>4300</v>
      </c>
      <c r="D420" s="288" t="s">
        <v>599</v>
      </c>
      <c r="E420" s="55">
        <v>500</v>
      </c>
      <c r="F420" s="95"/>
      <c r="G420" s="55">
        <v>272.1</v>
      </c>
      <c r="H420" s="95"/>
      <c r="I420" s="359">
        <f t="shared" si="6"/>
        <v>54.42</v>
      </c>
    </row>
    <row r="421" spans="1:25" s="56" customFormat="1" ht="18.75" customHeight="1">
      <c r="A421" s="118"/>
      <c r="B421" s="49">
        <v>85216</v>
      </c>
      <c r="C421" s="25"/>
      <c r="D421" s="293" t="s">
        <v>485</v>
      </c>
      <c r="E421" s="106">
        <f>E422</f>
        <v>1330832</v>
      </c>
      <c r="F421" s="114"/>
      <c r="G421" s="106">
        <f>G422</f>
        <v>1000362.23</v>
      </c>
      <c r="H421" s="114"/>
      <c r="I421" s="359">
        <f t="shared" si="6"/>
        <v>75.16818276085937</v>
      </c>
      <c r="J421" s="243"/>
      <c r="K421" s="243"/>
      <c r="L421" s="261"/>
      <c r="M421" s="243"/>
      <c r="N421" s="243"/>
      <c r="O421" s="243"/>
      <c r="P421" s="243"/>
      <c r="Q421" s="243"/>
      <c r="R421" s="243"/>
      <c r="S421" s="243"/>
      <c r="T421" s="252"/>
      <c r="U421" s="252"/>
      <c r="V421" s="252"/>
      <c r="W421" s="252"/>
      <c r="X421" s="252"/>
      <c r="Y421" s="252"/>
    </row>
    <row r="422" spans="1:9" ht="17.25" customHeight="1">
      <c r="A422" s="89"/>
      <c r="B422" s="99"/>
      <c r="C422" s="3">
        <v>3110</v>
      </c>
      <c r="D422" s="288" t="s">
        <v>339</v>
      </c>
      <c r="E422" s="55">
        <v>1330832</v>
      </c>
      <c r="F422" s="95"/>
      <c r="G422" s="55">
        <v>1000362.23</v>
      </c>
      <c r="H422" s="95"/>
      <c r="I422" s="359">
        <f t="shared" si="6"/>
        <v>75.16818276085937</v>
      </c>
    </row>
    <row r="423" spans="1:9" ht="22.5" customHeight="1">
      <c r="A423" s="89"/>
      <c r="B423" s="28">
        <v>85219</v>
      </c>
      <c r="C423" s="25"/>
      <c r="D423" s="293" t="s">
        <v>454</v>
      </c>
      <c r="E423" s="106">
        <f>SUM(E424:E445)</f>
        <v>5845407</v>
      </c>
      <c r="F423" s="115">
        <f>SUM(F424:F445)</f>
        <v>27963</v>
      </c>
      <c r="G423" s="106">
        <f>SUM(G424:G445)</f>
        <v>2967812.11</v>
      </c>
      <c r="H423" s="115">
        <f>SUM(H424:H445)</f>
        <v>27963</v>
      </c>
      <c r="I423" s="359">
        <f t="shared" si="6"/>
        <v>50.77169322854679</v>
      </c>
    </row>
    <row r="424" spans="1:9" ht="24.75" customHeight="1">
      <c r="A424" s="89"/>
      <c r="B424" s="14"/>
      <c r="C424" s="9">
        <v>3020</v>
      </c>
      <c r="D424" s="288" t="s">
        <v>165</v>
      </c>
      <c r="E424" s="55">
        <v>26250</v>
      </c>
      <c r="F424" s="95"/>
      <c r="G424" s="55">
        <v>12610.6</v>
      </c>
      <c r="H424" s="95"/>
      <c r="I424" s="359">
        <f t="shared" si="6"/>
        <v>48.04038095238095</v>
      </c>
    </row>
    <row r="425" spans="1:9" ht="18.75" customHeight="1">
      <c r="A425" s="89"/>
      <c r="B425" s="8"/>
      <c r="C425" s="3">
        <v>3110</v>
      </c>
      <c r="D425" s="288" t="s">
        <v>339</v>
      </c>
      <c r="E425" s="101">
        <v>27550</v>
      </c>
      <c r="F425" s="116">
        <v>27550</v>
      </c>
      <c r="G425" s="101">
        <v>27550</v>
      </c>
      <c r="H425" s="116">
        <v>27550</v>
      </c>
      <c r="I425" s="359">
        <f t="shared" si="6"/>
        <v>100</v>
      </c>
    </row>
    <row r="426" spans="1:9" ht="16.5" customHeight="1">
      <c r="A426" s="89"/>
      <c r="B426" s="8"/>
      <c r="C426" s="9">
        <v>4010</v>
      </c>
      <c r="D426" s="288" t="s">
        <v>643</v>
      </c>
      <c r="E426" s="101">
        <v>4204000</v>
      </c>
      <c r="F426" s="95"/>
      <c r="G426" s="101">
        <v>1934268.65</v>
      </c>
      <c r="H426" s="95"/>
      <c r="I426" s="359">
        <f t="shared" si="6"/>
        <v>46.01019624167459</v>
      </c>
    </row>
    <row r="427" spans="1:9" ht="15" customHeight="1">
      <c r="A427" s="89"/>
      <c r="B427" s="8"/>
      <c r="C427" s="9">
        <v>4040</v>
      </c>
      <c r="D427" s="288" t="s">
        <v>644</v>
      </c>
      <c r="E427" s="55">
        <v>316000</v>
      </c>
      <c r="F427" s="95"/>
      <c r="G427" s="55">
        <v>315998.9</v>
      </c>
      <c r="H427" s="95"/>
      <c r="I427" s="359">
        <f t="shared" si="6"/>
        <v>99.99965189873419</v>
      </c>
    </row>
    <row r="428" spans="1:9" ht="15" customHeight="1">
      <c r="A428" s="89"/>
      <c r="B428" s="8"/>
      <c r="C428" s="9">
        <v>4110</v>
      </c>
      <c r="D428" s="288" t="s">
        <v>645</v>
      </c>
      <c r="E428" s="55">
        <v>736194</v>
      </c>
      <c r="F428" s="95"/>
      <c r="G428" s="55">
        <v>390442.81</v>
      </c>
      <c r="H428" s="95"/>
      <c r="I428" s="359">
        <f t="shared" si="6"/>
        <v>53.035315419576904</v>
      </c>
    </row>
    <row r="429" spans="1:9" ht="15" customHeight="1">
      <c r="A429" s="89"/>
      <c r="B429" s="8"/>
      <c r="C429" s="9">
        <v>4120</v>
      </c>
      <c r="D429" s="288" t="s">
        <v>646</v>
      </c>
      <c r="E429" s="55">
        <v>83600</v>
      </c>
      <c r="F429" s="95"/>
      <c r="G429" s="55">
        <v>34065.65</v>
      </c>
      <c r="H429" s="95"/>
      <c r="I429" s="359">
        <f t="shared" si="6"/>
        <v>40.74838516746412</v>
      </c>
    </row>
    <row r="430" spans="1:9" ht="15" customHeight="1">
      <c r="A430" s="89"/>
      <c r="B430" s="8"/>
      <c r="C430" s="3">
        <v>4170</v>
      </c>
      <c r="D430" s="288" t="s">
        <v>652</v>
      </c>
      <c r="E430" s="55">
        <v>20000</v>
      </c>
      <c r="F430" s="95"/>
      <c r="G430" s="55">
        <v>3752</v>
      </c>
      <c r="H430" s="95"/>
      <c r="I430" s="359">
        <f t="shared" si="6"/>
        <v>18.759999999999998</v>
      </c>
    </row>
    <row r="431" spans="1:9" ht="15" customHeight="1">
      <c r="A431" s="89"/>
      <c r="B431" s="8"/>
      <c r="C431" s="16">
        <v>4210</v>
      </c>
      <c r="D431" s="290" t="s">
        <v>602</v>
      </c>
      <c r="E431" s="55">
        <v>64350</v>
      </c>
      <c r="F431" s="95"/>
      <c r="G431" s="55">
        <v>34048.34</v>
      </c>
      <c r="H431" s="95"/>
      <c r="I431" s="359">
        <f t="shared" si="6"/>
        <v>52.91117327117326</v>
      </c>
    </row>
    <row r="432" spans="1:9" ht="15" customHeight="1">
      <c r="A432" s="89"/>
      <c r="B432" s="8"/>
      <c r="C432" s="9">
        <v>4260</v>
      </c>
      <c r="D432" s="288" t="s">
        <v>660</v>
      </c>
      <c r="E432" s="55">
        <v>70600</v>
      </c>
      <c r="F432" s="95"/>
      <c r="G432" s="55">
        <v>44724.78</v>
      </c>
      <c r="H432" s="95"/>
      <c r="I432" s="359">
        <f t="shared" si="6"/>
        <v>63.349546742209625</v>
      </c>
    </row>
    <row r="433" spans="1:9" ht="15" customHeight="1">
      <c r="A433" s="89"/>
      <c r="B433" s="8"/>
      <c r="C433" s="9">
        <v>4270</v>
      </c>
      <c r="D433" s="288" t="s">
        <v>603</v>
      </c>
      <c r="E433" s="55">
        <v>9000</v>
      </c>
      <c r="F433" s="95"/>
      <c r="G433" s="55">
        <v>1615.24</v>
      </c>
      <c r="H433" s="95"/>
      <c r="I433" s="359">
        <f t="shared" si="6"/>
        <v>17.94711111111111</v>
      </c>
    </row>
    <row r="434" spans="1:9" ht="15" customHeight="1">
      <c r="A434" s="89"/>
      <c r="B434" s="8"/>
      <c r="C434" s="9">
        <v>4280</v>
      </c>
      <c r="D434" s="288" t="s">
        <v>326</v>
      </c>
      <c r="E434" s="55">
        <v>6100</v>
      </c>
      <c r="F434" s="95"/>
      <c r="G434" s="55">
        <v>1775</v>
      </c>
      <c r="H434" s="95"/>
      <c r="I434" s="359">
        <f t="shared" si="6"/>
        <v>29.098360655737704</v>
      </c>
    </row>
    <row r="435" spans="1:9" ht="15" customHeight="1">
      <c r="A435" s="89"/>
      <c r="B435" s="8"/>
      <c r="C435" s="9">
        <v>4300</v>
      </c>
      <c r="D435" s="288" t="s">
        <v>599</v>
      </c>
      <c r="E435" s="55">
        <v>80413</v>
      </c>
      <c r="F435" s="116">
        <v>413</v>
      </c>
      <c r="G435" s="55">
        <v>43533.28</v>
      </c>
      <c r="H435" s="116">
        <v>413</v>
      </c>
      <c r="I435" s="359">
        <f t="shared" si="6"/>
        <v>54.137117132801905</v>
      </c>
    </row>
    <row r="436" spans="1:9" ht="18.75" customHeight="1">
      <c r="A436" s="89"/>
      <c r="B436" s="8"/>
      <c r="C436" s="9">
        <v>4350</v>
      </c>
      <c r="D436" s="288" t="s">
        <v>655</v>
      </c>
      <c r="E436" s="55">
        <v>260</v>
      </c>
      <c r="F436" s="95"/>
      <c r="G436" s="55">
        <v>173.41</v>
      </c>
      <c r="H436" s="95"/>
      <c r="I436" s="359">
        <f t="shared" si="6"/>
        <v>66.69615384615385</v>
      </c>
    </row>
    <row r="437" spans="1:9" ht="39.75" customHeight="1">
      <c r="A437" s="89"/>
      <c r="B437" s="8"/>
      <c r="C437" s="3">
        <v>4360</v>
      </c>
      <c r="D437" s="288" t="s">
        <v>390</v>
      </c>
      <c r="E437" s="55">
        <v>15500</v>
      </c>
      <c r="F437" s="95"/>
      <c r="G437" s="55">
        <v>7054.01</v>
      </c>
      <c r="H437" s="95"/>
      <c r="I437" s="359">
        <f t="shared" si="6"/>
        <v>45.50974193548387</v>
      </c>
    </row>
    <row r="438" spans="1:9" ht="39" customHeight="1">
      <c r="A438" s="89"/>
      <c r="B438" s="8"/>
      <c r="C438" s="3">
        <v>4370</v>
      </c>
      <c r="D438" s="288" t="s">
        <v>389</v>
      </c>
      <c r="E438" s="55">
        <v>16000</v>
      </c>
      <c r="F438" s="95"/>
      <c r="G438" s="55">
        <v>7693.82</v>
      </c>
      <c r="H438" s="95"/>
      <c r="I438" s="359">
        <f t="shared" si="6"/>
        <v>48.086375</v>
      </c>
    </row>
    <row r="439" spans="1:9" ht="15" customHeight="1">
      <c r="A439" s="89"/>
      <c r="B439" s="8"/>
      <c r="C439" s="9">
        <v>4410</v>
      </c>
      <c r="D439" s="288" t="s">
        <v>649</v>
      </c>
      <c r="E439" s="55">
        <v>17500</v>
      </c>
      <c r="F439" s="95"/>
      <c r="G439" s="55">
        <v>9403.72</v>
      </c>
      <c r="H439" s="95"/>
      <c r="I439" s="359">
        <f t="shared" si="6"/>
        <v>53.735542857142846</v>
      </c>
    </row>
    <row r="440" spans="1:9" ht="15" customHeight="1">
      <c r="A440" s="89"/>
      <c r="B440" s="8"/>
      <c r="C440" s="9">
        <v>4430</v>
      </c>
      <c r="D440" s="288" t="s">
        <v>433</v>
      </c>
      <c r="E440" s="55">
        <v>11000</v>
      </c>
      <c r="F440" s="95"/>
      <c r="G440" s="55">
        <v>1679.97</v>
      </c>
      <c r="H440" s="95"/>
      <c r="I440" s="359">
        <f t="shared" si="6"/>
        <v>15.272454545454545</v>
      </c>
    </row>
    <row r="441" spans="1:9" ht="25.5" customHeight="1">
      <c r="A441" s="89"/>
      <c r="B441" s="8"/>
      <c r="C441" s="9">
        <v>4440</v>
      </c>
      <c r="D441" s="288" t="s">
        <v>647</v>
      </c>
      <c r="E441" s="55">
        <v>121890</v>
      </c>
      <c r="F441" s="95"/>
      <c r="G441" s="55">
        <v>89467</v>
      </c>
      <c r="H441" s="95"/>
      <c r="I441" s="359">
        <f t="shared" si="6"/>
        <v>73.39978669291985</v>
      </c>
    </row>
    <row r="442" spans="1:9" ht="18" customHeight="1">
      <c r="A442" s="89"/>
      <c r="B442" s="8"/>
      <c r="C442" s="9">
        <v>4480</v>
      </c>
      <c r="D442" s="288" t="s">
        <v>452</v>
      </c>
      <c r="E442" s="55">
        <v>6750</v>
      </c>
      <c r="F442" s="95"/>
      <c r="G442" s="55">
        <v>3368.04</v>
      </c>
      <c r="H442" s="95"/>
      <c r="I442" s="359">
        <f t="shared" si="6"/>
        <v>49.89688888888889</v>
      </c>
    </row>
    <row r="443" spans="1:9" ht="17.25" customHeight="1">
      <c r="A443" s="89"/>
      <c r="B443" s="8"/>
      <c r="C443" s="9">
        <v>4510</v>
      </c>
      <c r="D443" s="288" t="s">
        <v>166</v>
      </c>
      <c r="E443" s="55">
        <v>100</v>
      </c>
      <c r="F443" s="95"/>
      <c r="G443" s="55">
        <v>0</v>
      </c>
      <c r="H443" s="95"/>
      <c r="I443" s="359"/>
    </row>
    <row r="444" spans="1:9" ht="24.75" customHeight="1">
      <c r="A444" s="89"/>
      <c r="B444" s="8"/>
      <c r="C444" s="9">
        <v>4610</v>
      </c>
      <c r="D444" s="288" t="s">
        <v>575</v>
      </c>
      <c r="E444" s="55">
        <v>2350</v>
      </c>
      <c r="F444" s="95"/>
      <c r="G444" s="55">
        <v>1726.89</v>
      </c>
      <c r="H444" s="95"/>
      <c r="I444" s="359">
        <f t="shared" si="6"/>
        <v>73.48468085106383</v>
      </c>
    </row>
    <row r="445" spans="1:9" ht="28.5" customHeight="1">
      <c r="A445" s="89"/>
      <c r="B445" s="8"/>
      <c r="C445" s="9">
        <v>4700</v>
      </c>
      <c r="D445" s="288" t="s">
        <v>420</v>
      </c>
      <c r="E445" s="55">
        <v>10000</v>
      </c>
      <c r="F445" s="95"/>
      <c r="G445" s="55">
        <v>2860</v>
      </c>
      <c r="H445" s="95"/>
      <c r="I445" s="359">
        <f t="shared" si="6"/>
        <v>28.599999999999998</v>
      </c>
    </row>
    <row r="446" spans="1:25" s="56" customFormat="1" ht="38.25" customHeight="1">
      <c r="A446" s="118"/>
      <c r="B446" s="25">
        <v>85220</v>
      </c>
      <c r="C446" s="25"/>
      <c r="D446" s="293" t="s">
        <v>671</v>
      </c>
      <c r="E446" s="106">
        <f>SUM(E447:E452)</f>
        <v>47200</v>
      </c>
      <c r="F446" s="114"/>
      <c r="G446" s="106">
        <f>SUM(G447:G452)</f>
        <v>22028.719999999998</v>
      </c>
      <c r="H446" s="114"/>
      <c r="I446" s="359">
        <f t="shared" si="6"/>
        <v>46.67101694915254</v>
      </c>
      <c r="J446" s="243"/>
      <c r="K446" s="243"/>
      <c r="L446" s="261"/>
      <c r="M446" s="243"/>
      <c r="N446" s="243"/>
      <c r="O446" s="243"/>
      <c r="P446" s="243"/>
      <c r="Q446" s="243"/>
      <c r="R446" s="243"/>
      <c r="S446" s="243"/>
      <c r="T446" s="252"/>
      <c r="U446" s="252"/>
      <c r="V446" s="252"/>
      <c r="W446" s="252"/>
      <c r="X446" s="252"/>
      <c r="Y446" s="252"/>
    </row>
    <row r="447" spans="1:9" ht="19.5" customHeight="1">
      <c r="A447" s="89"/>
      <c r="B447" s="8"/>
      <c r="C447" s="16">
        <v>4210</v>
      </c>
      <c r="D447" s="290" t="s">
        <v>602</v>
      </c>
      <c r="E447" s="55">
        <v>1000</v>
      </c>
      <c r="F447" s="95"/>
      <c r="G447" s="55">
        <v>71.4</v>
      </c>
      <c r="H447" s="95"/>
      <c r="I447" s="359">
        <f t="shared" si="6"/>
        <v>7.140000000000001</v>
      </c>
    </row>
    <row r="448" spans="1:9" ht="19.5" customHeight="1">
      <c r="A448" s="89"/>
      <c r="B448" s="8"/>
      <c r="C448" s="9">
        <v>4260</v>
      </c>
      <c r="D448" s="288" t="s">
        <v>660</v>
      </c>
      <c r="E448" s="55">
        <v>25000</v>
      </c>
      <c r="F448" s="95"/>
      <c r="G448" s="55">
        <v>10060.43</v>
      </c>
      <c r="H448" s="95"/>
      <c r="I448" s="359">
        <f t="shared" si="6"/>
        <v>40.24172</v>
      </c>
    </row>
    <row r="449" spans="1:9" ht="19.5" customHeight="1">
      <c r="A449" s="89"/>
      <c r="B449" s="8"/>
      <c r="C449" s="9">
        <v>4270</v>
      </c>
      <c r="D449" s="288" t="s">
        <v>603</v>
      </c>
      <c r="E449" s="55">
        <v>1000</v>
      </c>
      <c r="F449" s="95"/>
      <c r="G449" s="55">
        <v>0</v>
      </c>
      <c r="H449" s="95"/>
      <c r="I449" s="359"/>
    </row>
    <row r="450" spans="1:9" ht="18.75" customHeight="1">
      <c r="A450" s="89"/>
      <c r="B450" s="8"/>
      <c r="C450" s="9">
        <v>4300</v>
      </c>
      <c r="D450" s="288" t="s">
        <v>599</v>
      </c>
      <c r="E450" s="55">
        <v>8000</v>
      </c>
      <c r="F450" s="95"/>
      <c r="G450" s="55">
        <v>4860</v>
      </c>
      <c r="H450" s="95"/>
      <c r="I450" s="359">
        <f t="shared" si="6"/>
        <v>60.75000000000001</v>
      </c>
    </row>
    <row r="451" spans="1:9" ht="25.5" customHeight="1">
      <c r="A451" s="89"/>
      <c r="B451" s="8"/>
      <c r="C451" s="3">
        <v>4400</v>
      </c>
      <c r="D451" s="288" t="s">
        <v>331</v>
      </c>
      <c r="E451" s="55">
        <v>12000</v>
      </c>
      <c r="F451" s="95"/>
      <c r="G451" s="55">
        <v>6950.97</v>
      </c>
      <c r="H451" s="95"/>
      <c r="I451" s="359">
        <f t="shared" si="6"/>
        <v>57.92475</v>
      </c>
    </row>
    <row r="452" spans="1:9" ht="24" customHeight="1">
      <c r="A452" s="89"/>
      <c r="B452" s="8"/>
      <c r="C452" s="9">
        <v>4480</v>
      </c>
      <c r="D452" s="288" t="s">
        <v>452</v>
      </c>
      <c r="E452" s="55">
        <v>200</v>
      </c>
      <c r="F452" s="95"/>
      <c r="G452" s="55">
        <v>85.92</v>
      </c>
      <c r="H452" s="95"/>
      <c r="I452" s="359">
        <f t="shared" si="6"/>
        <v>42.96</v>
      </c>
    </row>
    <row r="453" spans="1:9" ht="28.5" customHeight="1">
      <c r="A453" s="118"/>
      <c r="B453" s="49">
        <v>85228</v>
      </c>
      <c r="C453" s="25" t="s">
        <v>410</v>
      </c>
      <c r="D453" s="293" t="s">
        <v>341</v>
      </c>
      <c r="E453" s="106">
        <f>SUM(E454:E455)</f>
        <v>1560000</v>
      </c>
      <c r="F453" s="115">
        <f>SUM(F454:F455)</f>
        <v>320000</v>
      </c>
      <c r="G453" s="106">
        <f>SUM(G454:G455)</f>
        <v>720074.75</v>
      </c>
      <c r="H453" s="115">
        <f>SUM(H454:H455)</f>
        <v>107176.55</v>
      </c>
      <c r="I453" s="359">
        <f t="shared" si="6"/>
        <v>46.15863782051282</v>
      </c>
    </row>
    <row r="454" spans="1:9" ht="72" customHeight="1">
      <c r="A454" s="89"/>
      <c r="B454" s="99"/>
      <c r="C454" s="3">
        <v>2360</v>
      </c>
      <c r="D454" s="288" t="s">
        <v>493</v>
      </c>
      <c r="E454" s="55">
        <v>1200000</v>
      </c>
      <c r="F454" s="95"/>
      <c r="G454" s="55">
        <v>600000</v>
      </c>
      <c r="H454" s="95"/>
      <c r="I454" s="359">
        <f t="shared" si="6"/>
        <v>50</v>
      </c>
    </row>
    <row r="455" spans="1:9" ht="19.5" customHeight="1">
      <c r="A455" s="89"/>
      <c r="B455" s="99"/>
      <c r="C455" s="3">
        <v>4300</v>
      </c>
      <c r="D455" s="288" t="s">
        <v>599</v>
      </c>
      <c r="E455" s="55">
        <f>40000+320000</f>
        <v>360000</v>
      </c>
      <c r="F455" s="116">
        <v>320000</v>
      </c>
      <c r="G455" s="55">
        <v>120074.75</v>
      </c>
      <c r="H455" s="116">
        <v>107176.55</v>
      </c>
      <c r="I455" s="359">
        <f t="shared" si="6"/>
        <v>33.35409722222222</v>
      </c>
    </row>
    <row r="456" spans="1:10" ht="24" customHeight="1">
      <c r="A456" s="118" t="s">
        <v>410</v>
      </c>
      <c r="B456" s="83">
        <v>85295</v>
      </c>
      <c r="C456" s="25"/>
      <c r="D456" s="293" t="s">
        <v>544</v>
      </c>
      <c r="E456" s="106">
        <f>SUM(E457:E461)</f>
        <v>2883456.58</v>
      </c>
      <c r="F456" s="106">
        <f>SUM(F457:F461)</f>
        <v>292135</v>
      </c>
      <c r="G456" s="106">
        <f>SUM(G457:G461)</f>
        <v>2419421.42</v>
      </c>
      <c r="H456" s="106">
        <f>SUM(H457:H461)</f>
        <v>138926</v>
      </c>
      <c r="I456" s="359">
        <f t="shared" si="6"/>
        <v>83.90698291700997</v>
      </c>
      <c r="J456" s="243"/>
    </row>
    <row r="457" spans="1:9" ht="72.75" customHeight="1">
      <c r="A457" s="118"/>
      <c r="B457" s="86"/>
      <c r="C457" s="3">
        <v>2360</v>
      </c>
      <c r="D457" s="288" t="s">
        <v>493</v>
      </c>
      <c r="E457" s="55">
        <f>85000+200000</f>
        <v>285000</v>
      </c>
      <c r="F457" s="95"/>
      <c r="G457" s="55">
        <v>142500</v>
      </c>
      <c r="H457" s="95"/>
      <c r="I457" s="359">
        <f t="shared" si="6"/>
        <v>50</v>
      </c>
    </row>
    <row r="458" spans="1:9" ht="16.5" customHeight="1">
      <c r="A458" s="89"/>
      <c r="B458" s="99"/>
      <c r="C458" s="3">
        <v>3110</v>
      </c>
      <c r="D458" s="288" t="s">
        <v>339</v>
      </c>
      <c r="E458" s="55">
        <v>2405021.58</v>
      </c>
      <c r="F458" s="116">
        <v>283700</v>
      </c>
      <c r="G458" s="55">
        <v>2204764.31</v>
      </c>
      <c r="H458" s="116">
        <v>134900</v>
      </c>
      <c r="I458" s="359">
        <f t="shared" si="6"/>
        <v>91.67336910132839</v>
      </c>
    </row>
    <row r="459" spans="1:9" ht="15" customHeight="1">
      <c r="A459" s="89"/>
      <c r="B459" s="99"/>
      <c r="C459" s="3">
        <v>4210</v>
      </c>
      <c r="D459" s="288" t="s">
        <v>598</v>
      </c>
      <c r="E459" s="55">
        <v>15000</v>
      </c>
      <c r="F459" s="116">
        <v>4000</v>
      </c>
      <c r="G459" s="55">
        <v>535.05</v>
      </c>
      <c r="H459" s="116">
        <v>0</v>
      </c>
      <c r="I459" s="359">
        <f t="shared" si="6"/>
        <v>3.567</v>
      </c>
    </row>
    <row r="460" spans="1:9" ht="15" customHeight="1">
      <c r="A460" s="89"/>
      <c r="B460" s="99"/>
      <c r="C460" s="3">
        <v>4220</v>
      </c>
      <c r="D460" s="288" t="s">
        <v>163</v>
      </c>
      <c r="E460" s="55">
        <v>140000</v>
      </c>
      <c r="F460" s="116"/>
      <c r="G460" s="55">
        <v>54164.1</v>
      </c>
      <c r="H460" s="95"/>
      <c r="I460" s="359">
        <f t="shared" si="6"/>
        <v>38.68864285714286</v>
      </c>
    </row>
    <row r="461" spans="1:9" ht="15" customHeight="1">
      <c r="A461" s="89"/>
      <c r="B461" s="99"/>
      <c r="C461" s="3">
        <v>4300</v>
      </c>
      <c r="D461" s="288" t="s">
        <v>383</v>
      </c>
      <c r="E461" s="55">
        <v>38435</v>
      </c>
      <c r="F461" s="116">
        <v>4435</v>
      </c>
      <c r="G461" s="55">
        <v>17457.96</v>
      </c>
      <c r="H461" s="116">
        <v>4026</v>
      </c>
      <c r="I461" s="359">
        <f t="shared" si="6"/>
        <v>45.42203720567191</v>
      </c>
    </row>
    <row r="462" spans="1:9" ht="29.25" customHeight="1">
      <c r="A462" s="62">
        <v>853</v>
      </c>
      <c r="B462" s="62"/>
      <c r="C462" s="11"/>
      <c r="D462" s="292" t="s">
        <v>592</v>
      </c>
      <c r="E462" s="36">
        <f>E463+E486</f>
        <v>10825892.850000001</v>
      </c>
      <c r="F462" s="112"/>
      <c r="G462" s="36">
        <f>G463+G486</f>
        <v>3550417.7000000007</v>
      </c>
      <c r="H462" s="112"/>
      <c r="I462" s="359">
        <f aca="true" t="shared" si="7" ref="I462:I524">G462/E462*100</f>
        <v>32.79561094122597</v>
      </c>
    </row>
    <row r="463" spans="1:25" s="56" customFormat="1" ht="21.75" customHeight="1">
      <c r="A463" s="118"/>
      <c r="B463" s="83">
        <v>85305</v>
      </c>
      <c r="C463" s="25"/>
      <c r="D463" s="293" t="s">
        <v>348</v>
      </c>
      <c r="E463" s="41">
        <f>SUM(E464:E485)</f>
        <v>1857600</v>
      </c>
      <c r="F463" s="113"/>
      <c r="G463" s="41">
        <f>SUM(G464:G485)</f>
        <v>848287.7300000001</v>
      </c>
      <c r="H463" s="113"/>
      <c r="I463" s="359">
        <f t="shared" si="7"/>
        <v>45.66579080534023</v>
      </c>
      <c r="J463" s="243"/>
      <c r="K463" s="243"/>
      <c r="L463" s="261"/>
      <c r="M463" s="243"/>
      <c r="N463" s="243"/>
      <c r="O463" s="243"/>
      <c r="P463" s="243"/>
      <c r="Q463" s="243"/>
      <c r="R463" s="243"/>
      <c r="S463" s="243"/>
      <c r="T463" s="252"/>
      <c r="U463" s="252"/>
      <c r="V463" s="252"/>
      <c r="W463" s="252"/>
      <c r="X463" s="252"/>
      <c r="Y463" s="252"/>
    </row>
    <row r="464" spans="1:25" s="56" customFormat="1" ht="64.5" customHeight="1">
      <c r="A464" s="118"/>
      <c r="B464" s="86"/>
      <c r="C464" s="3">
        <v>2830</v>
      </c>
      <c r="D464" s="288" t="s">
        <v>527</v>
      </c>
      <c r="E464" s="44">
        <v>157600</v>
      </c>
      <c r="F464" s="114"/>
      <c r="G464" s="44">
        <v>18800</v>
      </c>
      <c r="H464" s="114"/>
      <c r="I464" s="359">
        <f t="shared" si="7"/>
        <v>11.928934010152284</v>
      </c>
      <c r="J464" s="243"/>
      <c r="K464" s="243"/>
      <c r="L464" s="261"/>
      <c r="M464" s="243"/>
      <c r="N464" s="243"/>
      <c r="O464" s="243"/>
      <c r="P464" s="243"/>
      <c r="Q464" s="243"/>
      <c r="R464" s="243"/>
      <c r="S464" s="243"/>
      <c r="T464" s="252"/>
      <c r="U464" s="252"/>
      <c r="V464" s="252"/>
      <c r="W464" s="252"/>
      <c r="X464" s="252"/>
      <c r="Y464" s="252"/>
    </row>
    <row r="465" spans="1:9" ht="24.75" customHeight="1">
      <c r="A465" s="128"/>
      <c r="B465" s="99"/>
      <c r="C465" s="14">
        <v>3020</v>
      </c>
      <c r="D465" s="288" t="s">
        <v>651</v>
      </c>
      <c r="E465" s="55">
        <v>4129</v>
      </c>
      <c r="F465" s="95"/>
      <c r="G465" s="55">
        <v>99.11</v>
      </c>
      <c r="H465" s="95"/>
      <c r="I465" s="359">
        <f t="shared" si="7"/>
        <v>2.4003390651489465</v>
      </c>
    </row>
    <row r="466" spans="1:9" ht="15.75" customHeight="1">
      <c r="A466" s="128"/>
      <c r="B466" s="99"/>
      <c r="C466" s="3">
        <v>4010</v>
      </c>
      <c r="D466" s="288" t="s">
        <v>643</v>
      </c>
      <c r="E466" s="55">
        <v>1051399</v>
      </c>
      <c r="F466" s="95"/>
      <c r="G466" s="55">
        <v>487535.54</v>
      </c>
      <c r="H466" s="95"/>
      <c r="I466" s="359">
        <f t="shared" si="7"/>
        <v>46.37017345460667</v>
      </c>
    </row>
    <row r="467" spans="1:9" ht="15" customHeight="1">
      <c r="A467" s="128"/>
      <c r="B467" s="99"/>
      <c r="C467" s="3">
        <v>4040</v>
      </c>
      <c r="D467" s="288" t="s">
        <v>644</v>
      </c>
      <c r="E467" s="55">
        <v>87700</v>
      </c>
      <c r="F467" s="95"/>
      <c r="G467" s="55">
        <v>86659.05</v>
      </c>
      <c r="H467" s="95"/>
      <c r="I467" s="359">
        <f t="shared" si="7"/>
        <v>98.81305587229191</v>
      </c>
    </row>
    <row r="468" spans="1:9" ht="18.75" customHeight="1">
      <c r="A468" s="128"/>
      <c r="B468" s="99"/>
      <c r="C468" s="3">
        <v>4110</v>
      </c>
      <c r="D468" s="288" t="s">
        <v>645</v>
      </c>
      <c r="E468" s="55">
        <v>195000</v>
      </c>
      <c r="F468" s="95"/>
      <c r="G468" s="55">
        <v>90642.3</v>
      </c>
      <c r="H468" s="95"/>
      <c r="I468" s="359">
        <f t="shared" si="7"/>
        <v>46.48323076923077</v>
      </c>
    </row>
    <row r="469" spans="1:9" ht="16.5" customHeight="1">
      <c r="A469" s="128"/>
      <c r="B469" s="99"/>
      <c r="C469" s="3">
        <v>4120</v>
      </c>
      <c r="D469" s="288" t="s">
        <v>646</v>
      </c>
      <c r="E469" s="55">
        <v>20650</v>
      </c>
      <c r="F469" s="95"/>
      <c r="G469" s="55">
        <v>7537.24</v>
      </c>
      <c r="H469" s="95"/>
      <c r="I469" s="359">
        <f t="shared" si="7"/>
        <v>36.49995157384988</v>
      </c>
    </row>
    <row r="470" spans="1:9" ht="19.5" customHeight="1">
      <c r="A470" s="128"/>
      <c r="B470" s="99"/>
      <c r="C470" s="3">
        <v>4210</v>
      </c>
      <c r="D470" s="288" t="s">
        <v>653</v>
      </c>
      <c r="E470" s="55">
        <v>25800</v>
      </c>
      <c r="F470" s="95"/>
      <c r="G470" s="55">
        <v>16771.55</v>
      </c>
      <c r="H470" s="95"/>
      <c r="I470" s="359">
        <f t="shared" si="7"/>
        <v>65.00600775193797</v>
      </c>
    </row>
    <row r="471" spans="1:9" ht="18.75" customHeight="1">
      <c r="A471" s="128"/>
      <c r="B471" s="99"/>
      <c r="C471" s="3">
        <v>4220</v>
      </c>
      <c r="D471" s="288" t="s">
        <v>163</v>
      </c>
      <c r="E471" s="55">
        <v>93492</v>
      </c>
      <c r="F471" s="95"/>
      <c r="G471" s="55">
        <v>38023.52</v>
      </c>
      <c r="H471" s="95"/>
      <c r="I471" s="359">
        <f t="shared" si="7"/>
        <v>40.67034612587173</v>
      </c>
    </row>
    <row r="472" spans="1:9" ht="23.25" customHeight="1">
      <c r="A472" s="128"/>
      <c r="B472" s="99"/>
      <c r="C472" s="3">
        <v>4240</v>
      </c>
      <c r="D472" s="288" t="s">
        <v>358</v>
      </c>
      <c r="E472" s="55">
        <v>2400</v>
      </c>
      <c r="F472" s="95"/>
      <c r="G472" s="55">
        <v>176.01</v>
      </c>
      <c r="H472" s="95"/>
      <c r="I472" s="359">
        <f t="shared" si="7"/>
        <v>7.33375</v>
      </c>
    </row>
    <row r="473" spans="1:9" ht="18.75" customHeight="1">
      <c r="A473" s="128"/>
      <c r="B473" s="99"/>
      <c r="C473" s="3">
        <v>4260</v>
      </c>
      <c r="D473" s="288" t="s">
        <v>660</v>
      </c>
      <c r="E473" s="55">
        <v>105000</v>
      </c>
      <c r="F473" s="95"/>
      <c r="G473" s="55">
        <v>53927.26</v>
      </c>
      <c r="H473" s="95"/>
      <c r="I473" s="359">
        <f t="shared" si="7"/>
        <v>51.359295238095235</v>
      </c>
    </row>
    <row r="474" spans="1:9" ht="17.25" customHeight="1">
      <c r="A474" s="128"/>
      <c r="B474" s="99"/>
      <c r="C474" s="3">
        <v>4270</v>
      </c>
      <c r="D474" s="288" t="s">
        <v>603</v>
      </c>
      <c r="E474" s="55">
        <v>29000</v>
      </c>
      <c r="F474" s="95"/>
      <c r="G474" s="55">
        <v>1937.25</v>
      </c>
      <c r="H474" s="95"/>
      <c r="I474" s="359">
        <f t="shared" si="7"/>
        <v>6.680172413793104</v>
      </c>
    </row>
    <row r="475" spans="1:9" ht="18.75" customHeight="1">
      <c r="A475" s="128"/>
      <c r="B475" s="99"/>
      <c r="C475" s="3">
        <v>4280</v>
      </c>
      <c r="D475" s="350" t="s">
        <v>326</v>
      </c>
      <c r="E475" s="55">
        <v>900</v>
      </c>
      <c r="F475" s="95"/>
      <c r="G475" s="55">
        <v>375</v>
      </c>
      <c r="H475" s="95"/>
      <c r="I475" s="359">
        <f t="shared" si="7"/>
        <v>41.66666666666667</v>
      </c>
    </row>
    <row r="476" spans="1:9" ht="19.5" customHeight="1">
      <c r="A476" s="128"/>
      <c r="B476" s="99"/>
      <c r="C476" s="3">
        <v>4300</v>
      </c>
      <c r="D476" s="288" t="s">
        <v>640</v>
      </c>
      <c r="E476" s="55">
        <v>31000</v>
      </c>
      <c r="F476" s="95"/>
      <c r="G476" s="55">
        <v>11491.52</v>
      </c>
      <c r="H476" s="95"/>
      <c r="I476" s="359">
        <f t="shared" si="7"/>
        <v>37.069419354838715</v>
      </c>
    </row>
    <row r="477" spans="1:9" ht="18.75" customHeight="1">
      <c r="A477" s="128"/>
      <c r="B477" s="99"/>
      <c r="C477" s="3">
        <v>4350</v>
      </c>
      <c r="D477" s="288" t="s">
        <v>655</v>
      </c>
      <c r="E477" s="55">
        <v>700</v>
      </c>
      <c r="F477" s="95"/>
      <c r="G477" s="55">
        <v>349.44</v>
      </c>
      <c r="H477" s="95"/>
      <c r="I477" s="359">
        <f t="shared" si="7"/>
        <v>49.919999999999995</v>
      </c>
    </row>
    <row r="478" spans="1:9" ht="39.75" customHeight="1">
      <c r="A478" s="128"/>
      <c r="B478" s="99"/>
      <c r="C478" s="3">
        <v>4370</v>
      </c>
      <c r="D478" s="288" t="s">
        <v>389</v>
      </c>
      <c r="E478" s="55">
        <v>2500</v>
      </c>
      <c r="F478" s="95"/>
      <c r="G478" s="55">
        <v>938.14</v>
      </c>
      <c r="H478" s="95"/>
      <c r="I478" s="359">
        <f t="shared" si="7"/>
        <v>37.5256</v>
      </c>
    </row>
    <row r="479" spans="1:9" ht="25.5" customHeight="1">
      <c r="A479" s="128"/>
      <c r="B479" s="99"/>
      <c r="C479" s="3">
        <v>4390</v>
      </c>
      <c r="D479" s="288" t="s">
        <v>555</v>
      </c>
      <c r="E479" s="55">
        <v>800</v>
      </c>
      <c r="F479" s="95"/>
      <c r="G479" s="55">
        <v>263.54</v>
      </c>
      <c r="H479" s="95"/>
      <c r="I479" s="359">
        <f t="shared" si="7"/>
        <v>32.9425</v>
      </c>
    </row>
    <row r="480" spans="1:9" ht="18.75" customHeight="1">
      <c r="A480" s="128"/>
      <c r="B480" s="99"/>
      <c r="C480" s="3">
        <v>4410</v>
      </c>
      <c r="D480" s="288" t="s">
        <v>649</v>
      </c>
      <c r="E480" s="55">
        <v>1550</v>
      </c>
      <c r="F480" s="95"/>
      <c r="G480" s="55">
        <v>722.75</v>
      </c>
      <c r="H480" s="95"/>
      <c r="I480" s="359">
        <f t="shared" si="7"/>
        <v>46.62903225806452</v>
      </c>
    </row>
    <row r="481" spans="1:9" ht="19.5" customHeight="1">
      <c r="A481" s="128"/>
      <c r="B481" s="99"/>
      <c r="C481" s="3">
        <v>4430</v>
      </c>
      <c r="D481" s="288" t="s">
        <v>433</v>
      </c>
      <c r="E481" s="55">
        <v>920</v>
      </c>
      <c r="F481" s="95"/>
      <c r="G481" s="55">
        <v>0</v>
      </c>
      <c r="H481" s="95"/>
      <c r="I481" s="359"/>
    </row>
    <row r="482" spans="1:9" ht="22.5" customHeight="1">
      <c r="A482" s="128"/>
      <c r="B482" s="99"/>
      <c r="C482" s="3">
        <v>4440</v>
      </c>
      <c r="D482" s="288" t="s">
        <v>647</v>
      </c>
      <c r="E482" s="55">
        <v>38000</v>
      </c>
      <c r="F482" s="95"/>
      <c r="G482" s="55">
        <v>27690.11</v>
      </c>
      <c r="H482" s="95"/>
      <c r="I482" s="359">
        <f t="shared" si="7"/>
        <v>72.8687105263158</v>
      </c>
    </row>
    <row r="483" spans="1:9" ht="20.25" customHeight="1">
      <c r="A483" s="128"/>
      <c r="B483" s="99"/>
      <c r="C483" s="3">
        <v>4480</v>
      </c>
      <c r="D483" s="288" t="s">
        <v>452</v>
      </c>
      <c r="E483" s="55">
        <v>8745</v>
      </c>
      <c r="F483" s="95"/>
      <c r="G483" s="55">
        <v>4332.9</v>
      </c>
      <c r="H483" s="95"/>
      <c r="I483" s="359">
        <f t="shared" si="7"/>
        <v>49.54716981132075</v>
      </c>
    </row>
    <row r="484" spans="1:9" ht="25.5" customHeight="1">
      <c r="A484" s="128"/>
      <c r="B484" s="99"/>
      <c r="C484" s="3">
        <v>4520</v>
      </c>
      <c r="D484" s="288" t="s">
        <v>419</v>
      </c>
      <c r="E484" s="55">
        <v>16</v>
      </c>
      <c r="F484" s="95"/>
      <c r="G484" s="55">
        <v>15.5</v>
      </c>
      <c r="H484" s="95"/>
      <c r="I484" s="359">
        <f t="shared" si="7"/>
        <v>96.875</v>
      </c>
    </row>
    <row r="485" spans="1:11" ht="27.75" customHeight="1">
      <c r="A485" s="128"/>
      <c r="B485" s="99"/>
      <c r="C485" s="3">
        <v>4700</v>
      </c>
      <c r="D485" s="288" t="s">
        <v>420</v>
      </c>
      <c r="E485" s="55">
        <v>299</v>
      </c>
      <c r="F485" s="95"/>
      <c r="G485" s="55">
        <v>0</v>
      </c>
      <c r="H485" s="95"/>
      <c r="I485" s="359"/>
      <c r="K485" s="59"/>
    </row>
    <row r="486" spans="1:25" s="56" customFormat="1" ht="24.75" customHeight="1">
      <c r="A486" s="129"/>
      <c r="B486" s="49">
        <v>85395</v>
      </c>
      <c r="C486" s="25"/>
      <c r="D486" s="293" t="s">
        <v>662</v>
      </c>
      <c r="E486" s="130">
        <f>SUM(E487:E532)</f>
        <v>8968292.850000001</v>
      </c>
      <c r="F486" s="114"/>
      <c r="G486" s="130">
        <f>SUM(G487:G532)</f>
        <v>2702129.9700000007</v>
      </c>
      <c r="H486" s="114"/>
      <c r="I486" s="359">
        <f t="shared" si="7"/>
        <v>30.12981417082071</v>
      </c>
      <c r="J486" s="271"/>
      <c r="K486" s="271"/>
      <c r="L486" s="272"/>
      <c r="M486" s="272"/>
      <c r="N486" s="243"/>
      <c r="O486" s="243"/>
      <c r="P486" s="243"/>
      <c r="Q486" s="243"/>
      <c r="R486" s="243"/>
      <c r="S486" s="243"/>
      <c r="T486" s="252"/>
      <c r="U486" s="252"/>
      <c r="V486" s="252"/>
      <c r="W486" s="252"/>
      <c r="X486" s="252"/>
      <c r="Y486" s="252"/>
    </row>
    <row r="487" spans="1:25" s="56" customFormat="1" ht="54.75" customHeight="1">
      <c r="A487" s="129"/>
      <c r="B487" s="86"/>
      <c r="C487" s="3">
        <v>2320</v>
      </c>
      <c r="D487" s="288" t="s">
        <v>613</v>
      </c>
      <c r="E487" s="196">
        <v>5062.5</v>
      </c>
      <c r="F487" s="95"/>
      <c r="G487" s="196">
        <v>0</v>
      </c>
      <c r="H487" s="114"/>
      <c r="I487" s="359"/>
      <c r="J487" s="271"/>
      <c r="K487" s="271"/>
      <c r="L487" s="272"/>
      <c r="M487" s="272"/>
      <c r="N487" s="243"/>
      <c r="O487" s="243"/>
      <c r="P487" s="243"/>
      <c r="Q487" s="243"/>
      <c r="R487" s="243"/>
      <c r="S487" s="243"/>
      <c r="T487" s="252"/>
      <c r="U487" s="252"/>
      <c r="V487" s="252"/>
      <c r="W487" s="252"/>
      <c r="X487" s="252"/>
      <c r="Y487" s="252"/>
    </row>
    <row r="488" spans="1:25" s="56" customFormat="1" ht="74.25" customHeight="1">
      <c r="A488" s="129"/>
      <c r="B488" s="86"/>
      <c r="C488" s="3">
        <v>2360</v>
      </c>
      <c r="D488" s="288" t="s">
        <v>493</v>
      </c>
      <c r="E488" s="196">
        <v>49000</v>
      </c>
      <c r="F488" s="95"/>
      <c r="G488" s="196">
        <v>9000</v>
      </c>
      <c r="H488" s="95"/>
      <c r="I488" s="359">
        <f t="shared" si="7"/>
        <v>18.367346938775512</v>
      </c>
      <c r="J488" s="271"/>
      <c r="K488" s="271"/>
      <c r="L488" s="272"/>
      <c r="M488" s="272"/>
      <c r="N488" s="243"/>
      <c r="O488" s="243"/>
      <c r="P488" s="243"/>
      <c r="Q488" s="243"/>
      <c r="R488" s="243"/>
      <c r="S488" s="243"/>
      <c r="T488" s="252"/>
      <c r="U488" s="252"/>
      <c r="V488" s="252"/>
      <c r="W488" s="252"/>
      <c r="X488" s="252"/>
      <c r="Y488" s="252"/>
    </row>
    <row r="489" spans="1:9" ht="42.75" customHeight="1">
      <c r="A489" s="128"/>
      <c r="B489" s="99"/>
      <c r="C489" s="3">
        <v>2827</v>
      </c>
      <c r="D489" s="288" t="s">
        <v>337</v>
      </c>
      <c r="E489" s="69">
        <v>64008.46</v>
      </c>
      <c r="F489" s="95"/>
      <c r="G489" s="69">
        <v>27387.85</v>
      </c>
      <c r="H489" s="95"/>
      <c r="I489" s="359">
        <f t="shared" si="7"/>
        <v>42.78785960480849</v>
      </c>
    </row>
    <row r="490" spans="1:9" ht="40.5" customHeight="1">
      <c r="A490" s="128"/>
      <c r="B490" s="99"/>
      <c r="C490" s="3">
        <v>2829</v>
      </c>
      <c r="D490" s="288" t="s">
        <v>337</v>
      </c>
      <c r="E490" s="69">
        <v>11295.61</v>
      </c>
      <c r="F490" s="95"/>
      <c r="G490" s="69">
        <v>4833.15</v>
      </c>
      <c r="H490" s="95"/>
      <c r="I490" s="359">
        <f t="shared" si="7"/>
        <v>42.78786183304841</v>
      </c>
    </row>
    <row r="491" spans="1:9" ht="80.25" customHeight="1">
      <c r="A491" s="128"/>
      <c r="B491" s="99"/>
      <c r="C491" s="3">
        <v>2910</v>
      </c>
      <c r="D491" s="32" t="s">
        <v>633</v>
      </c>
      <c r="E491" s="69">
        <v>345.86</v>
      </c>
      <c r="F491" s="95"/>
      <c r="G491" s="69">
        <v>345.86</v>
      </c>
      <c r="H491" s="95"/>
      <c r="I491" s="359">
        <f t="shared" si="7"/>
        <v>100</v>
      </c>
    </row>
    <row r="492" spans="1:9" ht="25.5" customHeight="1">
      <c r="A492" s="128"/>
      <c r="B492" s="99"/>
      <c r="C492" s="14">
        <v>3027</v>
      </c>
      <c r="D492" s="288" t="s">
        <v>651</v>
      </c>
      <c r="E492" s="69">
        <v>678.1</v>
      </c>
      <c r="F492" s="95"/>
      <c r="G492" s="69">
        <v>27.07</v>
      </c>
      <c r="H492" s="95"/>
      <c r="I492" s="359">
        <f t="shared" si="7"/>
        <v>3.9920365727768767</v>
      </c>
    </row>
    <row r="493" spans="1:9" ht="26.25" customHeight="1">
      <c r="A493" s="128"/>
      <c r="B493" s="99"/>
      <c r="C493" s="14">
        <v>3029</v>
      </c>
      <c r="D493" s="288" t="s">
        <v>651</v>
      </c>
      <c r="E493" s="69">
        <v>35.9</v>
      </c>
      <c r="F493" s="95"/>
      <c r="G493" s="69">
        <v>1.43</v>
      </c>
      <c r="H493" s="95"/>
      <c r="I493" s="359">
        <f t="shared" si="7"/>
        <v>3.9832869080779947</v>
      </c>
    </row>
    <row r="494" spans="1:9" ht="18.75" customHeight="1">
      <c r="A494" s="128"/>
      <c r="B494" s="99"/>
      <c r="C494" s="3">
        <v>3117</v>
      </c>
      <c r="D494" s="288" t="s">
        <v>339</v>
      </c>
      <c r="E494" s="55">
        <v>1088504.92</v>
      </c>
      <c r="F494" s="95"/>
      <c r="G494" s="55">
        <v>180947.54</v>
      </c>
      <c r="H494" s="95"/>
      <c r="I494" s="359">
        <f t="shared" si="7"/>
        <v>16.623493075254085</v>
      </c>
    </row>
    <row r="495" spans="1:9" ht="21" customHeight="1">
      <c r="A495" s="128"/>
      <c r="B495" s="99"/>
      <c r="C495" s="3">
        <v>3119</v>
      </c>
      <c r="D495" s="288" t="s">
        <v>339</v>
      </c>
      <c r="E495" s="55">
        <v>337367.52</v>
      </c>
      <c r="F495" s="95"/>
      <c r="G495" s="55">
        <v>35691.97</v>
      </c>
      <c r="H495" s="95"/>
      <c r="I495" s="359">
        <f t="shared" si="7"/>
        <v>10.57955134507317</v>
      </c>
    </row>
    <row r="496" spans="1:9" ht="19.5" customHeight="1">
      <c r="A496" s="128"/>
      <c r="B496" s="99"/>
      <c r="C496" s="3">
        <v>4017</v>
      </c>
      <c r="D496" s="288" t="s">
        <v>643</v>
      </c>
      <c r="E496" s="55">
        <v>1160074.39</v>
      </c>
      <c r="F496" s="95"/>
      <c r="G496" s="55">
        <v>422729.59</v>
      </c>
      <c r="H496" s="95"/>
      <c r="I496" s="359">
        <f t="shared" si="7"/>
        <v>36.43986917080378</v>
      </c>
    </row>
    <row r="497" spans="1:9" ht="19.5" customHeight="1">
      <c r="A497" s="128"/>
      <c r="B497" s="99"/>
      <c r="C497" s="3">
        <v>4019</v>
      </c>
      <c r="D497" s="288" t="s">
        <v>643</v>
      </c>
      <c r="E497" s="55">
        <v>147815.99</v>
      </c>
      <c r="F497" s="95"/>
      <c r="G497" s="55">
        <v>53418.94</v>
      </c>
      <c r="H497" s="95"/>
      <c r="I497" s="359">
        <f t="shared" si="7"/>
        <v>36.138810151729864</v>
      </c>
    </row>
    <row r="498" spans="1:9" ht="19.5" customHeight="1">
      <c r="A498" s="128"/>
      <c r="B498" s="99"/>
      <c r="C498" s="3">
        <v>4110</v>
      </c>
      <c r="D498" s="288" t="s">
        <v>645</v>
      </c>
      <c r="E498" s="55">
        <v>1173.6</v>
      </c>
      <c r="F498" s="95"/>
      <c r="G498" s="55">
        <v>1173.6</v>
      </c>
      <c r="H498" s="95"/>
      <c r="I498" s="359">
        <f t="shared" si="7"/>
        <v>100</v>
      </c>
    </row>
    <row r="499" spans="1:9" ht="16.5" customHeight="1">
      <c r="A499" s="128"/>
      <c r="B499" s="99"/>
      <c r="C499" s="3">
        <v>4117</v>
      </c>
      <c r="D499" s="288" t="s">
        <v>645</v>
      </c>
      <c r="E499" s="55">
        <v>411166.81</v>
      </c>
      <c r="F499" s="95"/>
      <c r="G499" s="55">
        <v>112462.98</v>
      </c>
      <c r="H499" s="95"/>
      <c r="I499" s="359">
        <f t="shared" si="7"/>
        <v>27.352154226650732</v>
      </c>
    </row>
    <row r="500" spans="1:9" ht="16.5" customHeight="1">
      <c r="A500" s="128"/>
      <c r="B500" s="99"/>
      <c r="C500" s="3">
        <v>4119</v>
      </c>
      <c r="D500" s="288" t="s">
        <v>645</v>
      </c>
      <c r="E500" s="55">
        <v>54280.73</v>
      </c>
      <c r="F500" s="95"/>
      <c r="G500" s="55">
        <v>12591.04</v>
      </c>
      <c r="H500" s="95"/>
      <c r="I500" s="359">
        <f t="shared" si="7"/>
        <v>23.196150825532378</v>
      </c>
    </row>
    <row r="501" spans="1:9" ht="15" customHeight="1">
      <c r="A501" s="128"/>
      <c r="B501" s="99"/>
      <c r="C501" s="3">
        <v>4127</v>
      </c>
      <c r="D501" s="288" t="s">
        <v>646</v>
      </c>
      <c r="E501" s="55">
        <v>34458.21</v>
      </c>
      <c r="F501" s="95"/>
      <c r="G501" s="55">
        <v>11128.87</v>
      </c>
      <c r="H501" s="95"/>
      <c r="I501" s="359">
        <f t="shared" si="7"/>
        <v>32.29671535462811</v>
      </c>
    </row>
    <row r="502" spans="1:9" ht="15" customHeight="1">
      <c r="A502" s="128"/>
      <c r="B502" s="99"/>
      <c r="C502" s="3">
        <v>4129</v>
      </c>
      <c r="D502" s="288" t="s">
        <v>646</v>
      </c>
      <c r="E502" s="55">
        <v>3709.68</v>
      </c>
      <c r="F502" s="95"/>
      <c r="G502" s="55">
        <v>1217.43</v>
      </c>
      <c r="H502" s="95"/>
      <c r="I502" s="359">
        <f t="shared" si="7"/>
        <v>32.81765543119622</v>
      </c>
    </row>
    <row r="503" spans="1:9" ht="14.25" customHeight="1">
      <c r="A503" s="128"/>
      <c r="B503" s="99"/>
      <c r="C503" s="3">
        <v>4177</v>
      </c>
      <c r="D503" s="288" t="s">
        <v>652</v>
      </c>
      <c r="E503" s="55">
        <v>677552.13</v>
      </c>
      <c r="F503" s="95"/>
      <c r="G503" s="55">
        <v>327831.66</v>
      </c>
      <c r="H503" s="95"/>
      <c r="I503" s="359">
        <f t="shared" si="7"/>
        <v>48.384713955515124</v>
      </c>
    </row>
    <row r="504" spans="1:9" ht="17.25" customHeight="1">
      <c r="A504" s="128"/>
      <c r="B504" s="99"/>
      <c r="C504" s="3">
        <v>4179</v>
      </c>
      <c r="D504" s="288" t="s">
        <v>652</v>
      </c>
      <c r="E504" s="55">
        <v>16821.66</v>
      </c>
      <c r="F504" s="95"/>
      <c r="G504" s="55">
        <v>6537.53</v>
      </c>
      <c r="H504" s="95"/>
      <c r="I504" s="359">
        <f t="shared" si="7"/>
        <v>38.8637625537551</v>
      </c>
    </row>
    <row r="505" spans="1:9" ht="16.5" customHeight="1">
      <c r="A505" s="128"/>
      <c r="B505" s="99"/>
      <c r="C505" s="3">
        <v>4210</v>
      </c>
      <c r="D505" s="288" t="s">
        <v>653</v>
      </c>
      <c r="E505" s="55">
        <v>10000</v>
      </c>
      <c r="F505" s="95"/>
      <c r="G505" s="55">
        <v>3636.35</v>
      </c>
      <c r="H505" s="95"/>
      <c r="I505" s="359">
        <f t="shared" si="7"/>
        <v>36.3635</v>
      </c>
    </row>
    <row r="506" spans="1:9" ht="15.75" customHeight="1">
      <c r="A506" s="128"/>
      <c r="B506" s="99"/>
      <c r="C506" s="3">
        <v>4217</v>
      </c>
      <c r="D506" s="288" t="s">
        <v>653</v>
      </c>
      <c r="E506" s="55">
        <v>139329.23</v>
      </c>
      <c r="F506" s="95"/>
      <c r="G506" s="55">
        <v>78481.55</v>
      </c>
      <c r="H506" s="95"/>
      <c r="I506" s="359">
        <f t="shared" si="7"/>
        <v>56.328130141823074</v>
      </c>
    </row>
    <row r="507" spans="1:9" ht="14.25" customHeight="1">
      <c r="A507" s="128"/>
      <c r="B507" s="99"/>
      <c r="C507" s="3">
        <v>4219</v>
      </c>
      <c r="D507" s="288" t="s">
        <v>653</v>
      </c>
      <c r="E507" s="55">
        <v>7676.8</v>
      </c>
      <c r="F507" s="95"/>
      <c r="G507" s="55">
        <v>1853.98</v>
      </c>
      <c r="H507" s="95"/>
      <c r="I507" s="359">
        <f t="shared" si="7"/>
        <v>24.1504272613589</v>
      </c>
    </row>
    <row r="508" spans="1:9" ht="25.5" customHeight="1">
      <c r="A508" s="128"/>
      <c r="B508" s="99"/>
      <c r="C508" s="3">
        <v>4247</v>
      </c>
      <c r="D508" s="288" t="s">
        <v>358</v>
      </c>
      <c r="E508" s="55">
        <v>119594.61</v>
      </c>
      <c r="F508" s="95"/>
      <c r="G508" s="55">
        <v>84539.7</v>
      </c>
      <c r="H508" s="95"/>
      <c r="I508" s="359">
        <f t="shared" si="7"/>
        <v>70.68855360622021</v>
      </c>
    </row>
    <row r="509" spans="1:9" ht="18" customHeight="1">
      <c r="A509" s="128"/>
      <c r="B509" s="99"/>
      <c r="C509" s="3">
        <v>4267</v>
      </c>
      <c r="D509" s="288" t="s">
        <v>660</v>
      </c>
      <c r="E509" s="55">
        <v>11396.65</v>
      </c>
      <c r="F509" s="95"/>
      <c r="G509" s="55">
        <v>949.72</v>
      </c>
      <c r="H509" s="95"/>
      <c r="I509" s="359">
        <f t="shared" si="7"/>
        <v>8.333326021243085</v>
      </c>
    </row>
    <row r="510" spans="1:9" ht="16.5" customHeight="1">
      <c r="A510" s="128"/>
      <c r="B510" s="99"/>
      <c r="C510" s="3">
        <v>4269</v>
      </c>
      <c r="D510" s="288" t="s">
        <v>660</v>
      </c>
      <c r="E510" s="55">
        <v>603.35</v>
      </c>
      <c r="F510" s="95"/>
      <c r="G510" s="55">
        <v>50.28</v>
      </c>
      <c r="H510" s="95"/>
      <c r="I510" s="359">
        <f t="shared" si="7"/>
        <v>8.333471451064888</v>
      </c>
    </row>
    <row r="511" spans="1:9" ht="16.5" customHeight="1">
      <c r="A511" s="128"/>
      <c r="B511" s="99"/>
      <c r="C511" s="3">
        <v>4277</v>
      </c>
      <c r="D511" s="288" t="s">
        <v>603</v>
      </c>
      <c r="E511" s="55">
        <v>50000</v>
      </c>
      <c r="F511" s="95"/>
      <c r="G511" s="55">
        <v>49942.98</v>
      </c>
      <c r="H511" s="95"/>
      <c r="I511" s="359">
        <f t="shared" si="7"/>
        <v>99.88596000000001</v>
      </c>
    </row>
    <row r="512" spans="1:9" ht="14.25" customHeight="1">
      <c r="A512" s="128"/>
      <c r="B512" s="99"/>
      <c r="C512" s="3">
        <v>4287</v>
      </c>
      <c r="D512" s="288" t="s">
        <v>326</v>
      </c>
      <c r="E512" s="55">
        <v>33244.03</v>
      </c>
      <c r="F512" s="95"/>
      <c r="G512" s="55">
        <v>17638.75</v>
      </c>
      <c r="H512" s="95"/>
      <c r="I512" s="359">
        <f t="shared" si="7"/>
        <v>53.05839875610749</v>
      </c>
    </row>
    <row r="513" spans="1:9" ht="14.25" customHeight="1">
      <c r="A513" s="128"/>
      <c r="B513" s="99"/>
      <c r="C513" s="3">
        <v>4289</v>
      </c>
      <c r="D513" s="288" t="s">
        <v>326</v>
      </c>
      <c r="E513" s="55">
        <v>2515.97</v>
      </c>
      <c r="F513" s="95"/>
      <c r="G513" s="55">
        <v>1426.85</v>
      </c>
      <c r="H513" s="95"/>
      <c r="I513" s="359">
        <f t="shared" si="7"/>
        <v>56.71172549752184</v>
      </c>
    </row>
    <row r="514" spans="1:9" ht="15.75" customHeight="1">
      <c r="A514" s="128"/>
      <c r="B514" s="99"/>
      <c r="C514" s="3">
        <v>4300</v>
      </c>
      <c r="D514" s="288" t="s">
        <v>432</v>
      </c>
      <c r="E514" s="55">
        <v>24000</v>
      </c>
      <c r="F514" s="95"/>
      <c r="G514" s="55">
        <v>8840.71</v>
      </c>
      <c r="H514" s="95"/>
      <c r="I514" s="359">
        <f t="shared" si="7"/>
        <v>36.83629166666667</v>
      </c>
    </row>
    <row r="515" spans="1:9" ht="15.75" customHeight="1">
      <c r="A515" s="128"/>
      <c r="B515" s="99"/>
      <c r="C515" s="3">
        <v>4307</v>
      </c>
      <c r="D515" s="288" t="s">
        <v>383</v>
      </c>
      <c r="E515" s="55">
        <v>2193822.63</v>
      </c>
      <c r="F515" s="95"/>
      <c r="G515" s="55">
        <v>809573.55</v>
      </c>
      <c r="H515" s="95"/>
      <c r="I515" s="359">
        <f t="shared" si="7"/>
        <v>36.902415853008144</v>
      </c>
    </row>
    <row r="516" spans="1:9" ht="15.75" customHeight="1">
      <c r="A516" s="128"/>
      <c r="B516" s="99"/>
      <c r="C516" s="3">
        <v>4309</v>
      </c>
      <c r="D516" s="288" t="s">
        <v>383</v>
      </c>
      <c r="E516" s="55">
        <v>282189.27</v>
      </c>
      <c r="F516" s="95"/>
      <c r="G516" s="55">
        <v>145039.96</v>
      </c>
      <c r="H516" s="95"/>
      <c r="I516" s="359">
        <f t="shared" si="7"/>
        <v>51.39811304660875</v>
      </c>
    </row>
    <row r="517" spans="1:9" ht="41.25" customHeight="1">
      <c r="A517" s="128"/>
      <c r="B517" s="99"/>
      <c r="C517" s="3">
        <v>4367</v>
      </c>
      <c r="D517" s="288" t="s">
        <v>390</v>
      </c>
      <c r="E517" s="55">
        <v>4935.98</v>
      </c>
      <c r="F517" s="95"/>
      <c r="G517" s="55">
        <v>1164.81</v>
      </c>
      <c r="H517" s="95"/>
      <c r="I517" s="359">
        <f t="shared" si="7"/>
        <v>23.598353315856222</v>
      </c>
    </row>
    <row r="518" spans="1:9" ht="41.25" customHeight="1">
      <c r="A518" s="128"/>
      <c r="B518" s="99"/>
      <c r="C518" s="3">
        <v>4369</v>
      </c>
      <c r="D518" s="288" t="s">
        <v>390</v>
      </c>
      <c r="E518" s="55">
        <v>76.02</v>
      </c>
      <c r="F518" s="95"/>
      <c r="G518" s="55">
        <v>35.19</v>
      </c>
      <c r="H518" s="95"/>
      <c r="I518" s="359">
        <f t="shared" si="7"/>
        <v>46.2904498816101</v>
      </c>
    </row>
    <row r="519" spans="1:9" ht="41.25" customHeight="1">
      <c r="A519" s="128"/>
      <c r="B519" s="99"/>
      <c r="C519" s="3">
        <v>4377</v>
      </c>
      <c r="D519" s="288" t="s">
        <v>389</v>
      </c>
      <c r="E519" s="55">
        <v>1899.44</v>
      </c>
      <c r="F519" s="95"/>
      <c r="G519" s="55">
        <v>0</v>
      </c>
      <c r="H519" s="95"/>
      <c r="I519" s="359"/>
    </row>
    <row r="520" spans="1:9" ht="41.25" customHeight="1">
      <c r="A520" s="128"/>
      <c r="B520" s="99"/>
      <c r="C520" s="3">
        <v>4379</v>
      </c>
      <c r="D520" s="288" t="s">
        <v>389</v>
      </c>
      <c r="E520" s="55">
        <v>100.56</v>
      </c>
      <c r="F520" s="95"/>
      <c r="G520" s="55">
        <v>0</v>
      </c>
      <c r="H520" s="95"/>
      <c r="I520" s="359"/>
    </row>
    <row r="521" spans="1:9" ht="14.25" customHeight="1">
      <c r="A521" s="128"/>
      <c r="B521" s="99"/>
      <c r="C521" s="3">
        <v>4417</v>
      </c>
      <c r="D521" s="288" t="s">
        <v>649</v>
      </c>
      <c r="E521" s="55">
        <v>22543.5</v>
      </c>
      <c r="F521" s="95"/>
      <c r="G521" s="55">
        <v>6011.13</v>
      </c>
      <c r="H521" s="95"/>
      <c r="I521" s="359">
        <f t="shared" si="7"/>
        <v>26.664581808503563</v>
      </c>
    </row>
    <row r="522" spans="1:9" ht="14.25" customHeight="1">
      <c r="A522" s="128"/>
      <c r="B522" s="99"/>
      <c r="C522" s="3">
        <v>4419</v>
      </c>
      <c r="D522" s="288" t="s">
        <v>649</v>
      </c>
      <c r="E522" s="55">
        <v>132.74</v>
      </c>
      <c r="F522" s="95"/>
      <c r="G522" s="55">
        <v>61.39</v>
      </c>
      <c r="H522" s="95"/>
      <c r="I522" s="359">
        <f t="shared" si="7"/>
        <v>46.24830495705891</v>
      </c>
    </row>
    <row r="523" spans="1:9" ht="14.25" customHeight="1">
      <c r="A523" s="128"/>
      <c r="B523" s="99"/>
      <c r="C523" s="3">
        <v>4437</v>
      </c>
      <c r="D523" s="288" t="s">
        <v>433</v>
      </c>
      <c r="E523" s="55">
        <v>15131.67</v>
      </c>
      <c r="F523" s="95"/>
      <c r="G523" s="55">
        <v>8842.43</v>
      </c>
      <c r="H523" s="95"/>
      <c r="I523" s="359">
        <f t="shared" si="7"/>
        <v>58.436577059901516</v>
      </c>
    </row>
    <row r="524" spans="1:9" ht="14.25" customHeight="1">
      <c r="A524" s="128"/>
      <c r="B524" s="99"/>
      <c r="C524" s="3">
        <v>4439</v>
      </c>
      <c r="D524" s="288" t="s">
        <v>433</v>
      </c>
      <c r="E524" s="55">
        <v>1373.33</v>
      </c>
      <c r="F524" s="95"/>
      <c r="G524" s="55">
        <v>667.84</v>
      </c>
      <c r="H524" s="95"/>
      <c r="I524" s="359">
        <f t="shared" si="7"/>
        <v>48.62924424573847</v>
      </c>
    </row>
    <row r="525" spans="1:9" ht="24.75" customHeight="1">
      <c r="A525" s="128"/>
      <c r="B525" s="99"/>
      <c r="C525" s="3">
        <v>4447</v>
      </c>
      <c r="D525" s="288" t="s">
        <v>647</v>
      </c>
      <c r="E525" s="55">
        <v>3580.45</v>
      </c>
      <c r="F525" s="95"/>
      <c r="G525" s="55">
        <v>0</v>
      </c>
      <c r="H525" s="95"/>
      <c r="I525" s="359"/>
    </row>
    <row r="526" spans="1:9" ht="25.5" customHeight="1">
      <c r="A526" s="128"/>
      <c r="B526" s="99"/>
      <c r="C526" s="3">
        <v>4449</v>
      </c>
      <c r="D526" s="288" t="s">
        <v>647</v>
      </c>
      <c r="E526" s="55">
        <v>189.55</v>
      </c>
      <c r="F526" s="95"/>
      <c r="G526" s="55">
        <v>0</v>
      </c>
      <c r="H526" s="95"/>
      <c r="I526" s="359"/>
    </row>
    <row r="527" spans="1:9" ht="19.5" customHeight="1">
      <c r="A527" s="128"/>
      <c r="B527" s="99"/>
      <c r="C527" s="3">
        <v>4580</v>
      </c>
      <c r="D527" s="288" t="s">
        <v>443</v>
      </c>
      <c r="E527" s="55">
        <v>1348</v>
      </c>
      <c r="F527" s="95"/>
      <c r="G527" s="55">
        <v>1348</v>
      </c>
      <c r="H527" s="95"/>
      <c r="I527" s="359">
        <f aca="true" t="shared" si="8" ref="I527:I589">G527/E527*100</f>
        <v>100</v>
      </c>
    </row>
    <row r="528" spans="1:9" ht="30" customHeight="1">
      <c r="A528" s="128"/>
      <c r="B528" s="99"/>
      <c r="C528" s="3">
        <v>4707</v>
      </c>
      <c r="D528" s="288" t="s">
        <v>420</v>
      </c>
      <c r="E528" s="55">
        <v>69957</v>
      </c>
      <c r="F528" s="95"/>
      <c r="G528" s="55">
        <v>32041.97</v>
      </c>
      <c r="H528" s="95"/>
      <c r="I528" s="359">
        <f t="shared" si="8"/>
        <v>45.8023786039996</v>
      </c>
    </row>
    <row r="529" spans="1:9" ht="30" customHeight="1">
      <c r="A529" s="128"/>
      <c r="B529" s="99"/>
      <c r="C529" s="3">
        <v>6057</v>
      </c>
      <c r="D529" s="288" t="s">
        <v>611</v>
      </c>
      <c r="E529" s="55">
        <v>13000</v>
      </c>
      <c r="F529" s="95"/>
      <c r="G529" s="55">
        <v>9961.76</v>
      </c>
      <c r="H529" s="95"/>
      <c r="I529" s="359">
        <f t="shared" si="8"/>
        <v>76.62892307692309</v>
      </c>
    </row>
    <row r="530" spans="1:9" ht="30" customHeight="1">
      <c r="A530" s="128"/>
      <c r="B530" s="99"/>
      <c r="C530" s="3">
        <v>6067</v>
      </c>
      <c r="D530" s="288" t="s">
        <v>665</v>
      </c>
      <c r="E530" s="55">
        <v>75300</v>
      </c>
      <c r="F530" s="95"/>
      <c r="G530" s="55">
        <v>40789.9</v>
      </c>
      <c r="H530" s="95"/>
      <c r="I530" s="359">
        <f t="shared" si="8"/>
        <v>54.16985391766268</v>
      </c>
    </row>
    <row r="531" spans="1:9" ht="64.5" customHeight="1">
      <c r="A531" s="128"/>
      <c r="B531" s="99"/>
      <c r="C531" s="3">
        <v>6237</v>
      </c>
      <c r="D531" s="290" t="s">
        <v>536</v>
      </c>
      <c r="E531" s="55">
        <f>1360000+187850</f>
        <v>1547850</v>
      </c>
      <c r="F531" s="95"/>
      <c r="G531" s="55">
        <v>163118.96</v>
      </c>
      <c r="H531" s="95"/>
      <c r="I531" s="359">
        <f t="shared" si="8"/>
        <v>10.5384216816875</v>
      </c>
    </row>
    <row r="532" spans="1:9" ht="63" customHeight="1">
      <c r="A532" s="128"/>
      <c r="B532" s="99"/>
      <c r="C532" s="3">
        <v>6239</v>
      </c>
      <c r="D532" s="290" t="s">
        <v>536</v>
      </c>
      <c r="E532" s="55">
        <f>240000+33150</f>
        <v>273150</v>
      </c>
      <c r="F532" s="95"/>
      <c r="G532" s="55">
        <v>28785.7</v>
      </c>
      <c r="H532" s="95"/>
      <c r="I532" s="359">
        <f t="shared" si="8"/>
        <v>10.538422112392459</v>
      </c>
    </row>
    <row r="533" spans="1:9" ht="24.75" customHeight="1">
      <c r="A533" s="45">
        <v>854</v>
      </c>
      <c r="B533" s="12"/>
      <c r="C533" s="11"/>
      <c r="D533" s="292" t="s">
        <v>455</v>
      </c>
      <c r="E533" s="36">
        <f>E534+E550+E555+E557</f>
        <v>2451337</v>
      </c>
      <c r="F533" s="116"/>
      <c r="G533" s="36">
        <f>G534+G550+G555+G557</f>
        <v>1196523.17</v>
      </c>
      <c r="H533" s="116"/>
      <c r="I533" s="359">
        <f t="shared" si="8"/>
        <v>48.81104352441137</v>
      </c>
    </row>
    <row r="534" spans="1:9" ht="21.75" customHeight="1">
      <c r="A534" s="46"/>
      <c r="B534" s="24">
        <v>85401</v>
      </c>
      <c r="C534" s="25"/>
      <c r="D534" s="293" t="s">
        <v>170</v>
      </c>
      <c r="E534" s="106">
        <f>SUM(E535:E549)</f>
        <v>1733601</v>
      </c>
      <c r="F534" s="112"/>
      <c r="G534" s="106">
        <f>SUM(G535:G549)</f>
        <v>858147.95</v>
      </c>
      <c r="H534" s="112"/>
      <c r="I534" s="359">
        <f t="shared" si="8"/>
        <v>49.50089149694768</v>
      </c>
    </row>
    <row r="535" spans="1:9" ht="27" customHeight="1">
      <c r="A535" s="47"/>
      <c r="B535" s="10"/>
      <c r="C535" s="3">
        <v>3020</v>
      </c>
      <c r="D535" s="288" t="s">
        <v>324</v>
      </c>
      <c r="E535" s="101">
        <v>3039</v>
      </c>
      <c r="F535" s="95"/>
      <c r="G535" s="101">
        <v>250</v>
      </c>
      <c r="H535" s="95"/>
      <c r="I535" s="359">
        <f t="shared" si="8"/>
        <v>8.226390259953932</v>
      </c>
    </row>
    <row r="536" spans="1:9" ht="18" customHeight="1">
      <c r="A536" s="47"/>
      <c r="B536" s="10"/>
      <c r="C536" s="3">
        <v>4010</v>
      </c>
      <c r="D536" s="288" t="s">
        <v>643</v>
      </c>
      <c r="E536" s="55">
        <v>1214637</v>
      </c>
      <c r="F536" s="95"/>
      <c r="G536" s="55">
        <v>554679</v>
      </c>
      <c r="H536" s="95"/>
      <c r="I536" s="359">
        <f t="shared" si="8"/>
        <v>45.666236085348956</v>
      </c>
    </row>
    <row r="537" spans="1:9" ht="15" customHeight="1">
      <c r="A537" s="47"/>
      <c r="B537" s="10"/>
      <c r="C537" s="3">
        <v>4040</v>
      </c>
      <c r="D537" s="288" t="s">
        <v>644</v>
      </c>
      <c r="E537" s="55">
        <v>106195</v>
      </c>
      <c r="F537" s="95"/>
      <c r="G537" s="55">
        <v>93159.09</v>
      </c>
      <c r="H537" s="95"/>
      <c r="I537" s="359">
        <f t="shared" si="8"/>
        <v>87.72455388671783</v>
      </c>
    </row>
    <row r="538" spans="1:9" ht="15" customHeight="1">
      <c r="A538" s="47"/>
      <c r="B538" s="10"/>
      <c r="C538" s="3">
        <v>4110</v>
      </c>
      <c r="D538" s="288" t="s">
        <v>645</v>
      </c>
      <c r="E538" s="55">
        <v>223769</v>
      </c>
      <c r="F538" s="95"/>
      <c r="G538" s="55">
        <v>102851.65</v>
      </c>
      <c r="H538" s="95"/>
      <c r="I538" s="359">
        <f t="shared" si="8"/>
        <v>45.9633148470074</v>
      </c>
    </row>
    <row r="539" spans="1:9" ht="15" customHeight="1">
      <c r="A539" s="47"/>
      <c r="B539" s="10"/>
      <c r="C539" s="3">
        <v>4120</v>
      </c>
      <c r="D539" s="288" t="s">
        <v>646</v>
      </c>
      <c r="E539" s="55">
        <v>31651</v>
      </c>
      <c r="F539" s="95"/>
      <c r="G539" s="55">
        <v>12027.69</v>
      </c>
      <c r="H539" s="95"/>
      <c r="I539" s="359">
        <f t="shared" si="8"/>
        <v>38.00097943192948</v>
      </c>
    </row>
    <row r="540" spans="1:9" ht="15" customHeight="1">
      <c r="A540" s="47"/>
      <c r="B540" s="10"/>
      <c r="C540" s="14">
        <v>4210</v>
      </c>
      <c r="D540" s="288" t="s">
        <v>653</v>
      </c>
      <c r="E540" s="55">
        <v>13600</v>
      </c>
      <c r="F540" s="95"/>
      <c r="G540" s="55">
        <v>3020.85</v>
      </c>
      <c r="H540" s="95"/>
      <c r="I540" s="359">
        <f t="shared" si="8"/>
        <v>22.212132352941175</v>
      </c>
    </row>
    <row r="541" spans="1:9" ht="26.25" customHeight="1">
      <c r="A541" s="47"/>
      <c r="B541" s="10"/>
      <c r="C541" s="3">
        <v>4240</v>
      </c>
      <c r="D541" s="288" t="s">
        <v>358</v>
      </c>
      <c r="E541" s="55">
        <v>4350</v>
      </c>
      <c r="F541" s="95"/>
      <c r="G541" s="55">
        <v>1396.21</v>
      </c>
      <c r="H541" s="95"/>
      <c r="I541" s="359">
        <f t="shared" si="8"/>
        <v>32.0967816091954</v>
      </c>
    </row>
    <row r="542" spans="1:9" ht="15" customHeight="1">
      <c r="A542" s="47"/>
      <c r="B542" s="10"/>
      <c r="C542" s="3">
        <v>4260</v>
      </c>
      <c r="D542" s="288" t="s">
        <v>660</v>
      </c>
      <c r="E542" s="55">
        <v>44070</v>
      </c>
      <c r="F542" s="95"/>
      <c r="G542" s="55">
        <v>24669.03</v>
      </c>
      <c r="H542" s="95"/>
      <c r="I542" s="359">
        <f t="shared" si="8"/>
        <v>55.97692307692308</v>
      </c>
    </row>
    <row r="543" spans="1:9" ht="15" customHeight="1">
      <c r="A543" s="47"/>
      <c r="B543" s="10"/>
      <c r="C543" s="3">
        <v>4270</v>
      </c>
      <c r="D543" s="288" t="s">
        <v>603</v>
      </c>
      <c r="E543" s="55">
        <v>150</v>
      </c>
      <c r="F543" s="95"/>
      <c r="G543" s="55">
        <v>0</v>
      </c>
      <c r="H543" s="95"/>
      <c r="I543" s="359"/>
    </row>
    <row r="544" spans="1:9" ht="15" customHeight="1">
      <c r="A544" s="47"/>
      <c r="B544" s="10"/>
      <c r="C544" s="3">
        <v>4280</v>
      </c>
      <c r="D544" s="288" t="s">
        <v>326</v>
      </c>
      <c r="E544" s="55">
        <v>2140</v>
      </c>
      <c r="F544" s="95"/>
      <c r="G544" s="55">
        <v>285</v>
      </c>
      <c r="H544" s="95"/>
      <c r="I544" s="359">
        <f t="shared" si="8"/>
        <v>13.317757009345794</v>
      </c>
    </row>
    <row r="545" spans="1:9" ht="15" customHeight="1">
      <c r="A545" s="47"/>
      <c r="B545" s="10"/>
      <c r="C545" s="3">
        <v>4300</v>
      </c>
      <c r="D545" s="288" t="s">
        <v>383</v>
      </c>
      <c r="E545" s="55">
        <v>2890</v>
      </c>
      <c r="F545" s="95"/>
      <c r="G545" s="55">
        <v>390.18</v>
      </c>
      <c r="H545" s="95"/>
      <c r="I545" s="359">
        <f t="shared" si="8"/>
        <v>13.501038062283738</v>
      </c>
    </row>
    <row r="546" spans="1:9" ht="15" customHeight="1">
      <c r="A546" s="47"/>
      <c r="B546" s="10"/>
      <c r="C546" s="3">
        <v>4410</v>
      </c>
      <c r="D546" s="288" t="s">
        <v>649</v>
      </c>
      <c r="E546" s="55">
        <v>100</v>
      </c>
      <c r="F546" s="95"/>
      <c r="G546" s="55">
        <v>0</v>
      </c>
      <c r="H546" s="95"/>
      <c r="I546" s="359"/>
    </row>
    <row r="547" spans="1:9" ht="15" customHeight="1">
      <c r="A547" s="47"/>
      <c r="B547" s="10"/>
      <c r="C547" s="3">
        <v>4430</v>
      </c>
      <c r="D547" s="288" t="s">
        <v>433</v>
      </c>
      <c r="E547" s="55">
        <v>162</v>
      </c>
      <c r="F547" s="95"/>
      <c r="G547" s="55">
        <v>0</v>
      </c>
      <c r="H547" s="95"/>
      <c r="I547" s="359"/>
    </row>
    <row r="548" spans="1:9" ht="24" customHeight="1">
      <c r="A548" s="47"/>
      <c r="B548" s="10"/>
      <c r="C548" s="3">
        <v>4440</v>
      </c>
      <c r="D548" s="288" t="s">
        <v>647</v>
      </c>
      <c r="E548" s="55">
        <v>86448</v>
      </c>
      <c r="F548" s="95"/>
      <c r="G548" s="55">
        <v>65419.25</v>
      </c>
      <c r="H548" s="95"/>
      <c r="I548" s="359">
        <f t="shared" si="8"/>
        <v>75.67468304645567</v>
      </c>
    </row>
    <row r="549" spans="1:9" ht="26.25" customHeight="1">
      <c r="A549" s="47"/>
      <c r="B549" s="10"/>
      <c r="C549" s="14">
        <v>4700</v>
      </c>
      <c r="D549" s="288" t="s">
        <v>420</v>
      </c>
      <c r="E549" s="79">
        <v>400</v>
      </c>
      <c r="F549" s="95"/>
      <c r="G549" s="79">
        <v>0</v>
      </c>
      <c r="H549" s="95"/>
      <c r="I549" s="359"/>
    </row>
    <row r="550" spans="1:9" ht="39.75" customHeight="1">
      <c r="A550" s="47"/>
      <c r="B550" s="25">
        <v>85412</v>
      </c>
      <c r="C550" s="25"/>
      <c r="D550" s="26" t="s">
        <v>508</v>
      </c>
      <c r="E550" s="100">
        <f>SUM(E551:E554)</f>
        <v>9008</v>
      </c>
      <c r="F550" s="95"/>
      <c r="G550" s="100">
        <f>SUM(G551:G554)</f>
        <v>9003.43</v>
      </c>
      <c r="H550" s="95"/>
      <c r="I550" s="359">
        <f t="shared" si="8"/>
        <v>99.94926731793961</v>
      </c>
    </row>
    <row r="551" spans="1:9" ht="20.25" customHeight="1">
      <c r="A551" s="47"/>
      <c r="B551" s="10"/>
      <c r="C551" s="3">
        <v>4010</v>
      </c>
      <c r="D551" s="288" t="s">
        <v>643</v>
      </c>
      <c r="E551" s="100">
        <v>3349</v>
      </c>
      <c r="F551" s="95"/>
      <c r="G551" s="100">
        <v>3346.27</v>
      </c>
      <c r="H551" s="95"/>
      <c r="I551" s="359">
        <f t="shared" si="8"/>
        <v>99.91848312929233</v>
      </c>
    </row>
    <row r="552" spans="1:9" ht="21" customHeight="1">
      <c r="A552" s="47"/>
      <c r="B552" s="10"/>
      <c r="C552" s="3">
        <v>4110</v>
      </c>
      <c r="D552" s="288" t="s">
        <v>645</v>
      </c>
      <c r="E552" s="100">
        <v>576</v>
      </c>
      <c r="F552" s="95"/>
      <c r="G552" s="100">
        <v>575.16</v>
      </c>
      <c r="H552" s="95"/>
      <c r="I552" s="359">
        <f t="shared" si="8"/>
        <v>99.85416666666667</v>
      </c>
    </row>
    <row r="553" spans="1:9" ht="17.25" customHeight="1">
      <c r="A553" s="47"/>
      <c r="B553" s="10"/>
      <c r="C553" s="3">
        <v>4120</v>
      </c>
      <c r="D553" s="288" t="s">
        <v>646</v>
      </c>
      <c r="E553" s="100">
        <v>83</v>
      </c>
      <c r="F553" s="95"/>
      <c r="G553" s="100">
        <v>82</v>
      </c>
      <c r="H553" s="95"/>
      <c r="I553" s="359">
        <f t="shared" si="8"/>
        <v>98.79518072289156</v>
      </c>
    </row>
    <row r="554" spans="1:9" ht="26.25" customHeight="1">
      <c r="A554" s="47"/>
      <c r="B554" s="10"/>
      <c r="C554" s="3">
        <v>4300</v>
      </c>
      <c r="D554" s="288" t="s">
        <v>383</v>
      </c>
      <c r="E554" s="100">
        <v>5000</v>
      </c>
      <c r="F554" s="95"/>
      <c r="G554" s="100">
        <v>5000</v>
      </c>
      <c r="H554" s="95"/>
      <c r="I554" s="359">
        <f t="shared" si="8"/>
        <v>100</v>
      </c>
    </row>
    <row r="555" spans="1:9" ht="25.5" customHeight="1">
      <c r="A555" s="47"/>
      <c r="B555" s="25">
        <v>85415</v>
      </c>
      <c r="C555" s="9"/>
      <c r="D555" s="293" t="s">
        <v>494</v>
      </c>
      <c r="E555" s="41">
        <f>SUM(E556:E556)</f>
        <v>700000</v>
      </c>
      <c r="F555" s="95"/>
      <c r="G555" s="41">
        <f>SUM(G556:G556)</f>
        <v>327275.5</v>
      </c>
      <c r="H555" s="95"/>
      <c r="I555" s="359">
        <f t="shared" si="8"/>
        <v>46.75364285714286</v>
      </c>
    </row>
    <row r="556" spans="1:9" ht="18.75" customHeight="1">
      <c r="A556" s="48"/>
      <c r="B556" s="35"/>
      <c r="C556" s="9">
        <v>3240</v>
      </c>
      <c r="D556" s="288" t="s">
        <v>171</v>
      </c>
      <c r="E556" s="101">
        <v>700000</v>
      </c>
      <c r="F556" s="95"/>
      <c r="G556" s="101">
        <f>361384.5-34109</f>
        <v>327275.5</v>
      </c>
      <c r="H556" s="95"/>
      <c r="I556" s="359">
        <f t="shared" si="8"/>
        <v>46.75364285714286</v>
      </c>
    </row>
    <row r="557" spans="1:25" s="56" customFormat="1" ht="24.75" customHeight="1">
      <c r="A557" s="50"/>
      <c r="B557" s="25">
        <v>85446</v>
      </c>
      <c r="C557" s="24"/>
      <c r="D557" s="293" t="s">
        <v>591</v>
      </c>
      <c r="E557" s="41">
        <f>SUM(E558:E560)</f>
        <v>8728</v>
      </c>
      <c r="F557" s="114"/>
      <c r="G557" s="41">
        <f>SUM(G558:G560)</f>
        <v>2096.29</v>
      </c>
      <c r="H557" s="114"/>
      <c r="I557" s="359">
        <f t="shared" si="8"/>
        <v>24.017988084326305</v>
      </c>
      <c r="J557" s="243"/>
      <c r="K557" s="243"/>
      <c r="L557" s="261"/>
      <c r="M557" s="243"/>
      <c r="N557" s="243"/>
      <c r="O557" s="243"/>
      <c r="P557" s="243"/>
      <c r="Q557" s="243"/>
      <c r="R557" s="243"/>
      <c r="S557" s="243"/>
      <c r="T557" s="252"/>
      <c r="U557" s="252"/>
      <c r="V557" s="252"/>
      <c r="W557" s="252"/>
      <c r="X557" s="252"/>
      <c r="Y557" s="252"/>
    </row>
    <row r="558" spans="1:25" s="56" customFormat="1" ht="21.75" customHeight="1">
      <c r="A558" s="284"/>
      <c r="B558" s="35"/>
      <c r="C558" s="3">
        <v>4300</v>
      </c>
      <c r="D558" s="288" t="s">
        <v>383</v>
      </c>
      <c r="E558" s="55">
        <v>655</v>
      </c>
      <c r="F558" s="95"/>
      <c r="G558" s="55">
        <v>600</v>
      </c>
      <c r="H558" s="114"/>
      <c r="I558" s="359">
        <f t="shared" si="8"/>
        <v>91.6030534351145</v>
      </c>
      <c r="J558" s="243"/>
      <c r="K558" s="243"/>
      <c r="L558" s="261"/>
      <c r="M558" s="243"/>
      <c r="N558" s="243"/>
      <c r="O558" s="243"/>
      <c r="P558" s="243"/>
      <c r="Q558" s="243"/>
      <c r="R558" s="243"/>
      <c r="S558" s="243"/>
      <c r="T558" s="252"/>
      <c r="U558" s="252"/>
      <c r="V558" s="252"/>
      <c r="W558" s="252"/>
      <c r="X558" s="252"/>
      <c r="Y558" s="252"/>
    </row>
    <row r="559" spans="1:9" ht="18.75" customHeight="1">
      <c r="A559" s="48"/>
      <c r="B559" s="8"/>
      <c r="C559" s="9">
        <v>4410</v>
      </c>
      <c r="D559" s="288" t="s">
        <v>649</v>
      </c>
      <c r="E559" s="55">
        <v>437</v>
      </c>
      <c r="F559" s="95"/>
      <c r="G559" s="55">
        <v>106</v>
      </c>
      <c r="H559" s="95"/>
      <c r="I559" s="359">
        <f t="shared" si="8"/>
        <v>24.25629290617849</v>
      </c>
    </row>
    <row r="560" spans="1:9" ht="27" customHeight="1">
      <c r="A560" s="48"/>
      <c r="B560" s="35"/>
      <c r="C560" s="9">
        <v>4700</v>
      </c>
      <c r="D560" s="288" t="s">
        <v>420</v>
      </c>
      <c r="E560" s="79">
        <v>7636</v>
      </c>
      <c r="F560" s="97"/>
      <c r="G560" s="79">
        <v>1390.29</v>
      </c>
      <c r="H560" s="97"/>
      <c r="I560" s="359">
        <f t="shared" si="8"/>
        <v>18.207045573598744</v>
      </c>
    </row>
    <row r="561" spans="1:9" ht="31.5" customHeight="1">
      <c r="A561" s="65">
        <v>900</v>
      </c>
      <c r="B561" s="62"/>
      <c r="C561" s="11"/>
      <c r="D561" s="292" t="s">
        <v>552</v>
      </c>
      <c r="E561" s="36">
        <f>E562+E566+E569+E572+E575+E580</f>
        <v>23078229.16</v>
      </c>
      <c r="F561" s="116"/>
      <c r="G561" s="36">
        <f>G562+G566+G569+G572+G575+G580</f>
        <v>4236056.7299999995</v>
      </c>
      <c r="H561" s="116"/>
      <c r="I561" s="359">
        <f t="shared" si="8"/>
        <v>18.355206981574142</v>
      </c>
    </row>
    <row r="562" spans="1:25" s="140" customFormat="1" ht="22.5" customHeight="1">
      <c r="A562" s="50"/>
      <c r="B562" s="35">
        <v>90002</v>
      </c>
      <c r="C562" s="25"/>
      <c r="D562" s="293" t="s">
        <v>458</v>
      </c>
      <c r="E562" s="150">
        <f>SUM(E563:E565)</f>
        <v>8792000</v>
      </c>
      <c r="F562" s="114"/>
      <c r="G562" s="150">
        <f>SUM(G563:G565)</f>
        <v>793079.83</v>
      </c>
      <c r="H562" s="114"/>
      <c r="I562" s="359">
        <f t="shared" si="8"/>
        <v>9.020471223839854</v>
      </c>
      <c r="J562" s="256"/>
      <c r="K562" s="256"/>
      <c r="L562" s="264"/>
      <c r="M562" s="256"/>
      <c r="N562" s="256"/>
      <c r="O562" s="256"/>
      <c r="P562" s="256"/>
      <c r="Q562" s="256"/>
      <c r="R562" s="256"/>
      <c r="S562" s="256"/>
      <c r="T562" s="255"/>
      <c r="U562" s="255"/>
      <c r="V562" s="255"/>
      <c r="W562" s="255"/>
      <c r="X562" s="255"/>
      <c r="Y562" s="255"/>
    </row>
    <row r="563" spans="1:9" ht="19.5" customHeight="1">
      <c r="A563" s="248"/>
      <c r="B563" s="67"/>
      <c r="C563" s="9">
        <v>4300</v>
      </c>
      <c r="D563" s="288" t="s">
        <v>599</v>
      </c>
      <c r="E563" s="55">
        <v>8750000</v>
      </c>
      <c r="F563" s="95"/>
      <c r="G563" s="55">
        <v>789574.07</v>
      </c>
      <c r="H563" s="95"/>
      <c r="I563" s="359">
        <f t="shared" si="8"/>
        <v>9.023703657142857</v>
      </c>
    </row>
    <row r="564" spans="1:9" ht="59.25" customHeight="1">
      <c r="A564" s="248"/>
      <c r="B564" s="66"/>
      <c r="C564" s="3">
        <v>6220</v>
      </c>
      <c r="D564" s="290" t="s">
        <v>434</v>
      </c>
      <c r="E564" s="55">
        <v>12000</v>
      </c>
      <c r="F564" s="95"/>
      <c r="G564" s="55">
        <v>0</v>
      </c>
      <c r="H564" s="95"/>
      <c r="I564" s="359"/>
    </row>
    <row r="565" spans="1:9" ht="62.25" customHeight="1">
      <c r="A565" s="248"/>
      <c r="B565" s="75"/>
      <c r="C565" s="16">
        <v>6230</v>
      </c>
      <c r="D565" s="290" t="s">
        <v>536</v>
      </c>
      <c r="E565" s="55">
        <v>30000</v>
      </c>
      <c r="F565" s="95"/>
      <c r="G565" s="55">
        <v>3505.76</v>
      </c>
      <c r="H565" s="95"/>
      <c r="I565" s="359">
        <f t="shared" si="8"/>
        <v>11.685866666666668</v>
      </c>
    </row>
    <row r="566" spans="1:9" ht="21.75" customHeight="1">
      <c r="A566" s="129"/>
      <c r="B566" s="85">
        <v>90003</v>
      </c>
      <c r="C566" s="25"/>
      <c r="D566" s="293" t="s">
        <v>608</v>
      </c>
      <c r="E566" s="106">
        <f>SUM(E567:E568)</f>
        <v>1230000</v>
      </c>
      <c r="F566" s="95"/>
      <c r="G566" s="106">
        <f>SUM(G567:G568)</f>
        <v>426729.63999999996</v>
      </c>
      <c r="H566" s="95"/>
      <c r="I566" s="359">
        <f t="shared" si="8"/>
        <v>34.69346666666666</v>
      </c>
    </row>
    <row r="567" spans="1:9" ht="21.75" customHeight="1">
      <c r="A567" s="129"/>
      <c r="B567" s="86"/>
      <c r="C567" s="14">
        <v>4210</v>
      </c>
      <c r="D567" s="290" t="s">
        <v>602</v>
      </c>
      <c r="E567" s="101">
        <v>30000</v>
      </c>
      <c r="F567" s="95"/>
      <c r="G567" s="101">
        <v>14061.66</v>
      </c>
      <c r="H567" s="95"/>
      <c r="I567" s="359">
        <f t="shared" si="8"/>
        <v>46.8722</v>
      </c>
    </row>
    <row r="568" spans="1:9" ht="20.25" customHeight="1">
      <c r="A568" s="128"/>
      <c r="B568" s="99"/>
      <c r="C568" s="3">
        <v>4300</v>
      </c>
      <c r="D568" s="288" t="s">
        <v>599</v>
      </c>
      <c r="E568" s="101">
        <v>1200000</v>
      </c>
      <c r="F568" s="95"/>
      <c r="G568" s="101">
        <v>412667.98</v>
      </c>
      <c r="H568" s="95"/>
      <c r="I568" s="359">
        <f t="shared" si="8"/>
        <v>34.38899833333333</v>
      </c>
    </row>
    <row r="569" spans="1:25" s="140" customFormat="1" ht="21.75" customHeight="1">
      <c r="A569" s="50"/>
      <c r="B569" s="25">
        <v>90004</v>
      </c>
      <c r="C569" s="25"/>
      <c r="D569" s="293" t="s">
        <v>459</v>
      </c>
      <c r="E569" s="197">
        <f>SUM(E570:E571)</f>
        <v>2563000</v>
      </c>
      <c r="F569" s="114"/>
      <c r="G569" s="197">
        <f>SUM(G570:G571)</f>
        <v>739575.83</v>
      </c>
      <c r="H569" s="114"/>
      <c r="I569" s="359">
        <f t="shared" si="8"/>
        <v>28.855865392118606</v>
      </c>
      <c r="J569" s="256"/>
      <c r="K569" s="256"/>
      <c r="L569" s="264"/>
      <c r="M569" s="256"/>
      <c r="N569" s="256"/>
      <c r="O569" s="256"/>
      <c r="P569" s="256"/>
      <c r="Q569" s="256"/>
      <c r="R569" s="256"/>
      <c r="S569" s="256"/>
      <c r="T569" s="255"/>
      <c r="U569" s="255"/>
      <c r="V569" s="255"/>
      <c r="W569" s="255"/>
      <c r="X569" s="255"/>
      <c r="Y569" s="255"/>
    </row>
    <row r="570" spans="1:9" ht="20.25" customHeight="1">
      <c r="A570" s="128"/>
      <c r="B570" s="99"/>
      <c r="C570" s="3">
        <v>3050</v>
      </c>
      <c r="D570" s="288" t="s">
        <v>325</v>
      </c>
      <c r="E570" s="101">
        <v>6000</v>
      </c>
      <c r="F570" s="95"/>
      <c r="G570" s="101">
        <v>3000</v>
      </c>
      <c r="H570" s="95"/>
      <c r="I570" s="359">
        <f t="shared" si="8"/>
        <v>50</v>
      </c>
    </row>
    <row r="571" spans="1:9" ht="20.25" customHeight="1">
      <c r="A571" s="128"/>
      <c r="B571" s="99"/>
      <c r="C571" s="3">
        <v>4300</v>
      </c>
      <c r="D571" s="288" t="s">
        <v>599</v>
      </c>
      <c r="E571" s="101">
        <v>2557000</v>
      </c>
      <c r="F571" s="95"/>
      <c r="G571" s="101">
        <v>736575.83</v>
      </c>
      <c r="H571" s="95"/>
      <c r="I571" s="359">
        <f t="shared" si="8"/>
        <v>28.806250684395774</v>
      </c>
    </row>
    <row r="572" spans="1:9" ht="21.75" customHeight="1">
      <c r="A572" s="129"/>
      <c r="B572" s="83">
        <v>90013</v>
      </c>
      <c r="C572" s="25"/>
      <c r="D572" s="293" t="s">
        <v>609</v>
      </c>
      <c r="E572" s="41">
        <f>SUM(E573:E574)</f>
        <v>300000</v>
      </c>
      <c r="F572" s="95"/>
      <c r="G572" s="41">
        <f>SUM(G573:G574)</f>
        <v>151911.3</v>
      </c>
      <c r="H572" s="95"/>
      <c r="I572" s="359">
        <f t="shared" si="8"/>
        <v>50.637100000000004</v>
      </c>
    </row>
    <row r="573" spans="1:9" ht="74.25" customHeight="1">
      <c r="A573" s="128"/>
      <c r="B573" s="99"/>
      <c r="C573" s="3">
        <v>2360</v>
      </c>
      <c r="D573" s="288" t="s">
        <v>493</v>
      </c>
      <c r="E573" s="167">
        <v>270000</v>
      </c>
      <c r="F573" s="95"/>
      <c r="G573" s="167">
        <v>136500</v>
      </c>
      <c r="H573" s="95"/>
      <c r="I573" s="359">
        <f t="shared" si="8"/>
        <v>50.55555555555556</v>
      </c>
    </row>
    <row r="574" spans="1:9" ht="21" customHeight="1">
      <c r="A574" s="128"/>
      <c r="B574" s="99"/>
      <c r="C574" s="3">
        <v>4300</v>
      </c>
      <c r="D574" s="288" t="s">
        <v>599</v>
      </c>
      <c r="E574" s="55">
        <v>30000</v>
      </c>
      <c r="F574" s="95"/>
      <c r="G574" s="55">
        <v>15411.3</v>
      </c>
      <c r="H574" s="95"/>
      <c r="I574" s="359">
        <f t="shared" si="8"/>
        <v>51.371</v>
      </c>
    </row>
    <row r="575" spans="1:10" ht="24" customHeight="1">
      <c r="A575" s="129"/>
      <c r="B575" s="83">
        <v>90015</v>
      </c>
      <c r="C575" s="25"/>
      <c r="D575" s="293" t="s">
        <v>528</v>
      </c>
      <c r="E575" s="106">
        <f>SUM(E576:E579)</f>
        <v>6275459.21</v>
      </c>
      <c r="F575" s="95"/>
      <c r="G575" s="106">
        <f>SUM(G576:G579)</f>
        <v>1441954.42</v>
      </c>
      <c r="H575" s="95"/>
      <c r="I575" s="359">
        <f t="shared" si="8"/>
        <v>22.977671780612212</v>
      </c>
      <c r="J575" s="257"/>
    </row>
    <row r="576" spans="1:9" ht="18" customHeight="1">
      <c r="A576" s="129"/>
      <c r="B576" s="86"/>
      <c r="C576" s="3">
        <v>4210</v>
      </c>
      <c r="D576" s="288" t="s">
        <v>602</v>
      </c>
      <c r="E576" s="101">
        <v>3000</v>
      </c>
      <c r="F576" s="95"/>
      <c r="G576" s="101">
        <v>0</v>
      </c>
      <c r="H576" s="95"/>
      <c r="I576" s="359"/>
    </row>
    <row r="577" spans="1:9" ht="17.25" customHeight="1">
      <c r="A577" s="128"/>
      <c r="B577" s="99"/>
      <c r="C577" s="3">
        <v>4260</v>
      </c>
      <c r="D577" s="288" t="s">
        <v>660</v>
      </c>
      <c r="E577" s="101">
        <v>3569400</v>
      </c>
      <c r="F577" s="95"/>
      <c r="G577" s="101">
        <v>947424.45</v>
      </c>
      <c r="H577" s="95"/>
      <c r="I577" s="359">
        <f t="shared" si="8"/>
        <v>26.542961001849047</v>
      </c>
    </row>
    <row r="578" spans="1:9" ht="17.25" customHeight="1">
      <c r="A578" s="128"/>
      <c r="B578" s="99"/>
      <c r="C578" s="3">
        <v>4300</v>
      </c>
      <c r="D578" s="288" t="s">
        <v>599</v>
      </c>
      <c r="E578" s="55">
        <v>1595000</v>
      </c>
      <c r="F578" s="95"/>
      <c r="G578" s="55">
        <v>453781.52</v>
      </c>
      <c r="H578" s="95"/>
      <c r="I578" s="359">
        <f t="shared" si="8"/>
        <v>28.450252037617556</v>
      </c>
    </row>
    <row r="579" spans="1:9" ht="27.75" customHeight="1">
      <c r="A579" s="128"/>
      <c r="B579" s="99"/>
      <c r="C579" s="3">
        <v>6050</v>
      </c>
      <c r="D579" s="288" t="s">
        <v>349</v>
      </c>
      <c r="E579" s="79">
        <v>1108059.21</v>
      </c>
      <c r="F579" s="95"/>
      <c r="G579" s="79">
        <v>40748.45</v>
      </c>
      <c r="H579" s="95"/>
      <c r="I579" s="359">
        <f t="shared" si="8"/>
        <v>3.6774614237446746</v>
      </c>
    </row>
    <row r="580" spans="1:13" ht="24.75" customHeight="1">
      <c r="A580" s="129"/>
      <c r="B580" s="49">
        <v>90095</v>
      </c>
      <c r="C580" s="25"/>
      <c r="D580" s="293" t="s">
        <v>529</v>
      </c>
      <c r="E580" s="106">
        <f>SUM(E581:E595)</f>
        <v>3917769.95</v>
      </c>
      <c r="F580" s="95"/>
      <c r="G580" s="106">
        <f>SUM(G581:G595)</f>
        <v>682805.71</v>
      </c>
      <c r="H580" s="95"/>
      <c r="I580" s="359">
        <f t="shared" si="8"/>
        <v>17.42842787387248</v>
      </c>
      <c r="J580" s="243"/>
      <c r="K580" s="243"/>
      <c r="L580" s="261"/>
      <c r="M580" s="243"/>
    </row>
    <row r="581" spans="1:9" ht="51" customHeight="1">
      <c r="A581" s="131"/>
      <c r="B581" s="84"/>
      <c r="C581" s="9">
        <v>2900</v>
      </c>
      <c r="D581" s="288" t="s">
        <v>530</v>
      </c>
      <c r="E581" s="101">
        <v>187000</v>
      </c>
      <c r="F581" s="95"/>
      <c r="G581" s="101">
        <v>91895.5</v>
      </c>
      <c r="H581" s="95"/>
      <c r="I581" s="359">
        <f t="shared" si="8"/>
        <v>49.14197860962567</v>
      </c>
    </row>
    <row r="582" spans="1:9" ht="19.5" customHeight="1">
      <c r="A582" s="131"/>
      <c r="B582" s="89"/>
      <c r="C582" s="3">
        <v>4170</v>
      </c>
      <c r="D582" s="288" t="s">
        <v>652</v>
      </c>
      <c r="E582" s="101">
        <v>6950</v>
      </c>
      <c r="F582" s="95"/>
      <c r="G582" s="101">
        <v>4309</v>
      </c>
      <c r="H582" s="95"/>
      <c r="I582" s="359">
        <f t="shared" si="8"/>
        <v>62</v>
      </c>
    </row>
    <row r="583" spans="1:9" ht="17.25" customHeight="1">
      <c r="A583" s="131"/>
      <c r="B583" s="89"/>
      <c r="C583" s="9">
        <v>4210</v>
      </c>
      <c r="D583" s="288" t="s">
        <v>602</v>
      </c>
      <c r="E583" s="55">
        <v>53500</v>
      </c>
      <c r="F583" s="95"/>
      <c r="G583" s="55">
        <v>16729.89</v>
      </c>
      <c r="H583" s="95"/>
      <c r="I583" s="359">
        <f t="shared" si="8"/>
        <v>31.27082242990654</v>
      </c>
    </row>
    <row r="584" spans="1:9" ht="27" customHeight="1">
      <c r="A584" s="131"/>
      <c r="B584" s="89"/>
      <c r="C584" s="9">
        <v>4240</v>
      </c>
      <c r="D584" s="288" t="s">
        <v>358</v>
      </c>
      <c r="E584" s="55">
        <v>12000</v>
      </c>
      <c r="F584" s="95"/>
      <c r="G584" s="55">
        <v>0</v>
      </c>
      <c r="H584" s="95"/>
      <c r="I584" s="359"/>
    </row>
    <row r="585" spans="1:9" ht="18" customHeight="1">
      <c r="A585" s="131"/>
      <c r="B585" s="89"/>
      <c r="C585" s="9">
        <v>4260</v>
      </c>
      <c r="D585" s="288" t="s">
        <v>660</v>
      </c>
      <c r="E585" s="55">
        <f>214000-6460</f>
        <v>207540</v>
      </c>
      <c r="F585" s="95"/>
      <c r="G585" s="55">
        <v>63936.15</v>
      </c>
      <c r="H585" s="95"/>
      <c r="I585" s="359">
        <f t="shared" si="8"/>
        <v>30.806663775657704</v>
      </c>
    </row>
    <row r="586" spans="1:9" ht="18.75" customHeight="1">
      <c r="A586" s="131"/>
      <c r="B586" s="89"/>
      <c r="C586" s="9">
        <v>4270</v>
      </c>
      <c r="D586" s="288" t="s">
        <v>603</v>
      </c>
      <c r="E586" s="55">
        <v>237761</v>
      </c>
      <c r="F586" s="95"/>
      <c r="G586" s="55">
        <v>37785.6</v>
      </c>
      <c r="H586" s="95"/>
      <c r="I586" s="359">
        <f t="shared" si="8"/>
        <v>15.892261556773398</v>
      </c>
    </row>
    <row r="587" spans="1:9" ht="17.25" customHeight="1">
      <c r="A587" s="131"/>
      <c r="B587" s="89"/>
      <c r="C587" s="9">
        <v>4300</v>
      </c>
      <c r="D587" s="288" t="s">
        <v>432</v>
      </c>
      <c r="E587" s="55">
        <v>995978</v>
      </c>
      <c r="F587" s="95"/>
      <c r="G587" s="55">
        <v>348656.47</v>
      </c>
      <c r="H587" s="95"/>
      <c r="I587" s="359">
        <f t="shared" si="8"/>
        <v>35.006442913397684</v>
      </c>
    </row>
    <row r="588" spans="1:9" ht="29.25" customHeight="1">
      <c r="A588" s="131"/>
      <c r="B588" s="89"/>
      <c r="C588" s="9">
        <v>4390</v>
      </c>
      <c r="D588" s="288" t="s">
        <v>555</v>
      </c>
      <c r="E588" s="55">
        <v>10000</v>
      </c>
      <c r="F588" s="95"/>
      <c r="G588" s="55">
        <v>363.1</v>
      </c>
      <c r="H588" s="95"/>
      <c r="I588" s="359">
        <f t="shared" si="8"/>
        <v>3.6310000000000002</v>
      </c>
    </row>
    <row r="589" spans="1:9" ht="16.5" customHeight="1">
      <c r="A589" s="131"/>
      <c r="B589" s="89"/>
      <c r="C589" s="9">
        <v>4430</v>
      </c>
      <c r="D589" s="288" t="s">
        <v>433</v>
      </c>
      <c r="E589" s="55">
        <v>95000</v>
      </c>
      <c r="F589" s="95"/>
      <c r="G589" s="55">
        <v>27523</v>
      </c>
      <c r="H589" s="95"/>
      <c r="I589" s="359">
        <f t="shared" si="8"/>
        <v>28.97157894736842</v>
      </c>
    </row>
    <row r="590" spans="1:9" ht="41.25" customHeight="1">
      <c r="A590" s="131"/>
      <c r="B590" s="89"/>
      <c r="C590" s="9">
        <v>4600</v>
      </c>
      <c r="D590" s="1" t="s">
        <v>429</v>
      </c>
      <c r="E590" s="79">
        <v>47303</v>
      </c>
      <c r="F590" s="95"/>
      <c r="G590" s="79">
        <v>47303</v>
      </c>
      <c r="H590" s="95"/>
      <c r="I590" s="359">
        <f aca="true" t="shared" si="9" ref="I590:I652">G590/E590*100</f>
        <v>100</v>
      </c>
    </row>
    <row r="591" spans="1:9" ht="66.75" customHeight="1">
      <c r="A591" s="131"/>
      <c r="B591" s="89"/>
      <c r="C591" s="16">
        <v>6010</v>
      </c>
      <c r="D591" s="31" t="s">
        <v>635</v>
      </c>
      <c r="E591" s="79">
        <v>450777.95</v>
      </c>
      <c r="F591" s="95"/>
      <c r="G591" s="79">
        <v>0</v>
      </c>
      <c r="H591" s="95"/>
      <c r="I591" s="359"/>
    </row>
    <row r="592" spans="1:9" ht="27" customHeight="1">
      <c r="A592" s="131"/>
      <c r="B592" s="89"/>
      <c r="C592" s="16">
        <v>6050</v>
      </c>
      <c r="D592" s="290" t="s">
        <v>349</v>
      </c>
      <c r="E592" s="79">
        <v>251300</v>
      </c>
      <c r="F592" s="95"/>
      <c r="G592" s="79">
        <v>6354</v>
      </c>
      <c r="H592" s="95"/>
      <c r="I592" s="359">
        <f t="shared" si="9"/>
        <v>2.5284520493434144</v>
      </c>
    </row>
    <row r="593" spans="2:25" s="267" customFormat="1" ht="27" customHeight="1">
      <c r="B593" s="285"/>
      <c r="C593" s="3">
        <v>6057</v>
      </c>
      <c r="D593" s="290" t="s">
        <v>349</v>
      </c>
      <c r="E593" s="270">
        <v>775761</v>
      </c>
      <c r="F593" s="312"/>
      <c r="G593" s="270">
        <v>0</v>
      </c>
      <c r="H593" s="312"/>
      <c r="I593" s="359"/>
      <c r="J593" s="306"/>
      <c r="K593" s="306"/>
      <c r="L593" s="306"/>
      <c r="M593" s="58"/>
      <c r="N593" s="306"/>
      <c r="O593" s="306"/>
      <c r="P593" s="306"/>
      <c r="Q593" s="306"/>
      <c r="R593" s="306"/>
      <c r="S593" s="306"/>
      <c r="T593" s="306"/>
      <c r="U593" s="306"/>
      <c r="V593" s="306"/>
      <c r="W593" s="306"/>
      <c r="X593" s="306"/>
      <c r="Y593" s="306"/>
    </row>
    <row r="594" spans="1:9" ht="27.75" customHeight="1">
      <c r="A594" s="131"/>
      <c r="B594" s="89"/>
      <c r="C594" s="16">
        <v>6059</v>
      </c>
      <c r="D594" s="290" t="s">
        <v>349</v>
      </c>
      <c r="E594" s="79">
        <v>136899</v>
      </c>
      <c r="F594" s="95"/>
      <c r="G594" s="79">
        <v>0</v>
      </c>
      <c r="H594" s="95"/>
      <c r="I594" s="359"/>
    </row>
    <row r="595" spans="1:9" ht="61.5" customHeight="1">
      <c r="A595" s="131"/>
      <c r="B595" s="98"/>
      <c r="C595" s="16">
        <v>6230</v>
      </c>
      <c r="D595" s="290" t="s">
        <v>536</v>
      </c>
      <c r="E595" s="79">
        <v>450000</v>
      </c>
      <c r="F595" s="95"/>
      <c r="G595" s="79">
        <v>37950</v>
      </c>
      <c r="H595" s="95"/>
      <c r="I595" s="359">
        <f t="shared" si="9"/>
        <v>8.433333333333334</v>
      </c>
    </row>
    <row r="596" spans="1:9" ht="27" customHeight="1">
      <c r="A596" s="65">
        <v>921</v>
      </c>
      <c r="B596" s="62"/>
      <c r="C596" s="11"/>
      <c r="D596" s="292" t="s">
        <v>531</v>
      </c>
      <c r="E596" s="36">
        <f>E597+E601+E603</f>
        <v>6022700</v>
      </c>
      <c r="F596" s="112"/>
      <c r="G596" s="36">
        <f>G597+G601+G603</f>
        <v>3080302.88</v>
      </c>
      <c r="H596" s="112"/>
      <c r="I596" s="359">
        <f t="shared" si="9"/>
        <v>51.14488319192388</v>
      </c>
    </row>
    <row r="597" spans="1:9" ht="21.75" customHeight="1">
      <c r="A597" s="132"/>
      <c r="B597" s="83">
        <v>92109</v>
      </c>
      <c r="C597" s="25"/>
      <c r="D597" s="293" t="s">
        <v>435</v>
      </c>
      <c r="E597" s="106">
        <f>SUM(E598:E600)</f>
        <v>5262700</v>
      </c>
      <c r="F597" s="112"/>
      <c r="G597" s="106">
        <f>SUM(G598:G600)</f>
        <v>2807900</v>
      </c>
      <c r="H597" s="112"/>
      <c r="I597" s="359">
        <f t="shared" si="9"/>
        <v>53.35474186254204</v>
      </c>
    </row>
    <row r="598" spans="1:9" ht="26.25" customHeight="1">
      <c r="A598" s="128"/>
      <c r="B598" s="99"/>
      <c r="C598" s="3">
        <v>2480</v>
      </c>
      <c r="D598" s="288" t="s">
        <v>538</v>
      </c>
      <c r="E598" s="55">
        <v>4897700</v>
      </c>
      <c r="F598" s="95"/>
      <c r="G598" s="55">
        <v>2807900</v>
      </c>
      <c r="H598" s="95"/>
      <c r="I598" s="359">
        <f t="shared" si="9"/>
        <v>57.33099209833187</v>
      </c>
    </row>
    <row r="599" spans="1:9" ht="31.5" customHeight="1">
      <c r="A599" s="128"/>
      <c r="B599" s="99"/>
      <c r="C599" s="3">
        <v>6050</v>
      </c>
      <c r="D599" s="290" t="s">
        <v>349</v>
      </c>
      <c r="E599" s="55">
        <v>340000</v>
      </c>
      <c r="F599" s="95"/>
      <c r="G599" s="55">
        <v>0</v>
      </c>
      <c r="H599" s="95"/>
      <c r="I599" s="359"/>
    </row>
    <row r="600" spans="1:9" ht="69.75" customHeight="1">
      <c r="A600" s="128"/>
      <c r="B600" s="99"/>
      <c r="C600" s="3">
        <v>6220</v>
      </c>
      <c r="D600" s="31" t="s">
        <v>434</v>
      </c>
      <c r="E600" s="55">
        <v>25000</v>
      </c>
      <c r="F600" s="95"/>
      <c r="G600" s="55">
        <v>0</v>
      </c>
      <c r="H600" s="95"/>
      <c r="I600" s="359"/>
    </row>
    <row r="601" spans="1:9" ht="23.25" customHeight="1">
      <c r="A601" s="128"/>
      <c r="B601" s="49">
        <v>92120</v>
      </c>
      <c r="C601" s="25"/>
      <c r="D601" s="293" t="s">
        <v>539</v>
      </c>
      <c r="E601" s="106">
        <f>SUM(E602:E602)</f>
        <v>145000</v>
      </c>
      <c r="F601" s="95"/>
      <c r="G601" s="106">
        <f>SUM(G602:G602)</f>
        <v>60000</v>
      </c>
      <c r="H601" s="95"/>
      <c r="I601" s="359">
        <f t="shared" si="9"/>
        <v>41.37931034482759</v>
      </c>
    </row>
    <row r="602" spans="1:9" ht="61.5" customHeight="1">
      <c r="A602" s="131"/>
      <c r="B602" s="84"/>
      <c r="C602" s="3">
        <v>2720</v>
      </c>
      <c r="D602" s="288" t="s">
        <v>540</v>
      </c>
      <c r="E602" s="55">
        <v>145000</v>
      </c>
      <c r="F602" s="95"/>
      <c r="G602" s="55">
        <v>60000</v>
      </c>
      <c r="H602" s="95"/>
      <c r="I602" s="359">
        <f t="shared" si="9"/>
        <v>41.37931034482759</v>
      </c>
    </row>
    <row r="603" spans="1:9" ht="21" customHeight="1">
      <c r="A603" s="129"/>
      <c r="B603" s="49">
        <v>92195</v>
      </c>
      <c r="C603" s="25"/>
      <c r="D603" s="293" t="s">
        <v>544</v>
      </c>
      <c r="E603" s="29">
        <f>SUM(E604:E607)</f>
        <v>615000</v>
      </c>
      <c r="F603" s="95"/>
      <c r="G603" s="29">
        <f>SUM(G604:G607)</f>
        <v>212402.88</v>
      </c>
      <c r="H603" s="95"/>
      <c r="I603" s="359">
        <f t="shared" si="9"/>
        <v>34.537053658536585</v>
      </c>
    </row>
    <row r="604" spans="1:9" ht="72.75" customHeight="1">
      <c r="A604" s="133"/>
      <c r="B604" s="118"/>
      <c r="C604" s="3">
        <v>2360</v>
      </c>
      <c r="D604" s="288" t="s">
        <v>493</v>
      </c>
      <c r="E604" s="55">
        <v>28000</v>
      </c>
      <c r="F604" s="95"/>
      <c r="G604" s="55">
        <v>0</v>
      </c>
      <c r="H604" s="95"/>
      <c r="I604" s="359"/>
    </row>
    <row r="605" spans="1:9" ht="27" customHeight="1">
      <c r="A605" s="131"/>
      <c r="B605" s="89"/>
      <c r="C605" s="9">
        <v>3040</v>
      </c>
      <c r="D605" s="288" t="s">
        <v>130</v>
      </c>
      <c r="E605" s="55">
        <v>25000</v>
      </c>
      <c r="F605" s="95"/>
      <c r="G605" s="55">
        <v>0</v>
      </c>
      <c r="H605" s="95"/>
      <c r="I605" s="359"/>
    </row>
    <row r="606" spans="1:9" ht="17.25" customHeight="1">
      <c r="A606" s="131"/>
      <c r="B606" s="89"/>
      <c r="C606" s="9">
        <v>4210</v>
      </c>
      <c r="D606" s="288" t="s">
        <v>602</v>
      </c>
      <c r="E606" s="55">
        <v>5000</v>
      </c>
      <c r="F606" s="95"/>
      <c r="G606" s="55">
        <v>4078.81</v>
      </c>
      <c r="H606" s="95"/>
      <c r="I606" s="359">
        <f t="shared" si="9"/>
        <v>81.5762</v>
      </c>
    </row>
    <row r="607" spans="1:9" ht="20.25" customHeight="1">
      <c r="A607" s="131"/>
      <c r="B607" s="89"/>
      <c r="C607" s="16">
        <v>4300</v>
      </c>
      <c r="D607" s="288" t="s">
        <v>599</v>
      </c>
      <c r="E607" s="79">
        <v>557000</v>
      </c>
      <c r="F607" s="95"/>
      <c r="G607" s="79">
        <v>208324.07</v>
      </c>
      <c r="H607" s="95"/>
      <c r="I607" s="359">
        <f t="shared" si="9"/>
        <v>37.40108976660682</v>
      </c>
    </row>
    <row r="608" spans="1:9" ht="25.5" customHeight="1">
      <c r="A608" s="65">
        <v>926</v>
      </c>
      <c r="B608" s="62"/>
      <c r="C608" s="11"/>
      <c r="D608" s="292" t="s">
        <v>392</v>
      </c>
      <c r="E608" s="36">
        <f>E609+E611+E639</f>
        <v>11099682.5</v>
      </c>
      <c r="F608" s="116"/>
      <c r="G608" s="36">
        <f>G609+G611+G639</f>
        <v>5390138.55</v>
      </c>
      <c r="H608" s="116"/>
      <c r="I608" s="359">
        <f t="shared" si="9"/>
        <v>48.56119578195142</v>
      </c>
    </row>
    <row r="609" spans="1:9" ht="25.5" customHeight="1">
      <c r="A609" s="71"/>
      <c r="B609" s="25">
        <v>92601</v>
      </c>
      <c r="C609" s="25"/>
      <c r="D609" s="293" t="s">
        <v>586</v>
      </c>
      <c r="E609" s="106">
        <f>E610</f>
        <v>84300</v>
      </c>
      <c r="F609" s="112"/>
      <c r="G609" s="106">
        <f>G610</f>
        <v>34244.71</v>
      </c>
      <c r="H609" s="112"/>
      <c r="I609" s="359">
        <f t="shared" si="9"/>
        <v>40.62243179122183</v>
      </c>
    </row>
    <row r="610" spans="1:9" ht="22.5" customHeight="1">
      <c r="A610" s="134"/>
      <c r="B610" s="2"/>
      <c r="C610" s="9">
        <v>6050</v>
      </c>
      <c r="D610" s="288" t="s">
        <v>349</v>
      </c>
      <c r="E610" s="79">
        <v>84300</v>
      </c>
      <c r="F610" s="95"/>
      <c r="G610" s="79">
        <v>34244.71</v>
      </c>
      <c r="H610" s="95"/>
      <c r="I610" s="359">
        <f t="shared" si="9"/>
        <v>40.62243179122183</v>
      </c>
    </row>
    <row r="611" spans="1:9" ht="25.5" customHeight="1">
      <c r="A611" s="71"/>
      <c r="B611" s="39">
        <v>92604</v>
      </c>
      <c r="C611" s="25"/>
      <c r="D611" s="293" t="s">
        <v>497</v>
      </c>
      <c r="E611" s="106">
        <f>SUM(E612:E638)</f>
        <v>9067882.5</v>
      </c>
      <c r="F611" s="95"/>
      <c r="G611" s="106">
        <f>SUM(G612:G638)</f>
        <v>4073913.5799999996</v>
      </c>
      <c r="H611" s="95"/>
      <c r="I611" s="359">
        <f t="shared" si="9"/>
        <v>44.9268457106717</v>
      </c>
    </row>
    <row r="612" spans="1:9" ht="24" customHeight="1">
      <c r="A612" s="71"/>
      <c r="B612" s="10"/>
      <c r="C612" s="3">
        <v>3020</v>
      </c>
      <c r="D612" s="288" t="s">
        <v>324</v>
      </c>
      <c r="E612" s="101">
        <v>38800</v>
      </c>
      <c r="F612" s="95"/>
      <c r="G612" s="101">
        <v>15911</v>
      </c>
      <c r="H612" s="95"/>
      <c r="I612" s="359">
        <f t="shared" si="9"/>
        <v>41.00773195876289</v>
      </c>
    </row>
    <row r="613" spans="1:9" ht="24" customHeight="1">
      <c r="A613" s="71"/>
      <c r="B613" s="10"/>
      <c r="C613" s="3">
        <v>3040</v>
      </c>
      <c r="D613" s="288" t="s">
        <v>130</v>
      </c>
      <c r="E613" s="101">
        <v>3300</v>
      </c>
      <c r="F613" s="95"/>
      <c r="G613" s="101">
        <v>3300</v>
      </c>
      <c r="H613" s="95"/>
      <c r="I613" s="359">
        <f t="shared" si="9"/>
        <v>100</v>
      </c>
    </row>
    <row r="614" spans="1:9" ht="18.75" customHeight="1">
      <c r="A614" s="71"/>
      <c r="B614" s="10"/>
      <c r="C614" s="3">
        <v>4010</v>
      </c>
      <c r="D614" s="288" t="s">
        <v>643</v>
      </c>
      <c r="E614" s="55">
        <v>3576000</v>
      </c>
      <c r="F614" s="95"/>
      <c r="G614" s="55">
        <v>1569110.88</v>
      </c>
      <c r="H614" s="95"/>
      <c r="I614" s="359">
        <f t="shared" si="9"/>
        <v>43.87893959731543</v>
      </c>
    </row>
    <row r="615" spans="1:9" ht="15" customHeight="1">
      <c r="A615" s="71"/>
      <c r="B615" s="10"/>
      <c r="C615" s="3">
        <v>4040</v>
      </c>
      <c r="D615" s="288" t="s">
        <v>644</v>
      </c>
      <c r="E615" s="55">
        <v>230615</v>
      </c>
      <c r="F615" s="95"/>
      <c r="G615" s="55">
        <v>230614.88</v>
      </c>
      <c r="H615" s="95"/>
      <c r="I615" s="359">
        <f t="shared" si="9"/>
        <v>99.99994796522343</v>
      </c>
    </row>
    <row r="616" spans="1:9" ht="15" customHeight="1">
      <c r="A616" s="71"/>
      <c r="B616" s="10"/>
      <c r="C616" s="3">
        <v>4110</v>
      </c>
      <c r="D616" s="288" t="s">
        <v>645</v>
      </c>
      <c r="E616" s="55">
        <v>683000</v>
      </c>
      <c r="F616" s="95"/>
      <c r="G616" s="55">
        <v>286569.97</v>
      </c>
      <c r="H616" s="95"/>
      <c r="I616" s="359">
        <f t="shared" si="9"/>
        <v>41.95753587115666</v>
      </c>
    </row>
    <row r="617" spans="1:9" ht="15" customHeight="1">
      <c r="A617" s="71"/>
      <c r="B617" s="10"/>
      <c r="C617" s="3">
        <v>4120</v>
      </c>
      <c r="D617" s="288" t="s">
        <v>646</v>
      </c>
      <c r="E617" s="55">
        <v>97000</v>
      </c>
      <c r="F617" s="95"/>
      <c r="G617" s="55">
        <v>33547.66</v>
      </c>
      <c r="H617" s="95"/>
      <c r="I617" s="359">
        <f t="shared" si="9"/>
        <v>34.58521649484537</v>
      </c>
    </row>
    <row r="618" spans="1:9" ht="25.5" customHeight="1">
      <c r="A618" s="71"/>
      <c r="B618" s="10"/>
      <c r="C618" s="14">
        <v>4140</v>
      </c>
      <c r="D618" s="288" t="s">
        <v>357</v>
      </c>
      <c r="E618" s="55">
        <v>57100</v>
      </c>
      <c r="F618" s="95"/>
      <c r="G618" s="55">
        <v>26840</v>
      </c>
      <c r="H618" s="95"/>
      <c r="I618" s="359">
        <f t="shared" si="9"/>
        <v>47.00525394045535</v>
      </c>
    </row>
    <row r="619" spans="1:9" ht="15" customHeight="1">
      <c r="A619" s="71"/>
      <c r="B619" s="10"/>
      <c r="C619" s="3">
        <v>4170</v>
      </c>
      <c r="D619" s="288" t="s">
        <v>652</v>
      </c>
      <c r="E619" s="55">
        <v>688000</v>
      </c>
      <c r="F619" s="95"/>
      <c r="G619" s="55">
        <v>294958.29</v>
      </c>
      <c r="H619" s="95"/>
      <c r="I619" s="359">
        <f t="shared" si="9"/>
        <v>42.87184447674418</v>
      </c>
    </row>
    <row r="620" spans="1:9" ht="15" customHeight="1">
      <c r="A620" s="71"/>
      <c r="B620" s="10"/>
      <c r="C620" s="14">
        <v>4210</v>
      </c>
      <c r="D620" s="290" t="s">
        <v>602</v>
      </c>
      <c r="E620" s="55">
        <v>370435</v>
      </c>
      <c r="F620" s="95"/>
      <c r="G620" s="55">
        <v>182609.69</v>
      </c>
      <c r="H620" s="95"/>
      <c r="I620" s="359">
        <f t="shared" si="9"/>
        <v>49.29601414553161</v>
      </c>
    </row>
    <row r="621" spans="1:9" ht="15" customHeight="1">
      <c r="A621" s="71"/>
      <c r="B621" s="10"/>
      <c r="C621" s="3">
        <v>4260</v>
      </c>
      <c r="D621" s="288" t="s">
        <v>660</v>
      </c>
      <c r="E621" s="55">
        <v>1478750</v>
      </c>
      <c r="F621" s="95"/>
      <c r="G621" s="55">
        <v>767654.62</v>
      </c>
      <c r="H621" s="95"/>
      <c r="I621" s="359">
        <f t="shared" si="9"/>
        <v>51.91240033812341</v>
      </c>
    </row>
    <row r="622" spans="1:9" ht="15" customHeight="1">
      <c r="A622" s="71"/>
      <c r="B622" s="10"/>
      <c r="C622" s="3">
        <v>4270</v>
      </c>
      <c r="D622" s="288" t="s">
        <v>603</v>
      </c>
      <c r="E622" s="55">
        <v>497150</v>
      </c>
      <c r="F622" s="95"/>
      <c r="G622" s="55">
        <v>28979.97</v>
      </c>
      <c r="H622" s="95"/>
      <c r="I622" s="359">
        <f t="shared" si="9"/>
        <v>5.829220557175903</v>
      </c>
    </row>
    <row r="623" spans="1:9" ht="15" customHeight="1">
      <c r="A623" s="71"/>
      <c r="B623" s="10"/>
      <c r="C623" s="3">
        <v>4280</v>
      </c>
      <c r="D623" s="288" t="s">
        <v>326</v>
      </c>
      <c r="E623" s="55">
        <v>6100</v>
      </c>
      <c r="F623" s="95"/>
      <c r="G623" s="55">
        <v>2259</v>
      </c>
      <c r="H623" s="95"/>
      <c r="I623" s="359">
        <f t="shared" si="9"/>
        <v>37.0327868852459</v>
      </c>
    </row>
    <row r="624" spans="1:9" ht="15" customHeight="1">
      <c r="A624" s="71"/>
      <c r="B624" s="10"/>
      <c r="C624" s="3">
        <v>4300</v>
      </c>
      <c r="D624" s="288" t="s">
        <v>599</v>
      </c>
      <c r="E624" s="55">
        <v>609532.5</v>
      </c>
      <c r="F624" s="95"/>
      <c r="G624" s="55">
        <v>371436.61</v>
      </c>
      <c r="H624" s="95"/>
      <c r="I624" s="359">
        <f t="shared" si="9"/>
        <v>60.93794998625995</v>
      </c>
    </row>
    <row r="625" spans="1:9" ht="15" customHeight="1">
      <c r="A625" s="71"/>
      <c r="B625" s="10"/>
      <c r="C625" s="3">
        <v>4350</v>
      </c>
      <c r="D625" s="288" t="s">
        <v>655</v>
      </c>
      <c r="E625" s="55">
        <v>5300</v>
      </c>
      <c r="F625" s="95"/>
      <c r="G625" s="55">
        <v>1843.74</v>
      </c>
      <c r="H625" s="95"/>
      <c r="I625" s="359">
        <f t="shared" si="9"/>
        <v>34.787547169811326</v>
      </c>
    </row>
    <row r="626" spans="1:9" ht="39" customHeight="1">
      <c r="A626" s="71"/>
      <c r="B626" s="10"/>
      <c r="C626" s="3">
        <v>4360</v>
      </c>
      <c r="D626" s="288" t="s">
        <v>390</v>
      </c>
      <c r="E626" s="55">
        <v>12200</v>
      </c>
      <c r="F626" s="95"/>
      <c r="G626" s="55">
        <v>4670.55</v>
      </c>
      <c r="H626" s="95"/>
      <c r="I626" s="359">
        <f t="shared" si="9"/>
        <v>38.28319672131148</v>
      </c>
    </row>
    <row r="627" spans="1:9" ht="36.75" customHeight="1">
      <c r="A627" s="71"/>
      <c r="B627" s="10"/>
      <c r="C627" s="3">
        <v>4370</v>
      </c>
      <c r="D627" s="288" t="s">
        <v>389</v>
      </c>
      <c r="E627" s="55">
        <v>18600</v>
      </c>
      <c r="F627" s="95"/>
      <c r="G627" s="55">
        <v>7691.23</v>
      </c>
      <c r="H627" s="95"/>
      <c r="I627" s="359">
        <f t="shared" si="9"/>
        <v>41.350698924731184</v>
      </c>
    </row>
    <row r="628" spans="1:9" ht="15" customHeight="1">
      <c r="A628" s="71"/>
      <c r="B628" s="10"/>
      <c r="C628" s="3">
        <v>4410</v>
      </c>
      <c r="D628" s="288" t="s">
        <v>649</v>
      </c>
      <c r="E628" s="55">
        <v>20000</v>
      </c>
      <c r="F628" s="95"/>
      <c r="G628" s="55">
        <v>9727.04</v>
      </c>
      <c r="H628" s="95"/>
      <c r="I628" s="359">
        <f t="shared" si="9"/>
        <v>48.635200000000005</v>
      </c>
    </row>
    <row r="629" spans="1:9" ht="15" customHeight="1">
      <c r="A629" s="71"/>
      <c r="B629" s="10"/>
      <c r="C629" s="3">
        <v>4420</v>
      </c>
      <c r="D629" s="288" t="s">
        <v>650</v>
      </c>
      <c r="E629" s="55">
        <v>1000</v>
      </c>
      <c r="F629" s="95"/>
      <c r="G629" s="55">
        <v>0</v>
      </c>
      <c r="H629" s="95"/>
      <c r="I629" s="359"/>
    </row>
    <row r="630" spans="1:9" ht="15" customHeight="1">
      <c r="A630" s="71"/>
      <c r="B630" s="10"/>
      <c r="C630" s="3">
        <v>4430</v>
      </c>
      <c r="D630" s="288" t="s">
        <v>433</v>
      </c>
      <c r="E630" s="55">
        <v>24000</v>
      </c>
      <c r="F630" s="95"/>
      <c r="G630" s="55">
        <v>21344</v>
      </c>
      <c r="H630" s="95"/>
      <c r="I630" s="359">
        <f t="shared" si="9"/>
        <v>88.93333333333334</v>
      </c>
    </row>
    <row r="631" spans="1:9" ht="24.75" customHeight="1">
      <c r="A631" s="71"/>
      <c r="B631" s="10"/>
      <c r="C631" s="3">
        <v>4440</v>
      </c>
      <c r="D631" s="288" t="s">
        <v>647</v>
      </c>
      <c r="E631" s="55">
        <v>110400</v>
      </c>
      <c r="F631" s="95"/>
      <c r="G631" s="55">
        <v>82800</v>
      </c>
      <c r="H631" s="95"/>
      <c r="I631" s="359">
        <f t="shared" si="9"/>
        <v>75</v>
      </c>
    </row>
    <row r="632" spans="1:9" ht="15" customHeight="1">
      <c r="A632" s="71"/>
      <c r="B632" s="10"/>
      <c r="C632" s="3">
        <v>4480</v>
      </c>
      <c r="D632" s="288" t="s">
        <v>452</v>
      </c>
      <c r="E632" s="55">
        <v>159600</v>
      </c>
      <c r="F632" s="95"/>
      <c r="G632" s="55">
        <v>79407</v>
      </c>
      <c r="H632" s="95"/>
      <c r="I632" s="359">
        <f t="shared" si="9"/>
        <v>49.753759398496236</v>
      </c>
    </row>
    <row r="633" spans="1:9" ht="29.25" customHeight="1">
      <c r="A633" s="71"/>
      <c r="B633" s="10"/>
      <c r="C633" s="3">
        <v>4520</v>
      </c>
      <c r="D633" s="288" t="s">
        <v>419</v>
      </c>
      <c r="E633" s="55">
        <v>1000</v>
      </c>
      <c r="F633" s="95"/>
      <c r="G633" s="55">
        <v>825.34</v>
      </c>
      <c r="H633" s="95"/>
      <c r="I633" s="359">
        <f t="shared" si="9"/>
        <v>82.534</v>
      </c>
    </row>
    <row r="634" spans="1:9" ht="20.25" customHeight="1">
      <c r="A634" s="71"/>
      <c r="B634" s="10"/>
      <c r="C634" s="3">
        <v>4530</v>
      </c>
      <c r="D634" s="288" t="s">
        <v>496</v>
      </c>
      <c r="E634" s="55">
        <v>170000</v>
      </c>
      <c r="F634" s="95"/>
      <c r="G634" s="55">
        <v>46025</v>
      </c>
      <c r="H634" s="95"/>
      <c r="I634" s="359">
        <f t="shared" si="9"/>
        <v>27.073529411764707</v>
      </c>
    </row>
    <row r="635" spans="1:9" ht="28.5" customHeight="1">
      <c r="A635" s="71"/>
      <c r="B635" s="10"/>
      <c r="C635" s="3">
        <v>4610</v>
      </c>
      <c r="D635" s="288" t="s">
        <v>575</v>
      </c>
      <c r="E635" s="55">
        <v>5000</v>
      </c>
      <c r="F635" s="95"/>
      <c r="G635" s="55">
        <v>4230.11</v>
      </c>
      <c r="H635" s="95"/>
      <c r="I635" s="359">
        <f t="shared" si="9"/>
        <v>84.6022</v>
      </c>
    </row>
    <row r="636" spans="1:9" ht="30.75" customHeight="1">
      <c r="A636" s="71"/>
      <c r="B636" s="10"/>
      <c r="C636" s="3">
        <v>4700</v>
      </c>
      <c r="D636" s="288" t="s">
        <v>420</v>
      </c>
      <c r="E636" s="55">
        <v>5000</v>
      </c>
      <c r="F636" s="95"/>
      <c r="G636" s="55">
        <v>1557</v>
      </c>
      <c r="H636" s="95"/>
      <c r="I636" s="359">
        <f t="shared" si="9"/>
        <v>31.14</v>
      </c>
    </row>
    <row r="637" spans="1:9" ht="30.75" customHeight="1">
      <c r="A637" s="71"/>
      <c r="B637" s="10"/>
      <c r="C637" s="3">
        <v>6050</v>
      </c>
      <c r="D637" s="288" t="s">
        <v>349</v>
      </c>
      <c r="E637" s="55">
        <v>50000</v>
      </c>
      <c r="F637" s="95"/>
      <c r="G637" s="55">
        <v>0</v>
      </c>
      <c r="H637" s="95"/>
      <c r="I637" s="359"/>
    </row>
    <row r="638" spans="1:9" ht="28.5" customHeight="1">
      <c r="A638" s="71"/>
      <c r="B638" s="10"/>
      <c r="C638" s="3">
        <v>6060</v>
      </c>
      <c r="D638" s="288" t="s">
        <v>665</v>
      </c>
      <c r="E638" s="55">
        <v>150000</v>
      </c>
      <c r="F638" s="95"/>
      <c r="G638" s="55">
        <v>0</v>
      </c>
      <c r="H638" s="95"/>
      <c r="I638" s="359"/>
    </row>
    <row r="639" spans="1:9" ht="25.5" customHeight="1">
      <c r="A639" s="129"/>
      <c r="B639" s="119">
        <v>92695</v>
      </c>
      <c r="C639" s="25"/>
      <c r="D639" s="293" t="s">
        <v>662</v>
      </c>
      <c r="E639" s="106">
        <f>SUM(E640:E644)</f>
        <v>1947500</v>
      </c>
      <c r="F639" s="95"/>
      <c r="G639" s="106">
        <f>SUM(G640:G644)</f>
        <v>1281980.26</v>
      </c>
      <c r="H639" s="95"/>
      <c r="I639" s="359">
        <f t="shared" si="9"/>
        <v>65.82697098844673</v>
      </c>
    </row>
    <row r="640" spans="1:9" ht="78" customHeight="1">
      <c r="A640" s="131"/>
      <c r="B640" s="84"/>
      <c r="C640" s="3">
        <v>2360</v>
      </c>
      <c r="D640" s="288" t="s">
        <v>493</v>
      </c>
      <c r="E640" s="101">
        <v>121000</v>
      </c>
      <c r="F640" s="95"/>
      <c r="G640" s="101">
        <v>83000</v>
      </c>
      <c r="H640" s="95"/>
      <c r="I640" s="359">
        <f t="shared" si="9"/>
        <v>68.59504132231406</v>
      </c>
    </row>
    <row r="641" spans="1:9" ht="42.75" customHeight="1">
      <c r="A641" s="131"/>
      <c r="B641" s="89"/>
      <c r="C641" s="3">
        <v>2820</v>
      </c>
      <c r="D641" s="288" t="s">
        <v>337</v>
      </c>
      <c r="E641" s="101">
        <v>1700000</v>
      </c>
      <c r="F641" s="95"/>
      <c r="G641" s="101">
        <v>1120280</v>
      </c>
      <c r="H641" s="95"/>
      <c r="I641" s="359">
        <f t="shared" si="9"/>
        <v>65.89882352941177</v>
      </c>
    </row>
    <row r="642" spans="1:9" ht="30" customHeight="1">
      <c r="A642" s="131"/>
      <c r="B642" s="89"/>
      <c r="C642" s="9">
        <v>3040</v>
      </c>
      <c r="D642" s="288" t="s">
        <v>130</v>
      </c>
      <c r="E642" s="101">
        <v>40000</v>
      </c>
      <c r="F642" s="95"/>
      <c r="G642" s="101">
        <v>40000</v>
      </c>
      <c r="H642" s="95"/>
      <c r="I642" s="359">
        <f t="shared" si="9"/>
        <v>100</v>
      </c>
    </row>
    <row r="643" spans="1:9" ht="18.75" customHeight="1">
      <c r="A643" s="131"/>
      <c r="B643" s="89"/>
      <c r="C643" s="9">
        <v>4210</v>
      </c>
      <c r="D643" s="288" t="s">
        <v>602</v>
      </c>
      <c r="E643" s="55">
        <v>57000</v>
      </c>
      <c r="F643" s="95"/>
      <c r="G643" s="55">
        <v>20153.93</v>
      </c>
      <c r="H643" s="95"/>
      <c r="I643" s="359">
        <f t="shared" si="9"/>
        <v>35.35777192982456</v>
      </c>
    </row>
    <row r="644" spans="1:9" ht="21" customHeight="1">
      <c r="A644" s="131"/>
      <c r="B644" s="89"/>
      <c r="C644" s="16">
        <v>4300</v>
      </c>
      <c r="D644" s="290" t="s">
        <v>599</v>
      </c>
      <c r="E644" s="55">
        <v>29500</v>
      </c>
      <c r="F644" s="313"/>
      <c r="G644" s="55">
        <v>18546.33</v>
      </c>
      <c r="H644" s="313"/>
      <c r="I644" s="359">
        <f t="shared" si="9"/>
        <v>62.86891525423729</v>
      </c>
    </row>
    <row r="645" spans="1:15" ht="23.25" customHeight="1">
      <c r="A645" s="307" t="s">
        <v>576</v>
      </c>
      <c r="B645" s="308"/>
      <c r="C645" s="13"/>
      <c r="D645" s="345"/>
      <c r="E645" s="302">
        <f>E13+E21+E40+E63+E73+E123+E128+E131+E155+E159+E167+E309+E360+E462+E533+E561+E596+E608</f>
        <v>284200837.05</v>
      </c>
      <c r="F645" s="309">
        <f>F13+F21+F40+F63+F73+F123+F128+F131+F155+F159+F167+F309+F360+F462+F533+F561+F596+F608</f>
        <v>21170390.5</v>
      </c>
      <c r="G645" s="302">
        <f>G13+G21+G40+G63+G73+G123+G128+G131+G155+G159+G167+G309+G360+G462+G533+G561+G596+G608</f>
        <v>122669448.57</v>
      </c>
      <c r="H645" s="309">
        <f>H13+H21+H40+H63+H73+H123+H128+H131+H155+H159+H167+H309+H360+H462+H533+H561+H596+H608</f>
        <v>11025048.98</v>
      </c>
      <c r="I645" s="403">
        <f t="shared" si="9"/>
        <v>43.16294415009711</v>
      </c>
      <c r="J645" s="244"/>
      <c r="L645" s="265"/>
      <c r="M645" s="244"/>
      <c r="O645" s="257"/>
    </row>
    <row r="646" spans="1:15" ht="24.75" customHeight="1">
      <c r="A646" s="135" t="s">
        <v>410</v>
      </c>
      <c r="B646" s="250" t="s">
        <v>589</v>
      </c>
      <c r="C646" s="5"/>
      <c r="D646" s="294"/>
      <c r="E646" s="251"/>
      <c r="F646" s="103"/>
      <c r="G646" s="251"/>
      <c r="H646" s="103"/>
      <c r="I646" s="359"/>
      <c r="K646" s="244"/>
      <c r="L646" s="244"/>
      <c r="M646" s="244"/>
      <c r="N646" s="244"/>
      <c r="O646" s="244"/>
    </row>
    <row r="647" spans="1:9" ht="21.75" customHeight="1">
      <c r="A647" s="74">
        <v>600</v>
      </c>
      <c r="B647" s="74"/>
      <c r="C647" s="6"/>
      <c r="D647" s="343" t="s">
        <v>414</v>
      </c>
      <c r="E647" s="163">
        <f>E648</f>
        <v>22407361.23</v>
      </c>
      <c r="F647" s="95"/>
      <c r="G647" s="163">
        <f>G648</f>
        <v>4362101.109999999</v>
      </c>
      <c r="H647" s="95"/>
      <c r="I647" s="359">
        <f t="shared" si="9"/>
        <v>19.46726821255427</v>
      </c>
    </row>
    <row r="648" spans="1:9" ht="27" customHeight="1">
      <c r="A648" s="117"/>
      <c r="B648" s="83">
        <v>60015</v>
      </c>
      <c r="C648" s="25"/>
      <c r="D648" s="293" t="s">
        <v>577</v>
      </c>
      <c r="E648" s="29">
        <f>SUM(E649:E655)</f>
        <v>22407361.23</v>
      </c>
      <c r="F648" s="112"/>
      <c r="G648" s="29">
        <f>SUM(G649:G655)</f>
        <v>4362101.109999999</v>
      </c>
      <c r="H648" s="112"/>
      <c r="I648" s="359">
        <f t="shared" si="9"/>
        <v>19.46726821255427</v>
      </c>
    </row>
    <row r="649" spans="1:9" ht="81" customHeight="1">
      <c r="A649" s="118"/>
      <c r="B649" s="86"/>
      <c r="C649" s="3">
        <v>2910</v>
      </c>
      <c r="D649" s="32" t="s">
        <v>633</v>
      </c>
      <c r="E649" s="172">
        <v>401979.42</v>
      </c>
      <c r="F649" s="95"/>
      <c r="G649" s="172">
        <v>355863.42</v>
      </c>
      <c r="H649" s="95"/>
      <c r="I649" s="359">
        <f t="shared" si="9"/>
        <v>88.5277708993162</v>
      </c>
    </row>
    <row r="650" spans="1:9" ht="15" customHeight="1">
      <c r="A650" s="118"/>
      <c r="B650" s="86"/>
      <c r="C650" s="3">
        <v>4170</v>
      </c>
      <c r="D650" s="288" t="s">
        <v>652</v>
      </c>
      <c r="E650" s="172">
        <v>15000</v>
      </c>
      <c r="F650" s="95"/>
      <c r="G650" s="172">
        <v>10000</v>
      </c>
      <c r="H650" s="95"/>
      <c r="I650" s="359">
        <f t="shared" si="9"/>
        <v>66.66666666666666</v>
      </c>
    </row>
    <row r="651" spans="1:9" ht="15" customHeight="1">
      <c r="A651" s="118"/>
      <c r="B651" s="86"/>
      <c r="C651" s="3">
        <v>4270</v>
      </c>
      <c r="D651" s="288" t="s">
        <v>603</v>
      </c>
      <c r="E651" s="172">
        <v>5384270.19</v>
      </c>
      <c r="F651" s="95"/>
      <c r="G651" s="172">
        <v>1606478.51</v>
      </c>
      <c r="H651" s="95"/>
      <c r="I651" s="359">
        <f t="shared" si="9"/>
        <v>29.83651364642977</v>
      </c>
    </row>
    <row r="652" spans="1:9" ht="15" customHeight="1">
      <c r="A652" s="89"/>
      <c r="B652" s="99"/>
      <c r="C652" s="3">
        <v>4300</v>
      </c>
      <c r="D652" s="288" t="s">
        <v>599</v>
      </c>
      <c r="E652" s="27">
        <v>2232764.48</v>
      </c>
      <c r="F652" s="95"/>
      <c r="G652" s="27">
        <v>1063821.99</v>
      </c>
      <c r="H652" s="95"/>
      <c r="I652" s="359">
        <f t="shared" si="9"/>
        <v>47.645956370642374</v>
      </c>
    </row>
    <row r="653" spans="1:9" ht="25.5" customHeight="1">
      <c r="A653" s="89"/>
      <c r="B653" s="99"/>
      <c r="C653" s="3">
        <v>4390</v>
      </c>
      <c r="D653" s="288" t="s">
        <v>555</v>
      </c>
      <c r="E653" s="27">
        <v>30000</v>
      </c>
      <c r="F653" s="95"/>
      <c r="G653" s="27">
        <v>0</v>
      </c>
      <c r="H653" s="95"/>
      <c r="I653" s="359"/>
    </row>
    <row r="654" spans="1:9" ht="78" customHeight="1">
      <c r="A654" s="89"/>
      <c r="B654" s="99"/>
      <c r="C654" s="3">
        <v>4560</v>
      </c>
      <c r="D654" s="1" t="s">
        <v>634</v>
      </c>
      <c r="E654" s="27">
        <v>56720</v>
      </c>
      <c r="F654" s="95"/>
      <c r="G654" s="27">
        <v>40784</v>
      </c>
      <c r="H654" s="95"/>
      <c r="I654" s="359">
        <f aca="true" t="shared" si="10" ref="I654:I717">G654/E654*100</f>
        <v>71.90409026798308</v>
      </c>
    </row>
    <row r="655" spans="1:9" ht="32.25" customHeight="1">
      <c r="A655" s="89"/>
      <c r="B655" s="99"/>
      <c r="C655" s="14">
        <v>6050</v>
      </c>
      <c r="D655" s="288" t="s">
        <v>384</v>
      </c>
      <c r="E655" s="27">
        <v>14286627.14</v>
      </c>
      <c r="F655" s="97"/>
      <c r="G655" s="27">
        <v>1285153.19</v>
      </c>
      <c r="H655" s="97"/>
      <c r="I655" s="359">
        <f t="shared" si="10"/>
        <v>8.995497519507602</v>
      </c>
    </row>
    <row r="656" spans="1:9" ht="24.75" customHeight="1">
      <c r="A656" s="62">
        <v>630</v>
      </c>
      <c r="B656" s="62"/>
      <c r="C656" s="11"/>
      <c r="D656" s="292" t="s">
        <v>578</v>
      </c>
      <c r="E656" s="36">
        <f>E657+E659</f>
        <v>313000</v>
      </c>
      <c r="F656" s="95"/>
      <c r="G656" s="36">
        <f>G657+G659</f>
        <v>93209.15</v>
      </c>
      <c r="H656" s="95"/>
      <c r="I656" s="359">
        <f t="shared" si="10"/>
        <v>29.779281150159743</v>
      </c>
    </row>
    <row r="657" spans="1:25" s="56" customFormat="1" ht="20.25" customHeight="1">
      <c r="A657" s="109"/>
      <c r="B657" s="49">
        <v>63001</v>
      </c>
      <c r="C657" s="25"/>
      <c r="D657" s="293" t="s">
        <v>138</v>
      </c>
      <c r="E657" s="41">
        <f>E658</f>
        <v>60000</v>
      </c>
      <c r="F657" s="113"/>
      <c r="G657" s="41">
        <f>G658</f>
        <v>39000</v>
      </c>
      <c r="H657" s="113"/>
      <c r="I657" s="359">
        <f t="shared" si="10"/>
        <v>65</v>
      </c>
      <c r="J657" s="243"/>
      <c r="K657" s="243"/>
      <c r="L657" s="261"/>
      <c r="M657" s="243"/>
      <c r="N657" s="243"/>
      <c r="O657" s="243"/>
      <c r="P657" s="243"/>
      <c r="Q657" s="243"/>
      <c r="R657" s="243"/>
      <c r="S657" s="243"/>
      <c r="T657" s="252"/>
      <c r="U657" s="252"/>
      <c r="V657" s="252"/>
      <c r="W657" s="252"/>
      <c r="X657" s="252"/>
      <c r="Y657" s="252"/>
    </row>
    <row r="658" spans="1:9" ht="72.75" customHeight="1">
      <c r="A658" s="73"/>
      <c r="B658" s="62"/>
      <c r="C658" s="3">
        <v>2360</v>
      </c>
      <c r="D658" s="288" t="s">
        <v>493</v>
      </c>
      <c r="E658" s="58">
        <f>30000+30000</f>
        <v>60000</v>
      </c>
      <c r="F658" s="95"/>
      <c r="G658" s="58">
        <v>39000</v>
      </c>
      <c r="H658" s="95"/>
      <c r="I658" s="359">
        <f t="shared" si="10"/>
        <v>65</v>
      </c>
    </row>
    <row r="659" spans="1:9" ht="22.5" customHeight="1">
      <c r="A659" s="118"/>
      <c r="B659" s="49">
        <v>63095</v>
      </c>
      <c r="C659" s="25"/>
      <c r="D659" s="293" t="s">
        <v>544</v>
      </c>
      <c r="E659" s="29">
        <f>SUM(E660:E665)</f>
        <v>253000</v>
      </c>
      <c r="F659" s="95"/>
      <c r="G659" s="29">
        <f>SUM(G660:G665)</f>
        <v>54209.15</v>
      </c>
      <c r="H659" s="95"/>
      <c r="I659" s="359">
        <f t="shared" si="10"/>
        <v>21.426541501976285</v>
      </c>
    </row>
    <row r="660" spans="1:9" ht="70.5" customHeight="1">
      <c r="A660" s="118"/>
      <c r="B660" s="86"/>
      <c r="C660" s="3">
        <v>2360</v>
      </c>
      <c r="D660" s="288" t="s">
        <v>493</v>
      </c>
      <c r="E660" s="102">
        <v>30000</v>
      </c>
      <c r="F660" s="95"/>
      <c r="G660" s="102">
        <v>15600</v>
      </c>
      <c r="H660" s="95"/>
      <c r="I660" s="359">
        <f t="shared" si="10"/>
        <v>52</v>
      </c>
    </row>
    <row r="661" spans="1:9" ht="21.75" customHeight="1">
      <c r="A661" s="89"/>
      <c r="B661" s="99"/>
      <c r="C661" s="3">
        <v>4210</v>
      </c>
      <c r="D661" s="288" t="s">
        <v>602</v>
      </c>
      <c r="E661" s="44">
        <v>11000</v>
      </c>
      <c r="F661" s="95"/>
      <c r="G661" s="44">
        <v>239.85</v>
      </c>
      <c r="H661" s="95"/>
      <c r="I661" s="359">
        <f t="shared" si="10"/>
        <v>2.1804545454545456</v>
      </c>
    </row>
    <row r="662" spans="1:9" ht="21" customHeight="1">
      <c r="A662" s="89"/>
      <c r="B662" s="99"/>
      <c r="C662" s="3">
        <v>4260</v>
      </c>
      <c r="D662" s="288" t="s">
        <v>660</v>
      </c>
      <c r="E662" s="44">
        <v>2000</v>
      </c>
      <c r="F662" s="95"/>
      <c r="G662" s="44">
        <v>269.3</v>
      </c>
      <c r="H662" s="95"/>
      <c r="I662" s="359">
        <f t="shared" si="10"/>
        <v>13.465</v>
      </c>
    </row>
    <row r="663" spans="1:9" ht="18" customHeight="1">
      <c r="A663" s="89"/>
      <c r="B663" s="99"/>
      <c r="C663" s="3">
        <v>4300</v>
      </c>
      <c r="D663" s="288" t="s">
        <v>599</v>
      </c>
      <c r="E663" s="44">
        <v>50000</v>
      </c>
      <c r="F663" s="95"/>
      <c r="G663" s="44">
        <v>8100</v>
      </c>
      <c r="H663" s="95"/>
      <c r="I663" s="359">
        <f t="shared" si="10"/>
        <v>16.2</v>
      </c>
    </row>
    <row r="664" spans="1:9" ht="18" customHeight="1">
      <c r="A664" s="89"/>
      <c r="B664" s="99"/>
      <c r="C664" s="3">
        <v>4309</v>
      </c>
      <c r="D664" s="288" t="s">
        <v>599</v>
      </c>
      <c r="E664" s="44">
        <v>30000</v>
      </c>
      <c r="F664" s="95"/>
      <c r="G664" s="44">
        <v>30000</v>
      </c>
      <c r="H664" s="95"/>
      <c r="I664" s="359">
        <f t="shared" si="10"/>
        <v>100</v>
      </c>
    </row>
    <row r="665" spans="1:9" ht="28.5" customHeight="1">
      <c r="A665" s="89"/>
      <c r="B665" s="99"/>
      <c r="C665" s="14">
        <v>6050</v>
      </c>
      <c r="D665" s="288" t="s">
        <v>384</v>
      </c>
      <c r="E665" s="44">
        <v>130000</v>
      </c>
      <c r="F665" s="95"/>
      <c r="G665" s="44">
        <v>0</v>
      </c>
      <c r="H665" s="95"/>
      <c r="I665" s="359"/>
    </row>
    <row r="666" spans="1:9" ht="20.25" customHeight="1">
      <c r="A666" s="63">
        <v>700</v>
      </c>
      <c r="B666" s="105"/>
      <c r="C666" s="11"/>
      <c r="D666" s="292" t="s">
        <v>579</v>
      </c>
      <c r="E666" s="36">
        <f>E667</f>
        <v>63000</v>
      </c>
      <c r="F666" s="178">
        <f>F667</f>
        <v>63000</v>
      </c>
      <c r="G666" s="36">
        <f>G667</f>
        <v>13937.49</v>
      </c>
      <c r="H666" s="178">
        <f>H667</f>
        <v>13937.49</v>
      </c>
      <c r="I666" s="359">
        <f t="shared" si="10"/>
        <v>22.123</v>
      </c>
    </row>
    <row r="667" spans="1:9" ht="22.5" customHeight="1">
      <c r="A667" s="117"/>
      <c r="B667" s="83">
        <v>70005</v>
      </c>
      <c r="C667" s="25"/>
      <c r="D667" s="293" t="s">
        <v>543</v>
      </c>
      <c r="E667" s="106">
        <f>SUM(E668:E671)</f>
        <v>63000</v>
      </c>
      <c r="F667" s="106">
        <f>SUM(F668:F671)</f>
        <v>63000</v>
      </c>
      <c r="G667" s="106">
        <f>SUM(G668:G671)</f>
        <v>13937.49</v>
      </c>
      <c r="H667" s="115">
        <f>SUM(H668:H671)</f>
        <v>13937.49</v>
      </c>
      <c r="I667" s="359">
        <f t="shared" si="10"/>
        <v>22.123</v>
      </c>
    </row>
    <row r="668" spans="1:9" ht="22.5" customHeight="1">
      <c r="A668" s="118"/>
      <c r="B668" s="86"/>
      <c r="C668" s="3">
        <v>4270</v>
      </c>
      <c r="D668" s="288" t="s">
        <v>603</v>
      </c>
      <c r="E668" s="55">
        <v>26000</v>
      </c>
      <c r="F668" s="55">
        <v>26000</v>
      </c>
      <c r="G668" s="55">
        <v>0</v>
      </c>
      <c r="H668" s="116">
        <v>0</v>
      </c>
      <c r="I668" s="359"/>
    </row>
    <row r="669" spans="1:9" ht="18" customHeight="1">
      <c r="A669" s="89"/>
      <c r="B669" s="99"/>
      <c r="C669" s="3">
        <v>4300</v>
      </c>
      <c r="D669" s="288" t="s">
        <v>599</v>
      </c>
      <c r="E669" s="55">
        <v>21500</v>
      </c>
      <c r="F669" s="55">
        <v>21500</v>
      </c>
      <c r="G669" s="55">
        <v>10961.01</v>
      </c>
      <c r="H669" s="116">
        <v>10961.01</v>
      </c>
      <c r="I669" s="359">
        <f t="shared" si="10"/>
        <v>50.98144186046512</v>
      </c>
    </row>
    <row r="670" spans="1:9" ht="19.5" customHeight="1">
      <c r="A670" s="89"/>
      <c r="B670" s="99"/>
      <c r="C670" s="3">
        <v>4480</v>
      </c>
      <c r="D670" s="288" t="s">
        <v>452</v>
      </c>
      <c r="E670" s="55">
        <v>500</v>
      </c>
      <c r="F670" s="55">
        <v>500</v>
      </c>
      <c r="G670" s="55">
        <v>0</v>
      </c>
      <c r="H670" s="116">
        <v>0</v>
      </c>
      <c r="I670" s="359"/>
    </row>
    <row r="671" spans="1:9" ht="26.25" customHeight="1">
      <c r="A671" s="89"/>
      <c r="B671" s="99"/>
      <c r="C671" s="3">
        <v>4610</v>
      </c>
      <c r="D671" s="288" t="s">
        <v>575</v>
      </c>
      <c r="E671" s="55">
        <v>15000</v>
      </c>
      <c r="F671" s="55">
        <v>15000</v>
      </c>
      <c r="G671" s="55">
        <v>2976.48</v>
      </c>
      <c r="H671" s="116">
        <v>2976.48</v>
      </c>
      <c r="I671" s="359">
        <f t="shared" si="10"/>
        <v>19.8432</v>
      </c>
    </row>
    <row r="672" spans="1:9" ht="27" customHeight="1">
      <c r="A672" s="63">
        <v>710</v>
      </c>
      <c r="B672" s="62"/>
      <c r="C672" s="11"/>
      <c r="D672" s="292" t="s">
        <v>580</v>
      </c>
      <c r="E672" s="36">
        <f>E673+E679+E681+E683</f>
        <v>826300</v>
      </c>
      <c r="F672" s="171">
        <f>F673+F679+F681+F683</f>
        <v>449900</v>
      </c>
      <c r="G672" s="36">
        <f>G673+G679+G681+G683</f>
        <v>211564.69999999995</v>
      </c>
      <c r="H672" s="171">
        <f>H673+H679+H681+H683</f>
        <v>151320.26999999996</v>
      </c>
      <c r="I672" s="359">
        <f t="shared" si="10"/>
        <v>25.60386058332324</v>
      </c>
    </row>
    <row r="673" spans="1:25" s="56" customFormat="1" ht="26.25" customHeight="1">
      <c r="A673" s="123"/>
      <c r="B673" s="110">
        <v>71012</v>
      </c>
      <c r="C673" s="25"/>
      <c r="D673" s="293" t="s">
        <v>672</v>
      </c>
      <c r="E673" s="29">
        <f>SUM(E674:E678)</f>
        <v>103000</v>
      </c>
      <c r="F673" s="283"/>
      <c r="G673" s="29">
        <f>SUM(G674:G678)</f>
        <v>38376.8</v>
      </c>
      <c r="H673" s="283"/>
      <c r="I673" s="359">
        <f t="shared" si="10"/>
        <v>37.25902912621359</v>
      </c>
      <c r="J673" s="243"/>
      <c r="K673" s="243"/>
      <c r="L673" s="261"/>
      <c r="M673" s="243"/>
      <c r="N673" s="243"/>
      <c r="O673" s="243"/>
      <c r="P673" s="243"/>
      <c r="Q673" s="243"/>
      <c r="R673" s="243"/>
      <c r="S673" s="243"/>
      <c r="T673" s="252"/>
      <c r="U673" s="252"/>
      <c r="V673" s="252"/>
      <c r="W673" s="252"/>
      <c r="X673" s="252"/>
      <c r="Y673" s="252"/>
    </row>
    <row r="674" spans="1:9" ht="21.75" customHeight="1">
      <c r="A674" s="77"/>
      <c r="B674" s="66"/>
      <c r="C674" s="9">
        <v>4210</v>
      </c>
      <c r="D674" s="288" t="s">
        <v>602</v>
      </c>
      <c r="E674" s="27">
        <v>35000</v>
      </c>
      <c r="F674" s="95"/>
      <c r="G674" s="27">
        <v>29324</v>
      </c>
      <c r="H674" s="95"/>
      <c r="I674" s="359">
        <f t="shared" si="10"/>
        <v>83.78285714285715</v>
      </c>
    </row>
    <row r="675" spans="1:9" ht="21.75" customHeight="1">
      <c r="A675" s="77"/>
      <c r="B675" s="66"/>
      <c r="C675" s="3">
        <v>4270</v>
      </c>
      <c r="D675" s="288" t="s">
        <v>603</v>
      </c>
      <c r="E675" s="27">
        <v>3000</v>
      </c>
      <c r="F675" s="95"/>
      <c r="G675" s="27">
        <v>0</v>
      </c>
      <c r="H675" s="95"/>
      <c r="I675" s="359"/>
    </row>
    <row r="676" spans="1:9" ht="21.75" customHeight="1">
      <c r="A676" s="77"/>
      <c r="B676" s="66"/>
      <c r="C676" s="9">
        <v>4300</v>
      </c>
      <c r="D676" s="288" t="s">
        <v>599</v>
      </c>
      <c r="E676" s="27">
        <v>20000</v>
      </c>
      <c r="F676" s="95"/>
      <c r="G676" s="27">
        <v>9052.8</v>
      </c>
      <c r="H676" s="95"/>
      <c r="I676" s="359">
        <f t="shared" si="10"/>
        <v>45.263999999999996</v>
      </c>
    </row>
    <row r="677" spans="1:9" ht="31.5" customHeight="1">
      <c r="A677" s="77"/>
      <c r="B677" s="66"/>
      <c r="C677" s="14">
        <v>6050</v>
      </c>
      <c r="D677" s="288" t="s">
        <v>384</v>
      </c>
      <c r="E677" s="27">
        <v>25000</v>
      </c>
      <c r="F677" s="95"/>
      <c r="G677" s="27">
        <v>0</v>
      </c>
      <c r="H677" s="95"/>
      <c r="I677" s="359"/>
    </row>
    <row r="678" spans="1:9" ht="27" customHeight="1">
      <c r="A678" s="77"/>
      <c r="B678" s="75"/>
      <c r="C678" s="9">
        <v>6060</v>
      </c>
      <c r="D678" s="288" t="s">
        <v>665</v>
      </c>
      <c r="E678" s="27">
        <v>20000</v>
      </c>
      <c r="F678" s="97"/>
      <c r="G678" s="27">
        <v>0</v>
      </c>
      <c r="H678" s="97"/>
      <c r="I678" s="359"/>
    </row>
    <row r="679" spans="1:9" ht="24" customHeight="1">
      <c r="A679" s="118"/>
      <c r="B679" s="126">
        <v>71013</v>
      </c>
      <c r="C679" s="25"/>
      <c r="D679" s="293" t="s">
        <v>581</v>
      </c>
      <c r="E679" s="106">
        <f>E680</f>
        <v>362300</v>
      </c>
      <c r="F679" s="170">
        <f>F680</f>
        <v>88900</v>
      </c>
      <c r="G679" s="106">
        <f>G680</f>
        <v>21867.63</v>
      </c>
      <c r="H679" s="170">
        <f>H680</f>
        <v>0</v>
      </c>
      <c r="I679" s="359">
        <f t="shared" si="10"/>
        <v>6.035779740546509</v>
      </c>
    </row>
    <row r="680" spans="1:9" ht="18.75" customHeight="1">
      <c r="A680" s="89"/>
      <c r="B680" s="99"/>
      <c r="C680" s="3">
        <v>4300</v>
      </c>
      <c r="D680" s="288" t="s">
        <v>599</v>
      </c>
      <c r="E680" s="55">
        <v>362300</v>
      </c>
      <c r="F680" s="151">
        <v>88900</v>
      </c>
      <c r="G680" s="55">
        <v>21867.63</v>
      </c>
      <c r="H680" s="151">
        <v>0</v>
      </c>
      <c r="I680" s="359">
        <f t="shared" si="10"/>
        <v>6.035779740546509</v>
      </c>
    </row>
    <row r="681" spans="1:9" ht="24.75" customHeight="1">
      <c r="A681" s="118"/>
      <c r="B681" s="83">
        <v>71014</v>
      </c>
      <c r="C681" s="25"/>
      <c r="D681" s="293" t="s">
        <v>582</v>
      </c>
      <c r="E681" s="106">
        <f>E682</f>
        <v>10000</v>
      </c>
      <c r="F681" s="115">
        <f>F682</f>
        <v>10000</v>
      </c>
      <c r="G681" s="106">
        <f>G682</f>
        <v>612</v>
      </c>
      <c r="H681" s="115">
        <f>H682</f>
        <v>612</v>
      </c>
      <c r="I681" s="359">
        <f t="shared" si="10"/>
        <v>6.12</v>
      </c>
    </row>
    <row r="682" spans="1:9" ht="20.25" customHeight="1">
      <c r="A682" s="89"/>
      <c r="B682" s="99"/>
      <c r="C682" s="3">
        <v>4300</v>
      </c>
      <c r="D682" s="288" t="s">
        <v>599</v>
      </c>
      <c r="E682" s="116">
        <v>10000</v>
      </c>
      <c r="F682" s="151">
        <v>10000</v>
      </c>
      <c r="G682" s="116">
        <v>612</v>
      </c>
      <c r="H682" s="151">
        <v>612</v>
      </c>
      <c r="I682" s="359">
        <f t="shared" si="10"/>
        <v>6.12</v>
      </c>
    </row>
    <row r="683" spans="1:9" ht="23.25" customHeight="1">
      <c r="A683" s="89"/>
      <c r="B683" s="24">
        <v>71015</v>
      </c>
      <c r="C683" s="25"/>
      <c r="D683" s="293" t="s">
        <v>168</v>
      </c>
      <c r="E683" s="106">
        <f>SUM(E684:E699)</f>
        <v>351000</v>
      </c>
      <c r="F683" s="106">
        <f>SUM(F684:F699)</f>
        <v>351000</v>
      </c>
      <c r="G683" s="106">
        <f>SUM(G684:G699)</f>
        <v>150708.26999999996</v>
      </c>
      <c r="H683" s="106">
        <f>SUM(H684:H699)</f>
        <v>150708.26999999996</v>
      </c>
      <c r="I683" s="359">
        <f t="shared" si="10"/>
        <v>42.936829059829044</v>
      </c>
    </row>
    <row r="684" spans="1:9" ht="25.5" customHeight="1">
      <c r="A684" s="89"/>
      <c r="B684" s="10"/>
      <c r="C684" s="3">
        <v>3020</v>
      </c>
      <c r="D684" s="288" t="s">
        <v>324</v>
      </c>
      <c r="E684" s="55">
        <v>600</v>
      </c>
      <c r="F684" s="55">
        <v>600</v>
      </c>
      <c r="G684" s="55">
        <v>0</v>
      </c>
      <c r="H684" s="116">
        <v>0</v>
      </c>
      <c r="I684" s="359"/>
    </row>
    <row r="685" spans="1:9" ht="15" customHeight="1">
      <c r="A685" s="89"/>
      <c r="B685" s="10"/>
      <c r="C685" s="3">
        <v>4010</v>
      </c>
      <c r="D685" s="288" t="s">
        <v>643</v>
      </c>
      <c r="E685" s="55">
        <v>58758</v>
      </c>
      <c r="F685" s="55">
        <v>58758</v>
      </c>
      <c r="G685" s="55">
        <v>12058.67</v>
      </c>
      <c r="H685" s="116">
        <v>12058.67</v>
      </c>
      <c r="I685" s="359">
        <f t="shared" si="10"/>
        <v>20.522601177711973</v>
      </c>
    </row>
    <row r="686" spans="1:9" ht="25.5" customHeight="1">
      <c r="A686" s="89"/>
      <c r="B686" s="10"/>
      <c r="C686" s="3">
        <v>4020</v>
      </c>
      <c r="D686" s="288" t="s">
        <v>498</v>
      </c>
      <c r="E686" s="55">
        <v>178988</v>
      </c>
      <c r="F686" s="55">
        <v>178988</v>
      </c>
      <c r="G686" s="55">
        <v>86681.5</v>
      </c>
      <c r="H686" s="116">
        <v>86681.5</v>
      </c>
      <c r="I686" s="359">
        <f t="shared" si="10"/>
        <v>48.42866560886763</v>
      </c>
    </row>
    <row r="687" spans="1:9" ht="15" customHeight="1">
      <c r="A687" s="89"/>
      <c r="B687" s="10"/>
      <c r="C687" s="3">
        <v>4040</v>
      </c>
      <c r="D687" s="288" t="s">
        <v>644</v>
      </c>
      <c r="E687" s="55">
        <v>19000</v>
      </c>
      <c r="F687" s="55">
        <v>19000</v>
      </c>
      <c r="G687" s="55">
        <v>17983.91</v>
      </c>
      <c r="H687" s="116">
        <v>17983.91</v>
      </c>
      <c r="I687" s="359">
        <f t="shared" si="10"/>
        <v>94.65215789473685</v>
      </c>
    </row>
    <row r="688" spans="1:9" ht="15" customHeight="1">
      <c r="A688" s="89"/>
      <c r="B688" s="10"/>
      <c r="C688" s="3">
        <v>4110</v>
      </c>
      <c r="D688" s="288" t="s">
        <v>645</v>
      </c>
      <c r="E688" s="55">
        <v>47340</v>
      </c>
      <c r="F688" s="55">
        <v>47340</v>
      </c>
      <c r="G688" s="55">
        <v>20642.95</v>
      </c>
      <c r="H688" s="116">
        <v>20642.95</v>
      </c>
      <c r="I688" s="359">
        <f t="shared" si="10"/>
        <v>43.60572454583861</v>
      </c>
    </row>
    <row r="689" spans="1:9" ht="15" customHeight="1">
      <c r="A689" s="89"/>
      <c r="B689" s="10"/>
      <c r="C689" s="3">
        <v>4120</v>
      </c>
      <c r="D689" s="288" t="s">
        <v>646</v>
      </c>
      <c r="E689" s="55">
        <v>6377</v>
      </c>
      <c r="F689" s="55">
        <v>6377</v>
      </c>
      <c r="G689" s="55">
        <v>2250.71</v>
      </c>
      <c r="H689" s="116">
        <v>2250.71</v>
      </c>
      <c r="I689" s="359">
        <f t="shared" si="10"/>
        <v>35.294182217343575</v>
      </c>
    </row>
    <row r="690" spans="1:9" ht="15" customHeight="1">
      <c r="A690" s="89"/>
      <c r="B690" s="10"/>
      <c r="C690" s="3">
        <v>4170</v>
      </c>
      <c r="D690" s="288" t="s">
        <v>652</v>
      </c>
      <c r="E690" s="55">
        <v>7200</v>
      </c>
      <c r="F690" s="55">
        <v>7200</v>
      </c>
      <c r="G690" s="55">
        <v>2960</v>
      </c>
      <c r="H690" s="116">
        <v>2960</v>
      </c>
      <c r="I690" s="359">
        <f t="shared" si="10"/>
        <v>41.11111111111111</v>
      </c>
    </row>
    <row r="691" spans="1:9" ht="15" customHeight="1">
      <c r="A691" s="89"/>
      <c r="B691" s="10"/>
      <c r="C691" s="3">
        <v>4210</v>
      </c>
      <c r="D691" s="288" t="s">
        <v>602</v>
      </c>
      <c r="E691" s="55">
        <v>4300</v>
      </c>
      <c r="F691" s="55">
        <v>4300</v>
      </c>
      <c r="G691" s="55">
        <v>446.49</v>
      </c>
      <c r="H691" s="116">
        <v>446.49</v>
      </c>
      <c r="I691" s="359">
        <f t="shared" si="10"/>
        <v>10.383488372093023</v>
      </c>
    </row>
    <row r="692" spans="1:9" ht="15" customHeight="1">
      <c r="A692" s="89"/>
      <c r="B692" s="10"/>
      <c r="C692" s="3">
        <v>4270</v>
      </c>
      <c r="D692" s="288" t="s">
        <v>603</v>
      </c>
      <c r="E692" s="55">
        <v>500</v>
      </c>
      <c r="F692" s="55">
        <v>500</v>
      </c>
      <c r="G692" s="55">
        <v>104.55</v>
      </c>
      <c r="H692" s="116">
        <v>104.55</v>
      </c>
      <c r="I692" s="359">
        <f t="shared" si="10"/>
        <v>20.91</v>
      </c>
    </row>
    <row r="693" spans="1:9" ht="15" customHeight="1">
      <c r="A693" s="89"/>
      <c r="B693" s="10"/>
      <c r="C693" s="3">
        <v>4280</v>
      </c>
      <c r="D693" s="288" t="s">
        <v>326</v>
      </c>
      <c r="E693" s="55">
        <v>100</v>
      </c>
      <c r="F693" s="55">
        <v>100</v>
      </c>
      <c r="G693" s="55">
        <v>40</v>
      </c>
      <c r="H693" s="116">
        <v>40</v>
      </c>
      <c r="I693" s="359">
        <f t="shared" si="10"/>
        <v>40</v>
      </c>
    </row>
    <row r="694" spans="1:9" ht="15" customHeight="1">
      <c r="A694" s="89"/>
      <c r="B694" s="10"/>
      <c r="C694" s="3">
        <v>4300</v>
      </c>
      <c r="D694" s="288" t="s">
        <v>599</v>
      </c>
      <c r="E694" s="55">
        <v>2000</v>
      </c>
      <c r="F694" s="55">
        <v>2000</v>
      </c>
      <c r="G694" s="55">
        <v>416.83</v>
      </c>
      <c r="H694" s="116">
        <v>416.83</v>
      </c>
      <c r="I694" s="359">
        <f t="shared" si="10"/>
        <v>20.8415</v>
      </c>
    </row>
    <row r="695" spans="1:9" ht="15" customHeight="1">
      <c r="A695" s="89"/>
      <c r="B695" s="10"/>
      <c r="C695" s="3">
        <v>4410</v>
      </c>
      <c r="D695" s="288" t="s">
        <v>649</v>
      </c>
      <c r="E695" s="55">
        <v>8530</v>
      </c>
      <c r="F695" s="55">
        <v>8530</v>
      </c>
      <c r="G695" s="55">
        <v>2617.66</v>
      </c>
      <c r="H695" s="116">
        <v>2617.66</v>
      </c>
      <c r="I695" s="359">
        <f t="shared" si="10"/>
        <v>30.687690504103166</v>
      </c>
    </row>
    <row r="696" spans="1:9" ht="24.75" customHeight="1">
      <c r="A696" s="89"/>
      <c r="B696" s="10"/>
      <c r="C696" s="14">
        <v>4440</v>
      </c>
      <c r="D696" s="288" t="s">
        <v>647</v>
      </c>
      <c r="E696" s="55">
        <v>5607</v>
      </c>
      <c r="F696" s="55">
        <v>5607</v>
      </c>
      <c r="G696" s="55">
        <v>4205</v>
      </c>
      <c r="H696" s="116">
        <v>4205</v>
      </c>
      <c r="I696" s="359">
        <f t="shared" si="10"/>
        <v>74.99554128767612</v>
      </c>
    </row>
    <row r="697" spans="1:9" ht="18.75" customHeight="1">
      <c r="A697" s="89"/>
      <c r="B697" s="10"/>
      <c r="C697" s="14">
        <v>4550</v>
      </c>
      <c r="D697" s="288" t="s">
        <v>167</v>
      </c>
      <c r="E697" s="55">
        <v>800</v>
      </c>
      <c r="F697" s="55">
        <v>800</v>
      </c>
      <c r="G697" s="55">
        <v>300</v>
      </c>
      <c r="H697" s="116">
        <v>300</v>
      </c>
      <c r="I697" s="359">
        <f t="shared" si="10"/>
        <v>37.5</v>
      </c>
    </row>
    <row r="698" spans="1:9" ht="27" customHeight="1">
      <c r="A698" s="89"/>
      <c r="B698" s="10"/>
      <c r="C698" s="3">
        <v>4700</v>
      </c>
      <c r="D698" s="288" t="s">
        <v>420</v>
      </c>
      <c r="E698" s="55">
        <v>900</v>
      </c>
      <c r="F698" s="55">
        <v>900</v>
      </c>
      <c r="G698" s="55">
        <v>0</v>
      </c>
      <c r="H698" s="116">
        <v>0</v>
      </c>
      <c r="I698" s="359"/>
    </row>
    <row r="699" spans="1:9" ht="28.5" customHeight="1">
      <c r="A699" s="89"/>
      <c r="B699" s="10"/>
      <c r="C699" s="3">
        <v>6060</v>
      </c>
      <c r="D699" s="288" t="s">
        <v>665</v>
      </c>
      <c r="E699" s="55">
        <v>10000</v>
      </c>
      <c r="F699" s="55">
        <v>10000</v>
      </c>
      <c r="G699" s="55">
        <v>0</v>
      </c>
      <c r="H699" s="116">
        <v>0</v>
      </c>
      <c r="I699" s="359"/>
    </row>
    <row r="700" spans="1:9" ht="27" customHeight="1">
      <c r="A700" s="62">
        <v>750</v>
      </c>
      <c r="B700" s="62"/>
      <c r="C700" s="11"/>
      <c r="D700" s="292" t="s">
        <v>545</v>
      </c>
      <c r="E700" s="36">
        <f>E701+E707+E719</f>
        <v>5084415</v>
      </c>
      <c r="F700" s="147">
        <f>F701+F707+F719</f>
        <v>213700</v>
      </c>
      <c r="G700" s="36">
        <f>G701+G707+G719</f>
        <v>2061106.9299999997</v>
      </c>
      <c r="H700" s="147">
        <f>H701+H707+H719</f>
        <v>115767.69</v>
      </c>
      <c r="I700" s="359">
        <f t="shared" si="10"/>
        <v>40.537739936649544</v>
      </c>
    </row>
    <row r="701" spans="1:9" ht="21.75" customHeight="1">
      <c r="A701" s="84"/>
      <c r="B701" s="83">
        <v>75011</v>
      </c>
      <c r="C701" s="38"/>
      <c r="D701" s="293" t="s">
        <v>642</v>
      </c>
      <c r="E701" s="106">
        <f>SUM(E702:E706)</f>
        <v>1042100</v>
      </c>
      <c r="F701" s="148">
        <f>SUM(F702:F706)</f>
        <v>186700</v>
      </c>
      <c r="G701" s="106">
        <f>SUM(G702:G706)</f>
        <v>462510.23</v>
      </c>
      <c r="H701" s="148">
        <f>SUM(H702:H706)</f>
        <v>93348</v>
      </c>
      <c r="I701" s="359">
        <f t="shared" si="10"/>
        <v>44.382518952115916</v>
      </c>
    </row>
    <row r="702" spans="1:9" ht="16.5" customHeight="1">
      <c r="A702" s="89"/>
      <c r="B702" s="86"/>
      <c r="C702" s="3">
        <v>4010</v>
      </c>
      <c r="D702" s="288" t="s">
        <v>643</v>
      </c>
      <c r="E702" s="55">
        <v>799419.71</v>
      </c>
      <c r="F702" s="116">
        <v>135945.71</v>
      </c>
      <c r="G702" s="55">
        <f>269532.12+H702</f>
        <v>330925.95999999996</v>
      </c>
      <c r="H702" s="116">
        <v>61393.84</v>
      </c>
      <c r="I702" s="359">
        <f t="shared" si="10"/>
        <v>41.39577194062428</v>
      </c>
    </row>
    <row r="703" spans="1:9" ht="15" customHeight="1">
      <c r="A703" s="89"/>
      <c r="B703" s="86"/>
      <c r="C703" s="3">
        <v>4040</v>
      </c>
      <c r="D703" s="288" t="s">
        <v>644</v>
      </c>
      <c r="E703" s="55">
        <v>57000</v>
      </c>
      <c r="F703" s="116">
        <v>9630</v>
      </c>
      <c r="G703" s="55">
        <f>44380.83+H703</f>
        <v>54010.83</v>
      </c>
      <c r="H703" s="116">
        <v>9630</v>
      </c>
      <c r="I703" s="359">
        <f t="shared" si="10"/>
        <v>94.75584210526317</v>
      </c>
    </row>
    <row r="704" spans="1:9" ht="15" customHeight="1">
      <c r="A704" s="89"/>
      <c r="B704" s="86"/>
      <c r="C704" s="3">
        <v>4110</v>
      </c>
      <c r="D704" s="288" t="s">
        <v>645</v>
      </c>
      <c r="E704" s="55">
        <v>146000</v>
      </c>
      <c r="F704" s="116">
        <v>21589</v>
      </c>
      <c r="G704" s="55">
        <f>47741.92+H704</f>
        <v>57026.39</v>
      </c>
      <c r="H704" s="116">
        <v>9284.47</v>
      </c>
      <c r="I704" s="359">
        <f t="shared" si="10"/>
        <v>39.05917123287671</v>
      </c>
    </row>
    <row r="705" spans="1:9" ht="18" customHeight="1">
      <c r="A705" s="89"/>
      <c r="B705" s="86"/>
      <c r="C705" s="3">
        <v>4120</v>
      </c>
      <c r="D705" s="288" t="s">
        <v>646</v>
      </c>
      <c r="E705" s="55">
        <v>20810</v>
      </c>
      <c r="F705" s="116">
        <v>3482</v>
      </c>
      <c r="G705" s="55">
        <f>5394.61+H705</f>
        <v>6394.33</v>
      </c>
      <c r="H705" s="116">
        <v>999.72</v>
      </c>
      <c r="I705" s="359">
        <f t="shared" si="10"/>
        <v>30.727198462277748</v>
      </c>
    </row>
    <row r="706" spans="1:9" ht="28.5" customHeight="1">
      <c r="A706" s="89"/>
      <c r="B706" s="86"/>
      <c r="C706" s="14">
        <v>4440</v>
      </c>
      <c r="D706" s="288" t="s">
        <v>647</v>
      </c>
      <c r="E706" s="55">
        <v>18870.29</v>
      </c>
      <c r="F706" s="116">
        <v>16053.29</v>
      </c>
      <c r="G706" s="55">
        <f>2112.75+H706</f>
        <v>14152.72</v>
      </c>
      <c r="H706" s="116">
        <v>12039.97</v>
      </c>
      <c r="I706" s="359">
        <f t="shared" si="10"/>
        <v>75.00001324833904</v>
      </c>
    </row>
    <row r="707" spans="1:9" ht="23.25" customHeight="1">
      <c r="A707" s="118"/>
      <c r="B707" s="119">
        <v>75020</v>
      </c>
      <c r="C707" s="25"/>
      <c r="D707" s="293" t="s">
        <v>583</v>
      </c>
      <c r="E707" s="106">
        <f>SUM(E708:E718)</f>
        <v>4012315</v>
      </c>
      <c r="F707" s="116"/>
      <c r="G707" s="106">
        <f>SUM(G708:G718)</f>
        <v>1573252.0099999998</v>
      </c>
      <c r="H707" s="116"/>
      <c r="I707" s="359">
        <f t="shared" si="10"/>
        <v>39.21058067474761</v>
      </c>
    </row>
    <row r="708" spans="1:9" ht="20.25" customHeight="1">
      <c r="A708" s="88"/>
      <c r="B708" s="84"/>
      <c r="C708" s="9">
        <v>4010</v>
      </c>
      <c r="D708" s="288" t="s">
        <v>643</v>
      </c>
      <c r="E708" s="55">
        <v>2110334.1</v>
      </c>
      <c r="F708" s="151"/>
      <c r="G708" s="55">
        <v>936306.77</v>
      </c>
      <c r="H708" s="151"/>
      <c r="I708" s="359">
        <f t="shared" si="10"/>
        <v>44.367703199223286</v>
      </c>
    </row>
    <row r="709" spans="1:9" ht="17.25" customHeight="1">
      <c r="A709" s="88"/>
      <c r="B709" s="89"/>
      <c r="C709" s="9">
        <v>4040</v>
      </c>
      <c r="D709" s="288" t="s">
        <v>644</v>
      </c>
      <c r="E709" s="55">
        <v>154100</v>
      </c>
      <c r="F709" s="151"/>
      <c r="G709" s="55">
        <v>151259.3</v>
      </c>
      <c r="H709" s="151"/>
      <c r="I709" s="359">
        <f t="shared" si="10"/>
        <v>98.1565866320571</v>
      </c>
    </row>
    <row r="710" spans="1:9" ht="15" customHeight="1">
      <c r="A710" s="88"/>
      <c r="B710" s="89"/>
      <c r="C710" s="9">
        <v>4110</v>
      </c>
      <c r="D710" s="288" t="s">
        <v>645</v>
      </c>
      <c r="E710" s="55">
        <v>389940</v>
      </c>
      <c r="F710" s="151"/>
      <c r="G710" s="55">
        <v>162945.43</v>
      </c>
      <c r="H710" s="151"/>
      <c r="I710" s="359">
        <f t="shared" si="10"/>
        <v>41.78730830384161</v>
      </c>
    </row>
    <row r="711" spans="1:9" ht="15" customHeight="1">
      <c r="A711" s="88"/>
      <c r="B711" s="89"/>
      <c r="C711" s="9">
        <v>4120</v>
      </c>
      <c r="D711" s="288" t="s">
        <v>646</v>
      </c>
      <c r="E711" s="55">
        <v>55300</v>
      </c>
      <c r="F711" s="151"/>
      <c r="G711" s="55">
        <v>16986.2</v>
      </c>
      <c r="H711" s="151"/>
      <c r="I711" s="359">
        <f t="shared" si="10"/>
        <v>30.716455696202534</v>
      </c>
    </row>
    <row r="712" spans="1:9" ht="15" customHeight="1">
      <c r="A712" s="88"/>
      <c r="B712" s="89"/>
      <c r="C712" s="9">
        <v>4300</v>
      </c>
      <c r="D712" s="288" t="s">
        <v>432</v>
      </c>
      <c r="E712" s="55">
        <v>1105200</v>
      </c>
      <c r="F712" s="151"/>
      <c r="G712" s="55">
        <v>257191.94</v>
      </c>
      <c r="H712" s="151"/>
      <c r="I712" s="359">
        <f t="shared" si="10"/>
        <v>23.271076728193993</v>
      </c>
    </row>
    <row r="713" spans="1:9" ht="17.25" customHeight="1">
      <c r="A713" s="88"/>
      <c r="B713" s="89"/>
      <c r="C713" s="9">
        <v>4380</v>
      </c>
      <c r="D713" s="288" t="s">
        <v>425</v>
      </c>
      <c r="E713" s="55">
        <v>3000</v>
      </c>
      <c r="F713" s="151"/>
      <c r="G713" s="55">
        <v>489.94</v>
      </c>
      <c r="H713" s="151"/>
      <c r="I713" s="359">
        <f t="shared" si="10"/>
        <v>16.331333333333333</v>
      </c>
    </row>
    <row r="714" spans="1:9" ht="31.5" customHeight="1">
      <c r="A714" s="88"/>
      <c r="B714" s="89"/>
      <c r="C714" s="9">
        <v>4390</v>
      </c>
      <c r="D714" s="288" t="s">
        <v>555</v>
      </c>
      <c r="E714" s="55">
        <v>25000</v>
      </c>
      <c r="F714" s="151"/>
      <c r="G714" s="55">
        <v>9749.78</v>
      </c>
      <c r="H714" s="151"/>
      <c r="I714" s="359">
        <f t="shared" si="10"/>
        <v>38.999120000000005</v>
      </c>
    </row>
    <row r="715" spans="1:9" ht="26.25" customHeight="1">
      <c r="A715" s="88"/>
      <c r="B715" s="89"/>
      <c r="C715" s="9">
        <v>4440</v>
      </c>
      <c r="D715" s="288" t="s">
        <v>647</v>
      </c>
      <c r="E715" s="55">
        <v>44440.9</v>
      </c>
      <c r="F715" s="151"/>
      <c r="G715" s="55">
        <v>33330.68</v>
      </c>
      <c r="H715" s="151"/>
      <c r="I715" s="359">
        <f t="shared" si="10"/>
        <v>75.00001125089726</v>
      </c>
    </row>
    <row r="716" spans="1:9" ht="18" customHeight="1">
      <c r="A716" s="88"/>
      <c r="B716" s="89"/>
      <c r="C716" s="9">
        <v>4580</v>
      </c>
      <c r="D716" s="288" t="s">
        <v>443</v>
      </c>
      <c r="E716" s="55">
        <v>15000</v>
      </c>
      <c r="F716" s="151"/>
      <c r="G716" s="55">
        <v>263.97</v>
      </c>
      <c r="H716" s="151"/>
      <c r="I716" s="359">
        <f t="shared" si="10"/>
        <v>1.7598000000000003</v>
      </c>
    </row>
    <row r="717" spans="1:9" ht="28.5" customHeight="1">
      <c r="A717" s="88"/>
      <c r="B717" s="89"/>
      <c r="C717" s="9">
        <v>4590</v>
      </c>
      <c r="D717" s="288" t="s">
        <v>604</v>
      </c>
      <c r="E717" s="55">
        <v>90000</v>
      </c>
      <c r="F717" s="151"/>
      <c r="G717" s="55">
        <v>3825</v>
      </c>
      <c r="H717" s="151"/>
      <c r="I717" s="359">
        <f t="shared" si="10"/>
        <v>4.25</v>
      </c>
    </row>
    <row r="718" spans="1:9" ht="24.75" customHeight="1">
      <c r="A718" s="88"/>
      <c r="B718" s="98"/>
      <c r="C718" s="9">
        <v>4610</v>
      </c>
      <c r="D718" s="288" t="s">
        <v>575</v>
      </c>
      <c r="E718" s="79">
        <v>20000</v>
      </c>
      <c r="F718" s="151"/>
      <c r="G718" s="79">
        <v>903</v>
      </c>
      <c r="H718" s="151"/>
      <c r="I718" s="359">
        <f aca="true" t="shared" si="11" ref="I718:I781">G718/E718*100</f>
        <v>4.515000000000001</v>
      </c>
    </row>
    <row r="719" spans="1:9" ht="20.25" customHeight="1">
      <c r="A719" s="89"/>
      <c r="B719" s="126">
        <v>75045</v>
      </c>
      <c r="C719" s="25"/>
      <c r="D719" s="340" t="s">
        <v>637</v>
      </c>
      <c r="E719" s="106">
        <f>SUM(E720:E725)</f>
        <v>30000</v>
      </c>
      <c r="F719" s="115">
        <f>SUM(F720:F725)</f>
        <v>27000</v>
      </c>
      <c r="G719" s="106">
        <f>SUM(G720:G725)</f>
        <v>25344.690000000002</v>
      </c>
      <c r="H719" s="115">
        <f>SUM(H720:H725)</f>
        <v>22419.690000000002</v>
      </c>
      <c r="I719" s="359">
        <f t="shared" si="11"/>
        <v>84.48230000000001</v>
      </c>
    </row>
    <row r="720" spans="1:9" ht="17.25" customHeight="1">
      <c r="A720" s="89"/>
      <c r="B720" s="99"/>
      <c r="C720" s="3">
        <v>3030</v>
      </c>
      <c r="D720" s="288" t="s">
        <v>669</v>
      </c>
      <c r="E720" s="116">
        <v>2000</v>
      </c>
      <c r="F720" s="116">
        <v>2000</v>
      </c>
      <c r="G720" s="116">
        <v>1600</v>
      </c>
      <c r="H720" s="116">
        <v>1600</v>
      </c>
      <c r="I720" s="359">
        <f t="shared" si="11"/>
        <v>80</v>
      </c>
    </row>
    <row r="721" spans="1:9" ht="15" customHeight="1">
      <c r="A721" s="89"/>
      <c r="B721" s="99"/>
      <c r="C721" s="3">
        <v>4110</v>
      </c>
      <c r="D721" s="288" t="s">
        <v>645</v>
      </c>
      <c r="E721" s="116">
        <v>1547.1</v>
      </c>
      <c r="F721" s="116">
        <v>1547.1</v>
      </c>
      <c r="G721" s="116">
        <v>1547.1</v>
      </c>
      <c r="H721" s="116">
        <v>1547.1</v>
      </c>
      <c r="I721" s="359">
        <f t="shared" si="11"/>
        <v>100</v>
      </c>
    </row>
    <row r="722" spans="1:9" ht="15" customHeight="1">
      <c r="A722" s="89"/>
      <c r="B722" s="99"/>
      <c r="C722" s="3">
        <v>4120</v>
      </c>
      <c r="D722" s="288" t="s">
        <v>646</v>
      </c>
      <c r="E722" s="116">
        <v>132.3</v>
      </c>
      <c r="F722" s="116">
        <v>132.3</v>
      </c>
      <c r="G722" s="116">
        <v>132.3</v>
      </c>
      <c r="H722" s="116">
        <v>132.3</v>
      </c>
      <c r="I722" s="359">
        <f t="shared" si="11"/>
        <v>100</v>
      </c>
    </row>
    <row r="723" spans="1:9" ht="15" customHeight="1">
      <c r="A723" s="89"/>
      <c r="B723" s="99"/>
      <c r="C723" s="3">
        <v>4170</v>
      </c>
      <c r="D723" s="288" t="s">
        <v>652</v>
      </c>
      <c r="E723" s="116">
        <v>19520</v>
      </c>
      <c r="F723" s="116">
        <v>19520</v>
      </c>
      <c r="G723" s="116">
        <v>16900</v>
      </c>
      <c r="H723" s="116">
        <v>16900</v>
      </c>
      <c r="I723" s="359">
        <f t="shared" si="11"/>
        <v>86.57786885245902</v>
      </c>
    </row>
    <row r="724" spans="1:9" ht="15" customHeight="1">
      <c r="A724" s="89"/>
      <c r="B724" s="99"/>
      <c r="C724" s="3">
        <v>4210</v>
      </c>
      <c r="D724" s="288" t="s">
        <v>602</v>
      </c>
      <c r="E724" s="116">
        <v>2000</v>
      </c>
      <c r="F724" s="116">
        <v>2000</v>
      </c>
      <c r="G724" s="116">
        <v>1501.06</v>
      </c>
      <c r="H724" s="116">
        <v>1501.06</v>
      </c>
      <c r="I724" s="359">
        <f t="shared" si="11"/>
        <v>75.053</v>
      </c>
    </row>
    <row r="725" spans="1:9" ht="15" customHeight="1">
      <c r="A725" s="89"/>
      <c r="B725" s="99"/>
      <c r="C725" s="3">
        <v>4300</v>
      </c>
      <c r="D725" s="288" t="s">
        <v>599</v>
      </c>
      <c r="E725" s="55">
        <v>4800.6</v>
      </c>
      <c r="F725" s="55">
        <f>4800.6-3000</f>
        <v>1800.6000000000004</v>
      </c>
      <c r="G725" s="55">
        <v>3664.23</v>
      </c>
      <c r="H725" s="55">
        <v>739.23</v>
      </c>
      <c r="I725" s="359">
        <f t="shared" si="11"/>
        <v>76.32858392700912</v>
      </c>
    </row>
    <row r="726" spans="1:9" ht="27.75" customHeight="1">
      <c r="A726" s="62">
        <v>754</v>
      </c>
      <c r="B726" s="62"/>
      <c r="C726" s="11"/>
      <c r="D726" s="292" t="s">
        <v>546</v>
      </c>
      <c r="E726" s="80">
        <f>E727+E730+E732</f>
        <v>10768495</v>
      </c>
      <c r="F726" s="199">
        <f>F727+F730+F732</f>
        <v>10133495</v>
      </c>
      <c r="G726" s="80">
        <f>G727+G730+G732</f>
        <v>5280873.760000001</v>
      </c>
      <c r="H726" s="80">
        <f>H727+H730+H732</f>
        <v>5255873.760000001</v>
      </c>
      <c r="I726" s="359">
        <f t="shared" si="11"/>
        <v>49.04003539956141</v>
      </c>
    </row>
    <row r="727" spans="1:9" ht="21" customHeight="1">
      <c r="A727" s="117"/>
      <c r="B727" s="49">
        <v>75405</v>
      </c>
      <c r="C727" s="25"/>
      <c r="D727" s="293" t="s">
        <v>584</v>
      </c>
      <c r="E727" s="106">
        <f>SUM(E728:E729)</f>
        <v>375000</v>
      </c>
      <c r="F727" s="116"/>
      <c r="G727" s="106">
        <f>SUM(G728:G729)</f>
        <v>15000</v>
      </c>
      <c r="H727" s="116"/>
      <c r="I727" s="359">
        <f t="shared" si="11"/>
        <v>4</v>
      </c>
    </row>
    <row r="728" spans="1:9" ht="24.75" customHeight="1">
      <c r="A728" s="88"/>
      <c r="B728" s="89"/>
      <c r="C728" s="9">
        <v>3000</v>
      </c>
      <c r="D728" s="288" t="s">
        <v>336</v>
      </c>
      <c r="E728" s="101">
        <v>165000</v>
      </c>
      <c r="F728" s="151"/>
      <c r="G728" s="101">
        <v>15000</v>
      </c>
      <c r="H728" s="151"/>
      <c r="I728" s="359">
        <f t="shared" si="11"/>
        <v>9.090909090909092</v>
      </c>
    </row>
    <row r="729" spans="1:9" ht="43.5" customHeight="1">
      <c r="A729" s="88"/>
      <c r="B729" s="89"/>
      <c r="C729" s="16">
        <v>6170</v>
      </c>
      <c r="D729" s="290" t="s">
        <v>606</v>
      </c>
      <c r="E729" s="101">
        <v>210000</v>
      </c>
      <c r="F729" s="151"/>
      <c r="G729" s="101">
        <v>0</v>
      </c>
      <c r="H729" s="151"/>
      <c r="I729" s="359"/>
    </row>
    <row r="730" spans="1:25" s="140" customFormat="1" ht="26.25" customHeight="1">
      <c r="A730" s="37"/>
      <c r="B730" s="25">
        <v>75406</v>
      </c>
      <c r="C730" s="25"/>
      <c r="D730" s="26" t="s">
        <v>541</v>
      </c>
      <c r="E730" s="361">
        <f>E731</f>
        <v>10000</v>
      </c>
      <c r="F730" s="166"/>
      <c r="G730" s="361">
        <f>G731</f>
        <v>10000</v>
      </c>
      <c r="H730" s="166"/>
      <c r="I730" s="359">
        <f t="shared" si="11"/>
        <v>100</v>
      </c>
      <c r="J730" s="256"/>
      <c r="K730" s="256"/>
      <c r="L730" s="264"/>
      <c r="M730" s="256"/>
      <c r="N730" s="256"/>
      <c r="O730" s="256"/>
      <c r="P730" s="256"/>
      <c r="Q730" s="256"/>
      <c r="R730" s="256"/>
      <c r="S730" s="256"/>
      <c r="T730" s="255"/>
      <c r="U730" s="255"/>
      <c r="V730" s="255"/>
      <c r="W730" s="255"/>
      <c r="X730" s="255"/>
      <c r="Y730" s="255"/>
    </row>
    <row r="731" spans="1:9" ht="31.5" customHeight="1">
      <c r="A731" s="88"/>
      <c r="B731" s="89"/>
      <c r="C731" s="9">
        <v>3000</v>
      </c>
      <c r="D731" s="288" t="s">
        <v>336</v>
      </c>
      <c r="E731" s="101">
        <v>10000</v>
      </c>
      <c r="F731" s="151"/>
      <c r="G731" s="101">
        <v>10000</v>
      </c>
      <c r="H731" s="151"/>
      <c r="I731" s="359">
        <f t="shared" si="11"/>
        <v>100</v>
      </c>
    </row>
    <row r="732" spans="1:9" ht="27" customHeight="1">
      <c r="A732" s="88"/>
      <c r="B732" s="25">
        <v>75411</v>
      </c>
      <c r="C732" s="25"/>
      <c r="D732" s="293" t="s">
        <v>456</v>
      </c>
      <c r="E732" s="106">
        <f>SUM(E733:E764)</f>
        <v>10383495</v>
      </c>
      <c r="F732" s="115">
        <f>SUM(F733:F764)</f>
        <v>10133495</v>
      </c>
      <c r="G732" s="106">
        <f>SUM(G733:G764)</f>
        <v>5255873.760000001</v>
      </c>
      <c r="H732" s="106">
        <f>SUM(H733:H764)</f>
        <v>5255873.760000001</v>
      </c>
      <c r="I732" s="359">
        <f t="shared" si="11"/>
        <v>50.6175787632199</v>
      </c>
    </row>
    <row r="733" spans="1:9" ht="26.25" customHeight="1">
      <c r="A733" s="88"/>
      <c r="B733" s="14"/>
      <c r="C733" s="9">
        <v>3020</v>
      </c>
      <c r="D733" s="288" t="s">
        <v>324</v>
      </c>
      <c r="E733" s="27">
        <v>8850</v>
      </c>
      <c r="F733" s="27">
        <v>8850</v>
      </c>
      <c r="G733" s="55">
        <v>2620.13</v>
      </c>
      <c r="H733" s="116">
        <v>2620.13</v>
      </c>
      <c r="I733" s="359">
        <f t="shared" si="11"/>
        <v>29.60598870056497</v>
      </c>
    </row>
    <row r="734" spans="1:9" ht="27" customHeight="1">
      <c r="A734" s="88"/>
      <c r="B734" s="8"/>
      <c r="C734" s="9">
        <v>3070</v>
      </c>
      <c r="D734" s="288" t="s">
        <v>585</v>
      </c>
      <c r="E734" s="27">
        <v>457583</v>
      </c>
      <c r="F734" s="27">
        <v>457583</v>
      </c>
      <c r="G734" s="55">
        <v>231814.2</v>
      </c>
      <c r="H734" s="116">
        <v>231814.2</v>
      </c>
      <c r="I734" s="359">
        <f t="shared" si="11"/>
        <v>50.66057961069358</v>
      </c>
    </row>
    <row r="735" spans="1:9" ht="25.5" customHeight="1">
      <c r="A735" s="88"/>
      <c r="B735" s="8"/>
      <c r="C735" s="9">
        <v>4020</v>
      </c>
      <c r="D735" s="288" t="s">
        <v>498</v>
      </c>
      <c r="E735" s="27">
        <v>176836</v>
      </c>
      <c r="F735" s="27">
        <v>176836</v>
      </c>
      <c r="G735" s="55">
        <v>85488.95</v>
      </c>
      <c r="H735" s="116">
        <v>85488.95</v>
      </c>
      <c r="I735" s="359">
        <f t="shared" si="11"/>
        <v>48.343634780248365</v>
      </c>
    </row>
    <row r="736" spans="1:9" ht="18.75" customHeight="1">
      <c r="A736" s="88"/>
      <c r="B736" s="8"/>
      <c r="C736" s="9">
        <v>4040</v>
      </c>
      <c r="D736" s="288" t="s">
        <v>644</v>
      </c>
      <c r="E736" s="27">
        <v>14500</v>
      </c>
      <c r="F736" s="27">
        <v>14500</v>
      </c>
      <c r="G736" s="55">
        <v>14006.59</v>
      </c>
      <c r="H736" s="116">
        <v>14006.59</v>
      </c>
      <c r="I736" s="359">
        <f t="shared" si="11"/>
        <v>96.5971724137931</v>
      </c>
    </row>
    <row r="737" spans="1:9" ht="25.5" customHeight="1">
      <c r="A737" s="88"/>
      <c r="B737" s="8"/>
      <c r="C737" s="9">
        <v>4050</v>
      </c>
      <c r="D737" s="288" t="s">
        <v>488</v>
      </c>
      <c r="E737" s="27">
        <v>6825771</v>
      </c>
      <c r="F737" s="27">
        <v>6825771</v>
      </c>
      <c r="G737" s="55">
        <v>3201684.92</v>
      </c>
      <c r="H737" s="116">
        <v>3201684.92</v>
      </c>
      <c r="I737" s="359">
        <f t="shared" si="11"/>
        <v>46.9058355459039</v>
      </c>
    </row>
    <row r="738" spans="1:9" ht="29.25" customHeight="1">
      <c r="A738" s="88"/>
      <c r="B738" s="8"/>
      <c r="C738" s="9">
        <v>4060</v>
      </c>
      <c r="D738" s="288" t="s">
        <v>489</v>
      </c>
      <c r="E738" s="27">
        <v>755858</v>
      </c>
      <c r="F738" s="27">
        <v>755858</v>
      </c>
      <c r="G738" s="55">
        <v>500977.53</v>
      </c>
      <c r="H738" s="116">
        <v>500977.53</v>
      </c>
      <c r="I738" s="359">
        <f t="shared" si="11"/>
        <v>66.27931833757134</v>
      </c>
    </row>
    <row r="739" spans="1:9" ht="39" customHeight="1">
      <c r="A739" s="88"/>
      <c r="B739" s="8"/>
      <c r="C739" s="9">
        <v>4070</v>
      </c>
      <c r="D739" s="288" t="s">
        <v>587</v>
      </c>
      <c r="E739" s="27">
        <v>582146</v>
      </c>
      <c r="F739" s="27">
        <v>582146</v>
      </c>
      <c r="G739" s="55">
        <v>543069.34</v>
      </c>
      <c r="H739" s="116">
        <v>543069.34</v>
      </c>
      <c r="I739" s="359">
        <f t="shared" si="11"/>
        <v>93.28748114734104</v>
      </c>
    </row>
    <row r="740" spans="1:9" ht="38.25" customHeight="1">
      <c r="A740" s="88"/>
      <c r="B740" s="8"/>
      <c r="C740" s="9">
        <v>4080</v>
      </c>
      <c r="D740" s="288" t="s">
        <v>537</v>
      </c>
      <c r="E740" s="27">
        <v>34377</v>
      </c>
      <c r="F740" s="27">
        <v>34377</v>
      </c>
      <c r="G740" s="55">
        <v>21809.84</v>
      </c>
      <c r="H740" s="116">
        <v>21809.84</v>
      </c>
      <c r="I740" s="359">
        <f t="shared" si="11"/>
        <v>63.44311603688513</v>
      </c>
    </row>
    <row r="741" spans="1:9" ht="15" customHeight="1">
      <c r="A741" s="88"/>
      <c r="B741" s="8"/>
      <c r="C741" s="9">
        <v>4110</v>
      </c>
      <c r="D741" s="288" t="s">
        <v>645</v>
      </c>
      <c r="E741" s="27">
        <v>34805</v>
      </c>
      <c r="F741" s="27">
        <v>34805</v>
      </c>
      <c r="G741" s="55">
        <v>15683.21</v>
      </c>
      <c r="H741" s="116">
        <v>15683.21</v>
      </c>
      <c r="I741" s="359">
        <f t="shared" si="11"/>
        <v>45.06022123258152</v>
      </c>
    </row>
    <row r="742" spans="1:9" ht="15" customHeight="1">
      <c r="A742" s="88"/>
      <c r="B742" s="8"/>
      <c r="C742" s="9">
        <v>4120</v>
      </c>
      <c r="D742" s="288" t="s">
        <v>646</v>
      </c>
      <c r="E742" s="27">
        <v>4686</v>
      </c>
      <c r="F742" s="27">
        <v>4686</v>
      </c>
      <c r="G742" s="55">
        <v>1401.57</v>
      </c>
      <c r="H742" s="116">
        <v>1401.57</v>
      </c>
      <c r="I742" s="359">
        <f t="shared" si="11"/>
        <v>29.909731113956468</v>
      </c>
    </row>
    <row r="743" spans="1:9" ht="15" customHeight="1">
      <c r="A743" s="88"/>
      <c r="B743" s="8"/>
      <c r="C743" s="9">
        <v>4170</v>
      </c>
      <c r="D743" s="288" t="s">
        <v>652</v>
      </c>
      <c r="E743" s="27">
        <v>6600</v>
      </c>
      <c r="F743" s="27">
        <v>6600</v>
      </c>
      <c r="G743" s="55">
        <v>1667</v>
      </c>
      <c r="H743" s="116">
        <v>1667</v>
      </c>
      <c r="I743" s="359">
        <f t="shared" si="11"/>
        <v>25.257575757575758</v>
      </c>
    </row>
    <row r="744" spans="1:9" ht="24" customHeight="1">
      <c r="A744" s="88"/>
      <c r="B744" s="8"/>
      <c r="C744" s="9">
        <v>4180</v>
      </c>
      <c r="D744" s="288" t="s">
        <v>588</v>
      </c>
      <c r="E744" s="27">
        <v>275425</v>
      </c>
      <c r="F744" s="27">
        <v>275425</v>
      </c>
      <c r="G744" s="55">
        <v>256105.96</v>
      </c>
      <c r="H744" s="116">
        <v>256105.96</v>
      </c>
      <c r="I744" s="359">
        <f t="shared" si="11"/>
        <v>92.98573477353182</v>
      </c>
    </row>
    <row r="745" spans="1:9" ht="15" customHeight="1">
      <c r="A745" s="88"/>
      <c r="B745" s="8"/>
      <c r="C745" s="9">
        <v>4210</v>
      </c>
      <c r="D745" s="288" t="s">
        <v>602</v>
      </c>
      <c r="E745" s="27">
        <v>227162</v>
      </c>
      <c r="F745" s="27">
        <v>227162</v>
      </c>
      <c r="G745" s="55">
        <v>84099.86</v>
      </c>
      <c r="H745" s="116">
        <v>84099.86</v>
      </c>
      <c r="I745" s="359">
        <f t="shared" si="11"/>
        <v>37.02197550646675</v>
      </c>
    </row>
    <row r="746" spans="1:9" ht="15" customHeight="1">
      <c r="A746" s="88"/>
      <c r="B746" s="8"/>
      <c r="C746" s="9">
        <v>4260</v>
      </c>
      <c r="D746" s="288" t="s">
        <v>660</v>
      </c>
      <c r="E746" s="27">
        <v>227600</v>
      </c>
      <c r="F746" s="27">
        <v>227600</v>
      </c>
      <c r="G746" s="55">
        <v>136497.62</v>
      </c>
      <c r="H746" s="116">
        <v>136497.62</v>
      </c>
      <c r="I746" s="359">
        <f t="shared" si="11"/>
        <v>59.972592267135326</v>
      </c>
    </row>
    <row r="747" spans="1:9" ht="15" customHeight="1">
      <c r="A747" s="88"/>
      <c r="B747" s="8"/>
      <c r="C747" s="9">
        <v>4270</v>
      </c>
      <c r="D747" s="288" t="s">
        <v>603</v>
      </c>
      <c r="E747" s="27">
        <v>68835</v>
      </c>
      <c r="F747" s="27">
        <v>68835</v>
      </c>
      <c r="G747" s="55">
        <v>26294.13</v>
      </c>
      <c r="H747" s="116">
        <v>26294.13</v>
      </c>
      <c r="I747" s="359">
        <f t="shared" si="11"/>
        <v>38.19877969056439</v>
      </c>
    </row>
    <row r="748" spans="1:9" ht="15" customHeight="1">
      <c r="A748" s="88"/>
      <c r="B748" s="8"/>
      <c r="C748" s="9">
        <v>4280</v>
      </c>
      <c r="D748" s="288" t="s">
        <v>326</v>
      </c>
      <c r="E748" s="27">
        <v>42000</v>
      </c>
      <c r="F748" s="27">
        <v>42000</v>
      </c>
      <c r="G748" s="55">
        <v>14026.73</v>
      </c>
      <c r="H748" s="116">
        <v>14026.73</v>
      </c>
      <c r="I748" s="359">
        <f t="shared" si="11"/>
        <v>33.39697619047619</v>
      </c>
    </row>
    <row r="749" spans="1:9" ht="15" customHeight="1">
      <c r="A749" s="88"/>
      <c r="B749" s="8"/>
      <c r="C749" s="9">
        <v>4300</v>
      </c>
      <c r="D749" s="288" t="s">
        <v>599</v>
      </c>
      <c r="E749" s="27">
        <v>198567</v>
      </c>
      <c r="F749" s="27">
        <v>198567</v>
      </c>
      <c r="G749" s="55">
        <v>73451.02</v>
      </c>
      <c r="H749" s="116">
        <v>73451.02</v>
      </c>
      <c r="I749" s="359">
        <f t="shared" si="11"/>
        <v>36.99054727119814</v>
      </c>
    </row>
    <row r="750" spans="1:9" ht="15" customHeight="1">
      <c r="A750" s="88"/>
      <c r="B750" s="8"/>
      <c r="C750" s="20">
        <v>4350</v>
      </c>
      <c r="D750" s="288" t="s">
        <v>655</v>
      </c>
      <c r="E750" s="27">
        <v>1020</v>
      </c>
      <c r="F750" s="27">
        <v>1020</v>
      </c>
      <c r="G750" s="55">
        <v>162.93</v>
      </c>
      <c r="H750" s="116">
        <v>162.93</v>
      </c>
      <c r="I750" s="359">
        <f t="shared" si="11"/>
        <v>15.973529411764705</v>
      </c>
    </row>
    <row r="751" spans="1:9" ht="39" customHeight="1">
      <c r="A751" s="88"/>
      <c r="B751" s="8"/>
      <c r="C751" s="20">
        <v>4360</v>
      </c>
      <c r="D751" s="288" t="s">
        <v>390</v>
      </c>
      <c r="E751" s="27">
        <v>15320</v>
      </c>
      <c r="F751" s="27">
        <v>15320</v>
      </c>
      <c r="G751" s="55">
        <v>7677.52</v>
      </c>
      <c r="H751" s="116">
        <v>7677.52</v>
      </c>
      <c r="I751" s="359">
        <f t="shared" si="11"/>
        <v>50.11436031331593</v>
      </c>
    </row>
    <row r="752" spans="1:9" ht="37.5" customHeight="1">
      <c r="A752" s="88"/>
      <c r="B752" s="8"/>
      <c r="C752" s="20">
        <v>4370</v>
      </c>
      <c r="D752" s="288" t="s">
        <v>389</v>
      </c>
      <c r="E752" s="27">
        <v>12000</v>
      </c>
      <c r="F752" s="27">
        <v>12000</v>
      </c>
      <c r="G752" s="55">
        <v>5979.38</v>
      </c>
      <c r="H752" s="116">
        <v>5979.38</v>
      </c>
      <c r="I752" s="359">
        <f t="shared" si="11"/>
        <v>49.82816666666667</v>
      </c>
    </row>
    <row r="753" spans="1:9" ht="24.75" customHeight="1">
      <c r="A753" s="88"/>
      <c r="B753" s="8"/>
      <c r="C753" s="20">
        <v>4390</v>
      </c>
      <c r="D753" s="350" t="s">
        <v>555</v>
      </c>
      <c r="E753" s="27">
        <v>500</v>
      </c>
      <c r="F753" s="27">
        <v>500</v>
      </c>
      <c r="G753" s="55">
        <v>0</v>
      </c>
      <c r="H753" s="116">
        <v>0</v>
      </c>
      <c r="I753" s="359"/>
    </row>
    <row r="754" spans="1:9" ht="26.25" customHeight="1">
      <c r="A754" s="88"/>
      <c r="B754" s="8"/>
      <c r="C754" s="20">
        <v>4400</v>
      </c>
      <c r="D754" s="288" t="s">
        <v>331</v>
      </c>
      <c r="E754" s="27">
        <v>1861</v>
      </c>
      <c r="F754" s="27">
        <v>1861</v>
      </c>
      <c r="G754" s="55">
        <v>922.48</v>
      </c>
      <c r="H754" s="116">
        <v>922.48</v>
      </c>
      <c r="I754" s="359">
        <f t="shared" si="11"/>
        <v>49.5690488984417</v>
      </c>
    </row>
    <row r="755" spans="1:9" ht="15" customHeight="1">
      <c r="A755" s="88"/>
      <c r="B755" s="8"/>
      <c r="C755" s="20">
        <v>4410</v>
      </c>
      <c r="D755" s="350" t="s">
        <v>649</v>
      </c>
      <c r="E755" s="27">
        <v>5000</v>
      </c>
      <c r="F755" s="27">
        <v>5000</v>
      </c>
      <c r="G755" s="55">
        <v>2199.7</v>
      </c>
      <c r="H755" s="116">
        <v>2199.7</v>
      </c>
      <c r="I755" s="359">
        <f t="shared" si="11"/>
        <v>43.99399999999999</v>
      </c>
    </row>
    <row r="756" spans="1:9" ht="15" customHeight="1">
      <c r="A756" s="88"/>
      <c r="B756" s="8"/>
      <c r="C756" s="9">
        <v>4430</v>
      </c>
      <c r="D756" s="288" t="s">
        <v>433</v>
      </c>
      <c r="E756" s="27">
        <v>20200</v>
      </c>
      <c r="F756" s="27">
        <v>20200</v>
      </c>
      <c r="G756" s="55">
        <v>8612</v>
      </c>
      <c r="H756" s="116">
        <v>8612</v>
      </c>
      <c r="I756" s="359">
        <f t="shared" si="11"/>
        <v>42.633663366336634</v>
      </c>
    </row>
    <row r="757" spans="1:9" ht="21.75" customHeight="1">
      <c r="A757" s="88"/>
      <c r="B757" s="8"/>
      <c r="C757" s="9">
        <v>4440</v>
      </c>
      <c r="D757" s="288" t="s">
        <v>647</v>
      </c>
      <c r="E757" s="27">
        <v>6017</v>
      </c>
      <c r="F757" s="27">
        <v>6017</v>
      </c>
      <c r="G757" s="55">
        <v>4513</v>
      </c>
      <c r="H757" s="116">
        <v>4513</v>
      </c>
      <c r="I757" s="359">
        <f t="shared" si="11"/>
        <v>75.00415489446569</v>
      </c>
    </row>
    <row r="758" spans="1:9" ht="15" customHeight="1">
      <c r="A758" s="88"/>
      <c r="B758" s="8"/>
      <c r="C758" s="9">
        <v>4480</v>
      </c>
      <c r="D758" s="288" t="s">
        <v>452</v>
      </c>
      <c r="E758" s="27">
        <v>26785</v>
      </c>
      <c r="F758" s="27">
        <v>26785</v>
      </c>
      <c r="G758" s="55">
        <v>13393</v>
      </c>
      <c r="H758" s="116">
        <v>13393</v>
      </c>
      <c r="I758" s="359">
        <f t="shared" si="11"/>
        <v>50.001866716445775</v>
      </c>
    </row>
    <row r="759" spans="1:9" ht="24.75" customHeight="1">
      <c r="A759" s="88"/>
      <c r="B759" s="8"/>
      <c r="C759" s="9">
        <v>4500</v>
      </c>
      <c r="D759" s="288" t="s">
        <v>457</v>
      </c>
      <c r="E759" s="27">
        <v>670</v>
      </c>
      <c r="F759" s="27">
        <v>670</v>
      </c>
      <c r="G759" s="55">
        <v>335</v>
      </c>
      <c r="H759" s="116">
        <v>335</v>
      </c>
      <c r="I759" s="359">
        <f t="shared" si="11"/>
        <v>50</v>
      </c>
    </row>
    <row r="760" spans="1:9" ht="15" customHeight="1">
      <c r="A760" s="88"/>
      <c r="B760" s="8"/>
      <c r="C760" s="9">
        <v>4510</v>
      </c>
      <c r="D760" s="288" t="s">
        <v>166</v>
      </c>
      <c r="E760" s="27">
        <v>1305</v>
      </c>
      <c r="F760" s="27">
        <v>1305</v>
      </c>
      <c r="G760" s="55">
        <v>1304.15</v>
      </c>
      <c r="H760" s="116">
        <v>1304.15</v>
      </c>
      <c r="I760" s="359">
        <f t="shared" si="11"/>
        <v>99.93486590038316</v>
      </c>
    </row>
    <row r="761" spans="1:9" ht="27.75" customHeight="1">
      <c r="A761" s="88"/>
      <c r="B761" s="8"/>
      <c r="C761" s="9">
        <v>4520</v>
      </c>
      <c r="D761" s="288" t="s">
        <v>419</v>
      </c>
      <c r="E761" s="27">
        <v>76</v>
      </c>
      <c r="F761" s="27">
        <v>76</v>
      </c>
      <c r="G761" s="55">
        <v>76</v>
      </c>
      <c r="H761" s="116">
        <v>76</v>
      </c>
      <c r="I761" s="359">
        <f t="shared" si="11"/>
        <v>100</v>
      </c>
    </row>
    <row r="762" spans="1:9" ht="16.5" customHeight="1">
      <c r="A762" s="88"/>
      <c r="B762" s="8"/>
      <c r="C762" s="9">
        <v>4550</v>
      </c>
      <c r="D762" s="288" t="s">
        <v>167</v>
      </c>
      <c r="E762" s="27">
        <v>1140</v>
      </c>
      <c r="F762" s="27">
        <v>1140</v>
      </c>
      <c r="G762" s="55">
        <v>0</v>
      </c>
      <c r="H762" s="116">
        <v>0</v>
      </c>
      <c r="I762" s="359"/>
    </row>
    <row r="763" spans="1:9" ht="23.25" customHeight="1">
      <c r="A763" s="88"/>
      <c r="B763" s="8"/>
      <c r="C763" s="3">
        <v>6050</v>
      </c>
      <c r="D763" s="288" t="s">
        <v>349</v>
      </c>
      <c r="E763" s="27">
        <v>100000</v>
      </c>
      <c r="F763" s="27">
        <v>100000</v>
      </c>
      <c r="G763" s="55">
        <v>0</v>
      </c>
      <c r="H763" s="116">
        <v>0</v>
      </c>
      <c r="I763" s="359"/>
    </row>
    <row r="764" spans="1:9" ht="38.25" customHeight="1">
      <c r="A764" s="88"/>
      <c r="B764" s="8"/>
      <c r="C764" s="9">
        <v>6170</v>
      </c>
      <c r="D764" s="288" t="s">
        <v>606</v>
      </c>
      <c r="E764" s="27">
        <v>250000</v>
      </c>
      <c r="F764" s="55"/>
      <c r="G764" s="27">
        <v>0</v>
      </c>
      <c r="H764" s="55"/>
      <c r="I764" s="359"/>
    </row>
    <row r="765" spans="1:9" ht="24.75" customHeight="1">
      <c r="A765" s="62">
        <v>758</v>
      </c>
      <c r="B765" s="62"/>
      <c r="C765" s="11"/>
      <c r="D765" s="292" t="s">
        <v>547</v>
      </c>
      <c r="E765" s="241">
        <f>E766+E772</f>
        <v>1954749.05</v>
      </c>
      <c r="F765" s="178"/>
      <c r="G765" s="241">
        <f>G766+G772</f>
        <v>599380</v>
      </c>
      <c r="H765" s="178"/>
      <c r="I765" s="359">
        <f t="shared" si="11"/>
        <v>30.662759498463497</v>
      </c>
    </row>
    <row r="766" spans="1:9" ht="21.75" customHeight="1">
      <c r="A766" s="118"/>
      <c r="B766" s="49">
        <v>75818</v>
      </c>
      <c r="C766" s="25"/>
      <c r="D766" s="293" t="s">
        <v>548</v>
      </c>
      <c r="E766" s="106">
        <f>E767+E771</f>
        <v>755993.05</v>
      </c>
      <c r="F766" s="151"/>
      <c r="G766" s="106">
        <f>G767+G771</f>
        <v>0</v>
      </c>
      <c r="H766" s="151"/>
      <c r="I766" s="359"/>
    </row>
    <row r="767" spans="1:9" ht="16.5" customHeight="1">
      <c r="A767" s="89"/>
      <c r="B767" s="89"/>
      <c r="C767" s="14">
        <v>4810</v>
      </c>
      <c r="D767" s="288" t="s">
        <v>319</v>
      </c>
      <c r="E767" s="101">
        <f>E769+E770</f>
        <v>515457</v>
      </c>
      <c r="F767" s="151"/>
      <c r="G767" s="101">
        <f>G769+G770</f>
        <v>0</v>
      </c>
      <c r="H767" s="151"/>
      <c r="I767" s="359"/>
    </row>
    <row r="768" spans="1:9" ht="15" customHeight="1">
      <c r="A768" s="89"/>
      <c r="B768" s="88"/>
      <c r="C768" s="14"/>
      <c r="D768" s="342" t="s">
        <v>320</v>
      </c>
      <c r="E768" s="101"/>
      <c r="F768" s="151"/>
      <c r="G768" s="101"/>
      <c r="H768" s="151"/>
      <c r="I768" s="359"/>
    </row>
    <row r="769" spans="1:9" ht="17.25" customHeight="1">
      <c r="A769" s="89"/>
      <c r="B769" s="88"/>
      <c r="C769" s="8"/>
      <c r="D769" s="342" t="s">
        <v>422</v>
      </c>
      <c r="E769" s="167">
        <v>146929.58</v>
      </c>
      <c r="F769" s="151"/>
      <c r="G769" s="167"/>
      <c r="H769" s="151"/>
      <c r="I769" s="359"/>
    </row>
    <row r="770" spans="1:9" ht="20.25" customHeight="1">
      <c r="A770" s="89"/>
      <c r="B770" s="88"/>
      <c r="C770" s="2" t="s">
        <v>410</v>
      </c>
      <c r="D770" s="342" t="s">
        <v>322</v>
      </c>
      <c r="E770" s="55">
        <v>368527.42</v>
      </c>
      <c r="F770" s="151"/>
      <c r="G770" s="55"/>
      <c r="H770" s="151"/>
      <c r="I770" s="359"/>
    </row>
    <row r="771" spans="1:9" ht="24" customHeight="1">
      <c r="A771" s="89"/>
      <c r="B771" s="88"/>
      <c r="C771" s="2">
        <v>6800</v>
      </c>
      <c r="D771" s="342" t="s">
        <v>323</v>
      </c>
      <c r="E771" s="101">
        <v>240536.05</v>
      </c>
      <c r="F771" s="151"/>
      <c r="G771" s="101"/>
      <c r="H771" s="151"/>
      <c r="I771" s="359"/>
    </row>
    <row r="772" spans="1:25" s="56" customFormat="1" ht="24.75" customHeight="1">
      <c r="A772" s="118"/>
      <c r="B772" s="49">
        <v>75832</v>
      </c>
      <c r="C772" s="38"/>
      <c r="D772" s="351" t="s">
        <v>590</v>
      </c>
      <c r="E772" s="231">
        <f>E773</f>
        <v>1198756</v>
      </c>
      <c r="F772" s="114"/>
      <c r="G772" s="231">
        <f>G773</f>
        <v>599380</v>
      </c>
      <c r="H772" s="114"/>
      <c r="I772" s="359">
        <f t="shared" si="11"/>
        <v>50.00016683962374</v>
      </c>
      <c r="J772" s="243"/>
      <c r="K772" s="243"/>
      <c r="L772" s="261"/>
      <c r="M772" s="243"/>
      <c r="N772" s="243"/>
      <c r="O772" s="243"/>
      <c r="P772" s="243"/>
      <c r="Q772" s="243"/>
      <c r="R772" s="243"/>
      <c r="S772" s="243"/>
      <c r="T772" s="252"/>
      <c r="U772" s="252"/>
      <c r="V772" s="252"/>
      <c r="W772" s="252"/>
      <c r="X772" s="252"/>
      <c r="Y772" s="252"/>
    </row>
    <row r="773" spans="1:9" ht="24" customHeight="1">
      <c r="A773" s="89"/>
      <c r="B773" s="88"/>
      <c r="C773" s="3">
        <v>2930</v>
      </c>
      <c r="D773" s="288" t="s">
        <v>421</v>
      </c>
      <c r="E773" s="100">
        <v>1198756</v>
      </c>
      <c r="F773" s="95"/>
      <c r="G773" s="100">
        <v>599380</v>
      </c>
      <c r="H773" s="95"/>
      <c r="I773" s="359">
        <f t="shared" si="11"/>
        <v>50.00016683962374</v>
      </c>
    </row>
    <row r="774" spans="1:9" ht="20.25" customHeight="1">
      <c r="A774" s="62">
        <v>801</v>
      </c>
      <c r="B774" s="62"/>
      <c r="C774" s="6"/>
      <c r="D774" s="292" t="s">
        <v>549</v>
      </c>
      <c r="E774" s="36">
        <f>E775+E794+E812+E830+E859+E968+E885+E911+E913+E929+E953+E975+E996+E1010</f>
        <v>63100217.12</v>
      </c>
      <c r="F774" s="116"/>
      <c r="G774" s="36">
        <f>G775+G794+G812+G830+G859+G968+G885+G911+G913+G929+G953+G975+G996+G1010</f>
        <v>31578758.560000002</v>
      </c>
      <c r="H774" s="116"/>
      <c r="I774" s="359">
        <f t="shared" si="11"/>
        <v>50.04540396421382</v>
      </c>
    </row>
    <row r="775" spans="1:9" ht="24" customHeight="1">
      <c r="A775" s="73"/>
      <c r="B775" s="28">
        <v>80102</v>
      </c>
      <c r="C775" s="25"/>
      <c r="D775" s="293" t="s">
        <v>333</v>
      </c>
      <c r="E775" s="41">
        <f>SUM(E776:E793)</f>
        <v>2915340</v>
      </c>
      <c r="F775" s="112"/>
      <c r="G775" s="41">
        <f>SUM(G776:G793)</f>
        <v>1692438.14</v>
      </c>
      <c r="H775" s="112"/>
      <c r="I775" s="359">
        <f t="shared" si="11"/>
        <v>58.052856270623664</v>
      </c>
    </row>
    <row r="776" spans="1:9" ht="27" customHeight="1">
      <c r="A776" s="73"/>
      <c r="B776" s="16"/>
      <c r="C776" s="9">
        <v>3020</v>
      </c>
      <c r="D776" s="288" t="s">
        <v>324</v>
      </c>
      <c r="E776" s="44">
        <v>7600</v>
      </c>
      <c r="F776" s="95"/>
      <c r="G776" s="44">
        <v>2246.73</v>
      </c>
      <c r="H776" s="95"/>
      <c r="I776" s="359">
        <f t="shared" si="11"/>
        <v>29.562236842105268</v>
      </c>
    </row>
    <row r="777" spans="1:9" ht="18.75" customHeight="1">
      <c r="A777" s="73"/>
      <c r="B777" s="18"/>
      <c r="C777" s="9">
        <v>4010</v>
      </c>
      <c r="D777" s="288" t="s">
        <v>643</v>
      </c>
      <c r="E777" s="44">
        <v>2128591</v>
      </c>
      <c r="F777" s="95"/>
      <c r="G777" s="44">
        <v>1127778.71</v>
      </c>
      <c r="H777" s="95"/>
      <c r="I777" s="359">
        <f t="shared" si="11"/>
        <v>52.98240526244825</v>
      </c>
    </row>
    <row r="778" spans="1:9" ht="15" customHeight="1">
      <c r="A778" s="73"/>
      <c r="B778" s="18"/>
      <c r="C778" s="9">
        <v>4040</v>
      </c>
      <c r="D778" s="288" t="s">
        <v>644</v>
      </c>
      <c r="E778" s="44">
        <v>173121</v>
      </c>
      <c r="F778" s="95"/>
      <c r="G778" s="44">
        <v>173119.96</v>
      </c>
      <c r="H778" s="95"/>
      <c r="I778" s="359">
        <f t="shared" si="11"/>
        <v>99.99939926409851</v>
      </c>
    </row>
    <row r="779" spans="1:9" ht="15" customHeight="1">
      <c r="A779" s="73"/>
      <c r="B779" s="18"/>
      <c r="C779" s="9">
        <v>4110</v>
      </c>
      <c r="D779" s="288" t="s">
        <v>645</v>
      </c>
      <c r="E779" s="44">
        <v>358045</v>
      </c>
      <c r="F779" s="95"/>
      <c r="G779" s="44">
        <v>232747.56</v>
      </c>
      <c r="H779" s="95"/>
      <c r="I779" s="359">
        <f t="shared" si="11"/>
        <v>65.00511388233322</v>
      </c>
    </row>
    <row r="780" spans="1:9" ht="15" customHeight="1">
      <c r="A780" s="73"/>
      <c r="B780" s="18"/>
      <c r="C780" s="9">
        <v>4120</v>
      </c>
      <c r="D780" s="288" t="s">
        <v>646</v>
      </c>
      <c r="E780" s="44">
        <v>53733</v>
      </c>
      <c r="F780" s="95"/>
      <c r="G780" s="44">
        <v>32751.89</v>
      </c>
      <c r="H780" s="95"/>
      <c r="I780" s="359">
        <f t="shared" si="11"/>
        <v>60.9530270038896</v>
      </c>
    </row>
    <row r="781" spans="1:9" ht="15" customHeight="1">
      <c r="A781" s="73"/>
      <c r="B781" s="18"/>
      <c r="C781" s="9">
        <v>4170</v>
      </c>
      <c r="D781" s="288" t="s">
        <v>652</v>
      </c>
      <c r="E781" s="44">
        <v>3360</v>
      </c>
      <c r="F781" s="95"/>
      <c r="G781" s="44">
        <v>1680</v>
      </c>
      <c r="H781" s="95"/>
      <c r="I781" s="359">
        <f t="shared" si="11"/>
        <v>50</v>
      </c>
    </row>
    <row r="782" spans="1:9" ht="15" customHeight="1">
      <c r="A782" s="73"/>
      <c r="B782" s="18"/>
      <c r="C782" s="9">
        <v>4210</v>
      </c>
      <c r="D782" s="288" t="s">
        <v>602</v>
      </c>
      <c r="E782" s="44">
        <v>6880</v>
      </c>
      <c r="F782" s="95"/>
      <c r="G782" s="44">
        <v>2652.1</v>
      </c>
      <c r="H782" s="95"/>
      <c r="I782" s="359">
        <f aca="true" t="shared" si="12" ref="I782:I845">G782/E782*100</f>
        <v>38.54796511627907</v>
      </c>
    </row>
    <row r="783" spans="1:9" ht="22.5" customHeight="1">
      <c r="A783" s="73"/>
      <c r="B783" s="18"/>
      <c r="C783" s="9">
        <v>4240</v>
      </c>
      <c r="D783" s="288" t="s">
        <v>358</v>
      </c>
      <c r="E783" s="44">
        <v>960</v>
      </c>
      <c r="F783" s="95"/>
      <c r="G783" s="44">
        <v>320</v>
      </c>
      <c r="H783" s="95"/>
      <c r="I783" s="359">
        <f t="shared" si="12"/>
        <v>33.33333333333333</v>
      </c>
    </row>
    <row r="784" spans="1:9" ht="15" customHeight="1">
      <c r="A784" s="73"/>
      <c r="B784" s="18"/>
      <c r="C784" s="9">
        <v>4260</v>
      </c>
      <c r="D784" s="288" t="s">
        <v>660</v>
      </c>
      <c r="E784" s="44">
        <v>37640</v>
      </c>
      <c r="F784" s="95"/>
      <c r="G784" s="44">
        <v>18736.88</v>
      </c>
      <c r="H784" s="95"/>
      <c r="I784" s="359">
        <f t="shared" si="12"/>
        <v>49.779171094580235</v>
      </c>
    </row>
    <row r="785" spans="1:9" ht="15" customHeight="1">
      <c r="A785" s="73"/>
      <c r="B785" s="18"/>
      <c r="C785" s="9">
        <v>4270</v>
      </c>
      <c r="D785" s="288" t="s">
        <v>603</v>
      </c>
      <c r="E785" s="44">
        <v>5195</v>
      </c>
      <c r="F785" s="95"/>
      <c r="G785" s="44">
        <v>1810.2</v>
      </c>
      <c r="H785" s="95"/>
      <c r="I785" s="359">
        <f t="shared" si="12"/>
        <v>34.845043310875845</v>
      </c>
    </row>
    <row r="786" spans="1:9" ht="15" customHeight="1">
      <c r="A786" s="73"/>
      <c r="B786" s="18"/>
      <c r="C786" s="9">
        <v>4280</v>
      </c>
      <c r="D786" s="288" t="s">
        <v>326</v>
      </c>
      <c r="E786" s="44">
        <v>1160</v>
      </c>
      <c r="F786" s="95"/>
      <c r="G786" s="44">
        <v>198</v>
      </c>
      <c r="H786" s="95"/>
      <c r="I786" s="359">
        <f t="shared" si="12"/>
        <v>17.06896551724138</v>
      </c>
    </row>
    <row r="787" spans="1:9" ht="15" customHeight="1">
      <c r="A787" s="73"/>
      <c r="B787" s="18"/>
      <c r="C787" s="9">
        <v>4300</v>
      </c>
      <c r="D787" s="288" t="s">
        <v>599</v>
      </c>
      <c r="E787" s="44">
        <v>11795</v>
      </c>
      <c r="F787" s="95"/>
      <c r="G787" s="44">
        <v>4856.37</v>
      </c>
      <c r="H787" s="95"/>
      <c r="I787" s="359">
        <f t="shared" si="12"/>
        <v>41.17312420517168</v>
      </c>
    </row>
    <row r="788" spans="1:9" ht="15" customHeight="1">
      <c r="A788" s="73"/>
      <c r="B788" s="18"/>
      <c r="C788" s="20">
        <v>4350</v>
      </c>
      <c r="D788" s="288" t="s">
        <v>655</v>
      </c>
      <c r="E788" s="44">
        <v>560</v>
      </c>
      <c r="F788" s="95"/>
      <c r="G788" s="44">
        <v>87.72</v>
      </c>
      <c r="H788" s="95"/>
      <c r="I788" s="359">
        <f t="shared" si="12"/>
        <v>15.664285714285715</v>
      </c>
    </row>
    <row r="789" spans="1:9" ht="38.25" customHeight="1">
      <c r="A789" s="73"/>
      <c r="B789" s="18"/>
      <c r="C789" s="20">
        <v>4370</v>
      </c>
      <c r="D789" s="288" t="s">
        <v>389</v>
      </c>
      <c r="E789" s="44">
        <v>1990</v>
      </c>
      <c r="F789" s="95"/>
      <c r="G789" s="44">
        <v>787.68</v>
      </c>
      <c r="H789" s="95"/>
      <c r="I789" s="359">
        <f t="shared" si="12"/>
        <v>39.58190954773869</v>
      </c>
    </row>
    <row r="790" spans="1:9" ht="15" customHeight="1">
      <c r="A790" s="73"/>
      <c r="B790" s="18"/>
      <c r="C790" s="9">
        <v>4410</v>
      </c>
      <c r="D790" s="288" t="s">
        <v>649</v>
      </c>
      <c r="E790" s="44">
        <v>400</v>
      </c>
      <c r="F790" s="95"/>
      <c r="G790" s="44">
        <v>0</v>
      </c>
      <c r="H790" s="95"/>
      <c r="I790" s="359">
        <f t="shared" si="12"/>
        <v>0</v>
      </c>
    </row>
    <row r="791" spans="1:9" ht="18.75" customHeight="1">
      <c r="A791" s="73"/>
      <c r="B791" s="18"/>
      <c r="C791" s="9">
        <v>4430</v>
      </c>
      <c r="D791" s="288" t="s">
        <v>433</v>
      </c>
      <c r="E791" s="44">
        <v>2860</v>
      </c>
      <c r="F791" s="95"/>
      <c r="G791" s="44">
        <v>1305</v>
      </c>
      <c r="H791" s="95"/>
      <c r="I791" s="359">
        <f t="shared" si="12"/>
        <v>45.629370629370634</v>
      </c>
    </row>
    <row r="792" spans="1:9" ht="24.75" customHeight="1">
      <c r="A792" s="73"/>
      <c r="B792" s="18"/>
      <c r="C792" s="9">
        <v>4440</v>
      </c>
      <c r="D792" s="288" t="s">
        <v>647</v>
      </c>
      <c r="E792" s="44">
        <v>119840</v>
      </c>
      <c r="F792" s="95"/>
      <c r="G792" s="44">
        <v>90519.34</v>
      </c>
      <c r="H792" s="95"/>
      <c r="I792" s="359">
        <f t="shared" si="12"/>
        <v>75.53349465954607</v>
      </c>
    </row>
    <row r="793" spans="1:9" ht="30.75" customHeight="1">
      <c r="A793" s="73"/>
      <c r="B793" s="18"/>
      <c r="C793" s="3">
        <v>4700</v>
      </c>
      <c r="D793" s="288" t="s">
        <v>420</v>
      </c>
      <c r="E793" s="44">
        <v>1610</v>
      </c>
      <c r="F793" s="95"/>
      <c r="G793" s="44">
        <v>840</v>
      </c>
      <c r="H793" s="95"/>
      <c r="I793" s="359">
        <f t="shared" si="12"/>
        <v>52.17391304347826</v>
      </c>
    </row>
    <row r="794" spans="1:9" ht="22.5" customHeight="1">
      <c r="A794" s="73"/>
      <c r="B794" s="24">
        <v>80111</v>
      </c>
      <c r="C794" s="25"/>
      <c r="D794" s="293" t="s">
        <v>334</v>
      </c>
      <c r="E794" s="41">
        <f>SUM(E795:E811)</f>
        <v>1198591</v>
      </c>
      <c r="F794" s="95"/>
      <c r="G794" s="41">
        <f>SUM(G795:G811)</f>
        <v>657151.87</v>
      </c>
      <c r="H794" s="95"/>
      <c r="I794" s="359">
        <f t="shared" si="12"/>
        <v>54.82703190663037</v>
      </c>
    </row>
    <row r="795" spans="1:9" ht="24.75" customHeight="1">
      <c r="A795" s="73"/>
      <c r="B795" s="16"/>
      <c r="C795" s="9">
        <v>3020</v>
      </c>
      <c r="D795" s="288" t="s">
        <v>324</v>
      </c>
      <c r="E795" s="44">
        <v>2710</v>
      </c>
      <c r="F795" s="95"/>
      <c r="G795" s="44">
        <v>800</v>
      </c>
      <c r="H795" s="95"/>
      <c r="I795" s="359">
        <f t="shared" si="12"/>
        <v>29.520295202952028</v>
      </c>
    </row>
    <row r="796" spans="1:9" ht="14.25" customHeight="1">
      <c r="A796" s="73"/>
      <c r="B796" s="18"/>
      <c r="C796" s="9">
        <v>4010</v>
      </c>
      <c r="D796" s="288" t="s">
        <v>643</v>
      </c>
      <c r="E796" s="44">
        <v>805795</v>
      </c>
      <c r="F796" s="95"/>
      <c r="G796" s="44">
        <v>431548.2</v>
      </c>
      <c r="H796" s="95"/>
      <c r="I796" s="359">
        <f t="shared" si="12"/>
        <v>53.55558175466465</v>
      </c>
    </row>
    <row r="797" spans="1:9" ht="15" customHeight="1">
      <c r="A797" s="73"/>
      <c r="B797" s="18"/>
      <c r="C797" s="9">
        <v>4040</v>
      </c>
      <c r="D797" s="288" t="s">
        <v>644</v>
      </c>
      <c r="E797" s="44">
        <v>62262</v>
      </c>
      <c r="F797" s="95"/>
      <c r="G797" s="44">
        <v>62261.57</v>
      </c>
      <c r="H797" s="95"/>
      <c r="I797" s="359">
        <f t="shared" si="12"/>
        <v>99.99930937008126</v>
      </c>
    </row>
    <row r="798" spans="1:9" ht="15" customHeight="1">
      <c r="A798" s="73"/>
      <c r="B798" s="18"/>
      <c r="C798" s="9">
        <v>4110</v>
      </c>
      <c r="D798" s="288" t="s">
        <v>645</v>
      </c>
      <c r="E798" s="44">
        <v>164842</v>
      </c>
      <c r="F798" s="95"/>
      <c r="G798" s="44">
        <v>79352.28</v>
      </c>
      <c r="H798" s="95"/>
      <c r="I798" s="359">
        <f t="shared" si="12"/>
        <v>48.13838706154985</v>
      </c>
    </row>
    <row r="799" spans="1:9" ht="15" customHeight="1">
      <c r="A799" s="73"/>
      <c r="B799" s="18"/>
      <c r="C799" s="9">
        <v>4120</v>
      </c>
      <c r="D799" s="288" t="s">
        <v>646</v>
      </c>
      <c r="E799" s="44">
        <v>27144</v>
      </c>
      <c r="F799" s="95"/>
      <c r="G799" s="44">
        <v>13154.62</v>
      </c>
      <c r="H799" s="95"/>
      <c r="I799" s="359">
        <f t="shared" si="12"/>
        <v>48.46234895372827</v>
      </c>
    </row>
    <row r="800" spans="1:9" ht="15" customHeight="1">
      <c r="A800" s="73"/>
      <c r="B800" s="18"/>
      <c r="C800" s="9">
        <v>4210</v>
      </c>
      <c r="D800" s="288" t="s">
        <v>602</v>
      </c>
      <c r="E800" s="44">
        <v>8580</v>
      </c>
      <c r="F800" s="95"/>
      <c r="G800" s="44">
        <v>1703.15</v>
      </c>
      <c r="H800" s="95"/>
      <c r="I800" s="359">
        <f t="shared" si="12"/>
        <v>19.8502331002331</v>
      </c>
    </row>
    <row r="801" spans="1:9" ht="24.75" customHeight="1">
      <c r="A801" s="73"/>
      <c r="B801" s="18"/>
      <c r="C801" s="9">
        <v>4240</v>
      </c>
      <c r="D801" s="288" t="s">
        <v>358</v>
      </c>
      <c r="E801" s="44">
        <v>563</v>
      </c>
      <c r="F801" s="95"/>
      <c r="G801" s="44">
        <v>52.5</v>
      </c>
      <c r="H801" s="95"/>
      <c r="I801" s="359">
        <f t="shared" si="12"/>
        <v>9.325044404973356</v>
      </c>
    </row>
    <row r="802" spans="1:9" ht="15" customHeight="1">
      <c r="A802" s="73"/>
      <c r="B802" s="18"/>
      <c r="C802" s="9">
        <v>4260</v>
      </c>
      <c r="D802" s="288" t="s">
        <v>660</v>
      </c>
      <c r="E802" s="44">
        <v>55060</v>
      </c>
      <c r="F802" s="95"/>
      <c r="G802" s="44">
        <v>26145.99</v>
      </c>
      <c r="H802" s="95"/>
      <c r="I802" s="359">
        <f t="shared" si="12"/>
        <v>47.486360334180894</v>
      </c>
    </row>
    <row r="803" spans="1:9" ht="15" customHeight="1">
      <c r="A803" s="73"/>
      <c r="B803" s="18"/>
      <c r="C803" s="9">
        <v>4270</v>
      </c>
      <c r="D803" s="288" t="s">
        <v>603</v>
      </c>
      <c r="E803" s="44">
        <v>9050</v>
      </c>
      <c r="F803" s="95"/>
      <c r="G803" s="44">
        <v>4218.2</v>
      </c>
      <c r="H803" s="95"/>
      <c r="I803" s="359">
        <f t="shared" si="12"/>
        <v>46.609944751381214</v>
      </c>
    </row>
    <row r="804" spans="1:9" ht="15" customHeight="1">
      <c r="A804" s="73"/>
      <c r="B804" s="18"/>
      <c r="C804" s="9">
        <v>4280</v>
      </c>
      <c r="D804" s="288" t="s">
        <v>326</v>
      </c>
      <c r="E804" s="44">
        <v>930</v>
      </c>
      <c r="F804" s="95"/>
      <c r="G804" s="44">
        <v>0</v>
      </c>
      <c r="H804" s="95"/>
      <c r="I804" s="359"/>
    </row>
    <row r="805" spans="1:9" ht="15" customHeight="1">
      <c r="A805" s="73"/>
      <c r="B805" s="18"/>
      <c r="C805" s="9">
        <v>4300</v>
      </c>
      <c r="D805" s="288" t="s">
        <v>599</v>
      </c>
      <c r="E805" s="44">
        <v>12700</v>
      </c>
      <c r="F805" s="95"/>
      <c r="G805" s="44">
        <v>4196</v>
      </c>
      <c r="H805" s="95"/>
      <c r="I805" s="359">
        <f t="shared" si="12"/>
        <v>33.03937007874016</v>
      </c>
    </row>
    <row r="806" spans="1:9" ht="15.75" customHeight="1">
      <c r="A806" s="73"/>
      <c r="B806" s="18"/>
      <c r="C806" s="20">
        <v>4350</v>
      </c>
      <c r="D806" s="288" t="s">
        <v>655</v>
      </c>
      <c r="E806" s="44">
        <v>2120</v>
      </c>
      <c r="F806" s="95"/>
      <c r="G806" s="44">
        <v>457.34</v>
      </c>
      <c r="H806" s="95"/>
      <c r="I806" s="359">
        <f t="shared" si="12"/>
        <v>21.57264150943396</v>
      </c>
    </row>
    <row r="807" spans="1:9" ht="36" customHeight="1">
      <c r="A807" s="73"/>
      <c r="B807" s="18"/>
      <c r="C807" s="20">
        <v>4370</v>
      </c>
      <c r="D807" s="288" t="s">
        <v>389</v>
      </c>
      <c r="E807" s="44">
        <v>1475</v>
      </c>
      <c r="F807" s="95"/>
      <c r="G807" s="44">
        <v>557.02</v>
      </c>
      <c r="H807" s="95"/>
      <c r="I807" s="359">
        <f t="shared" si="12"/>
        <v>37.76406779661017</v>
      </c>
    </row>
    <row r="808" spans="1:9" ht="16.5" customHeight="1">
      <c r="A808" s="73"/>
      <c r="B808" s="18"/>
      <c r="C808" s="9">
        <v>4410</v>
      </c>
      <c r="D808" s="288" t="s">
        <v>649</v>
      </c>
      <c r="E808" s="44">
        <v>400</v>
      </c>
      <c r="F808" s="95"/>
      <c r="G808" s="44">
        <v>0</v>
      </c>
      <c r="H808" s="95"/>
      <c r="I808" s="359"/>
    </row>
    <row r="809" spans="1:9" ht="20.25" customHeight="1">
      <c r="A809" s="73"/>
      <c r="B809" s="18"/>
      <c r="C809" s="9">
        <v>4430</v>
      </c>
      <c r="D809" s="288" t="s">
        <v>433</v>
      </c>
      <c r="E809" s="44">
        <v>2240</v>
      </c>
      <c r="F809" s="95"/>
      <c r="G809" s="44">
        <v>995</v>
      </c>
      <c r="H809" s="95"/>
      <c r="I809" s="359">
        <f t="shared" si="12"/>
        <v>44.419642857142854</v>
      </c>
    </row>
    <row r="810" spans="1:9" ht="28.5" customHeight="1">
      <c r="A810" s="73"/>
      <c r="B810" s="18"/>
      <c r="C810" s="9">
        <v>4440</v>
      </c>
      <c r="D810" s="288" t="s">
        <v>647</v>
      </c>
      <c r="E810" s="44">
        <v>42280</v>
      </c>
      <c r="F810" s="95"/>
      <c r="G810" s="44">
        <v>31710</v>
      </c>
      <c r="H810" s="95"/>
      <c r="I810" s="359">
        <f t="shared" si="12"/>
        <v>75</v>
      </c>
    </row>
    <row r="811" spans="1:9" ht="31.5" customHeight="1">
      <c r="A811" s="73"/>
      <c r="B811" s="18"/>
      <c r="C811" s="3">
        <v>4700</v>
      </c>
      <c r="D811" s="288" t="s">
        <v>420</v>
      </c>
      <c r="E811" s="44">
        <v>440</v>
      </c>
      <c r="F811" s="95"/>
      <c r="G811" s="44">
        <v>0</v>
      </c>
      <c r="H811" s="95"/>
      <c r="I811" s="359"/>
    </row>
    <row r="812" spans="1:9" ht="32.25" customHeight="1">
      <c r="A812" s="73"/>
      <c r="B812" s="24">
        <v>80114</v>
      </c>
      <c r="C812" s="25"/>
      <c r="D812" s="293" t="s">
        <v>335</v>
      </c>
      <c r="E812" s="41">
        <f>SUM(E813:E829)</f>
        <v>1313350</v>
      </c>
      <c r="F812" s="95"/>
      <c r="G812" s="41">
        <f>SUM(G813:G829)</f>
        <v>724375.67</v>
      </c>
      <c r="H812" s="95"/>
      <c r="I812" s="359">
        <f t="shared" si="12"/>
        <v>55.15480793390947</v>
      </c>
    </row>
    <row r="813" spans="1:9" ht="24.75" customHeight="1">
      <c r="A813" s="73"/>
      <c r="B813" s="16"/>
      <c r="C813" s="9">
        <v>3020</v>
      </c>
      <c r="D813" s="288" t="s">
        <v>324</v>
      </c>
      <c r="E813" s="44">
        <v>2000</v>
      </c>
      <c r="F813" s="95"/>
      <c r="G813" s="44">
        <v>415.35</v>
      </c>
      <c r="H813" s="95"/>
      <c r="I813" s="359">
        <f t="shared" si="12"/>
        <v>20.7675</v>
      </c>
    </row>
    <row r="814" spans="1:9" ht="18.75" customHeight="1">
      <c r="A814" s="73"/>
      <c r="B814" s="18"/>
      <c r="C814" s="9">
        <v>4010</v>
      </c>
      <c r="D814" s="288" t="s">
        <v>643</v>
      </c>
      <c r="E814" s="44">
        <v>708500</v>
      </c>
      <c r="F814" s="95"/>
      <c r="G814" s="44">
        <v>357218.64</v>
      </c>
      <c r="H814" s="95"/>
      <c r="I814" s="359">
        <f t="shared" si="12"/>
        <v>50.419003528581506</v>
      </c>
    </row>
    <row r="815" spans="1:9" ht="15" customHeight="1">
      <c r="A815" s="73"/>
      <c r="B815" s="18"/>
      <c r="C815" s="9">
        <v>4040</v>
      </c>
      <c r="D815" s="288" t="s">
        <v>644</v>
      </c>
      <c r="E815" s="44">
        <v>58000</v>
      </c>
      <c r="F815" s="95"/>
      <c r="G815" s="44">
        <v>54632.47</v>
      </c>
      <c r="H815" s="95"/>
      <c r="I815" s="359">
        <f t="shared" si="12"/>
        <v>94.19391379310345</v>
      </c>
    </row>
    <row r="816" spans="1:9" ht="15" customHeight="1">
      <c r="A816" s="73"/>
      <c r="B816" s="18"/>
      <c r="C816" s="9">
        <v>4110</v>
      </c>
      <c r="D816" s="288" t="s">
        <v>645</v>
      </c>
      <c r="E816" s="44">
        <v>110000</v>
      </c>
      <c r="F816" s="95"/>
      <c r="G816" s="44">
        <v>66606.73</v>
      </c>
      <c r="H816" s="95"/>
      <c r="I816" s="359">
        <f t="shared" si="12"/>
        <v>60.55157272727273</v>
      </c>
    </row>
    <row r="817" spans="1:9" ht="15" customHeight="1">
      <c r="A817" s="73"/>
      <c r="B817" s="18"/>
      <c r="C817" s="9">
        <v>4120</v>
      </c>
      <c r="D817" s="288" t="s">
        <v>646</v>
      </c>
      <c r="E817" s="44">
        <v>19300</v>
      </c>
      <c r="F817" s="95"/>
      <c r="G817" s="44">
        <v>4059.87</v>
      </c>
      <c r="H817" s="95"/>
      <c r="I817" s="359">
        <f t="shared" si="12"/>
        <v>21.035595854922278</v>
      </c>
    </row>
    <row r="818" spans="1:9" ht="15" customHeight="1">
      <c r="A818" s="73"/>
      <c r="B818" s="18"/>
      <c r="C818" s="9">
        <v>4210</v>
      </c>
      <c r="D818" s="288" t="s">
        <v>602</v>
      </c>
      <c r="E818" s="44">
        <v>23000</v>
      </c>
      <c r="F818" s="95"/>
      <c r="G818" s="44">
        <v>16847.12</v>
      </c>
      <c r="H818" s="95"/>
      <c r="I818" s="359">
        <f t="shared" si="12"/>
        <v>73.24834782608696</v>
      </c>
    </row>
    <row r="819" spans="1:9" ht="15" customHeight="1">
      <c r="A819" s="73"/>
      <c r="B819" s="18"/>
      <c r="C819" s="9">
        <v>4260</v>
      </c>
      <c r="D819" s="288" t="s">
        <v>660</v>
      </c>
      <c r="E819" s="44">
        <v>280000</v>
      </c>
      <c r="F819" s="95"/>
      <c r="G819" s="44">
        <v>166004.2</v>
      </c>
      <c r="H819" s="95"/>
      <c r="I819" s="359">
        <f t="shared" si="12"/>
        <v>59.287214285714285</v>
      </c>
    </row>
    <row r="820" spans="1:9" ht="15" customHeight="1">
      <c r="A820" s="73"/>
      <c r="B820" s="18"/>
      <c r="C820" s="9">
        <v>4270</v>
      </c>
      <c r="D820" s="288" t="s">
        <v>603</v>
      </c>
      <c r="E820" s="44">
        <v>32000</v>
      </c>
      <c r="F820" s="95"/>
      <c r="G820" s="44">
        <v>321.66</v>
      </c>
      <c r="H820" s="95"/>
      <c r="I820" s="359">
        <f t="shared" si="12"/>
        <v>1.0051875</v>
      </c>
    </row>
    <row r="821" spans="1:9" ht="15" customHeight="1">
      <c r="A821" s="73"/>
      <c r="B821" s="18"/>
      <c r="C821" s="9">
        <v>4280</v>
      </c>
      <c r="D821" s="288" t="s">
        <v>326</v>
      </c>
      <c r="E821" s="44">
        <v>3900</v>
      </c>
      <c r="F821" s="95"/>
      <c r="G821" s="44">
        <v>2590</v>
      </c>
      <c r="H821" s="95"/>
      <c r="I821" s="359">
        <f t="shared" si="12"/>
        <v>66.41025641025641</v>
      </c>
    </row>
    <row r="822" spans="1:9" ht="15" customHeight="1">
      <c r="A822" s="73"/>
      <c r="B822" s="18"/>
      <c r="C822" s="9">
        <v>4300</v>
      </c>
      <c r="D822" s="288" t="s">
        <v>599</v>
      </c>
      <c r="E822" s="44">
        <v>33000</v>
      </c>
      <c r="F822" s="95"/>
      <c r="G822" s="44">
        <v>25002.04</v>
      </c>
      <c r="H822" s="95"/>
      <c r="I822" s="359">
        <f t="shared" si="12"/>
        <v>75.76375757575758</v>
      </c>
    </row>
    <row r="823" spans="1:9" ht="18.75" customHeight="1">
      <c r="A823" s="73"/>
      <c r="B823" s="18"/>
      <c r="C823" s="20">
        <v>4350</v>
      </c>
      <c r="D823" s="288" t="s">
        <v>655</v>
      </c>
      <c r="E823" s="44">
        <v>2500</v>
      </c>
      <c r="F823" s="95"/>
      <c r="G823" s="44">
        <v>1247.22</v>
      </c>
      <c r="H823" s="95"/>
      <c r="I823" s="359">
        <f t="shared" si="12"/>
        <v>49.8888</v>
      </c>
    </row>
    <row r="824" spans="1:9" ht="39" customHeight="1">
      <c r="A824" s="73"/>
      <c r="B824" s="18"/>
      <c r="C824" s="20">
        <v>4370</v>
      </c>
      <c r="D824" s="288" t="s">
        <v>389</v>
      </c>
      <c r="E824" s="44">
        <v>6000</v>
      </c>
      <c r="F824" s="95"/>
      <c r="G824" s="44">
        <v>4001.65</v>
      </c>
      <c r="H824" s="95"/>
      <c r="I824" s="359">
        <f t="shared" si="12"/>
        <v>66.69416666666666</v>
      </c>
    </row>
    <row r="825" spans="1:9" ht="18.75" customHeight="1">
      <c r="A825" s="73"/>
      <c r="B825" s="18"/>
      <c r="C825" s="9">
        <v>4410</v>
      </c>
      <c r="D825" s="288" t="s">
        <v>649</v>
      </c>
      <c r="E825" s="44">
        <v>1000</v>
      </c>
      <c r="F825" s="95"/>
      <c r="G825" s="44">
        <v>81.8</v>
      </c>
      <c r="H825" s="95"/>
      <c r="I825" s="359">
        <f t="shared" si="12"/>
        <v>8.18</v>
      </c>
    </row>
    <row r="826" spans="1:9" ht="18.75" customHeight="1">
      <c r="A826" s="73"/>
      <c r="B826" s="18"/>
      <c r="C826" s="9">
        <v>4430</v>
      </c>
      <c r="D826" s="288" t="s">
        <v>433</v>
      </c>
      <c r="E826" s="44">
        <v>3500</v>
      </c>
      <c r="F826" s="95"/>
      <c r="G826" s="44">
        <v>2340</v>
      </c>
      <c r="H826" s="95"/>
      <c r="I826" s="359">
        <f t="shared" si="12"/>
        <v>66.85714285714286</v>
      </c>
    </row>
    <row r="827" spans="1:9" ht="27" customHeight="1">
      <c r="A827" s="73"/>
      <c r="B827" s="18"/>
      <c r="C827" s="9">
        <v>4440</v>
      </c>
      <c r="D827" s="288" t="s">
        <v>647</v>
      </c>
      <c r="E827" s="44">
        <v>29100</v>
      </c>
      <c r="F827" s="95"/>
      <c r="G827" s="44">
        <v>21800</v>
      </c>
      <c r="H827" s="95"/>
      <c r="I827" s="359">
        <f t="shared" si="12"/>
        <v>74.91408934707904</v>
      </c>
    </row>
    <row r="828" spans="1:9" ht="23.25" customHeight="1">
      <c r="A828" s="73"/>
      <c r="B828" s="18"/>
      <c r="C828" s="9">
        <v>4480</v>
      </c>
      <c r="D828" s="288" t="s">
        <v>452</v>
      </c>
      <c r="E828" s="44">
        <v>550</v>
      </c>
      <c r="F828" s="95"/>
      <c r="G828" s="44">
        <v>436.92</v>
      </c>
      <c r="H828" s="95"/>
      <c r="I828" s="359">
        <f t="shared" si="12"/>
        <v>79.44</v>
      </c>
    </row>
    <row r="829" spans="1:9" ht="26.25" customHeight="1">
      <c r="A829" s="73"/>
      <c r="B829" s="18"/>
      <c r="C829" s="3">
        <v>4700</v>
      </c>
      <c r="D829" s="288" t="s">
        <v>420</v>
      </c>
      <c r="E829" s="44">
        <v>1000</v>
      </c>
      <c r="F829" s="95"/>
      <c r="G829" s="44">
        <v>770</v>
      </c>
      <c r="H829" s="95"/>
      <c r="I829" s="359">
        <f t="shared" si="12"/>
        <v>77</v>
      </c>
    </row>
    <row r="830" spans="1:9" ht="26.25" customHeight="1">
      <c r="A830" s="73"/>
      <c r="B830" s="24">
        <v>80120</v>
      </c>
      <c r="C830" s="25"/>
      <c r="D830" s="293" t="s">
        <v>417</v>
      </c>
      <c r="E830" s="41">
        <f>SUM(E831:E858)</f>
        <v>18985871</v>
      </c>
      <c r="F830" s="95"/>
      <c r="G830" s="41">
        <f>SUM(G831:G858)</f>
        <v>9094791.86</v>
      </c>
      <c r="H830" s="95"/>
      <c r="I830" s="359">
        <f t="shared" si="12"/>
        <v>47.9029477235993</v>
      </c>
    </row>
    <row r="831" spans="1:9" ht="32.25" customHeight="1">
      <c r="A831" s="73"/>
      <c r="B831" s="16"/>
      <c r="C831" s="9">
        <v>2540</v>
      </c>
      <c r="D831" s="288" t="s">
        <v>423</v>
      </c>
      <c r="E831" s="102">
        <v>2700000</v>
      </c>
      <c r="F831" s="95"/>
      <c r="G831" s="102">
        <v>790621.2</v>
      </c>
      <c r="H831" s="95"/>
      <c r="I831" s="359">
        <f t="shared" si="12"/>
        <v>29.28226666666667</v>
      </c>
    </row>
    <row r="832" spans="1:9" ht="54" customHeight="1">
      <c r="A832" s="73"/>
      <c r="B832" s="18"/>
      <c r="C832" s="9">
        <v>2590</v>
      </c>
      <c r="D832" s="288" t="s">
        <v>132</v>
      </c>
      <c r="E832" s="44">
        <v>600000</v>
      </c>
      <c r="F832" s="95"/>
      <c r="G832" s="44">
        <v>241686</v>
      </c>
      <c r="H832" s="95"/>
      <c r="I832" s="359">
        <f t="shared" si="12"/>
        <v>40.281</v>
      </c>
    </row>
    <row r="833" spans="1:9" ht="24" customHeight="1">
      <c r="A833" s="73"/>
      <c r="B833" s="18"/>
      <c r="C833" s="9">
        <v>3020</v>
      </c>
      <c r="D833" s="288" t="s">
        <v>324</v>
      </c>
      <c r="E833" s="44">
        <v>95427</v>
      </c>
      <c r="F833" s="95"/>
      <c r="G833" s="44">
        <v>9298.85</v>
      </c>
      <c r="H833" s="95"/>
      <c r="I833" s="359">
        <f t="shared" si="12"/>
        <v>9.744464354951955</v>
      </c>
    </row>
    <row r="834" spans="1:9" ht="15.75" customHeight="1">
      <c r="A834" s="73"/>
      <c r="B834" s="18"/>
      <c r="C834" s="9">
        <v>4010</v>
      </c>
      <c r="D834" s="288" t="s">
        <v>643</v>
      </c>
      <c r="E834" s="44">
        <v>10831367</v>
      </c>
      <c r="F834" s="95"/>
      <c r="G834" s="44">
        <v>5155814.42</v>
      </c>
      <c r="H834" s="95"/>
      <c r="I834" s="359">
        <f t="shared" si="12"/>
        <v>47.60077301415417</v>
      </c>
    </row>
    <row r="835" spans="1:9" ht="15" customHeight="1">
      <c r="A835" s="73"/>
      <c r="B835" s="18"/>
      <c r="C835" s="9">
        <v>4040</v>
      </c>
      <c r="D835" s="288" t="s">
        <v>644</v>
      </c>
      <c r="E835" s="44">
        <v>884423</v>
      </c>
      <c r="F835" s="95"/>
      <c r="G835" s="44">
        <v>843073.09</v>
      </c>
      <c r="H835" s="95"/>
      <c r="I835" s="359">
        <f t="shared" si="12"/>
        <v>95.3246455598735</v>
      </c>
    </row>
    <row r="836" spans="1:9" ht="15" customHeight="1">
      <c r="A836" s="73"/>
      <c r="B836" s="18"/>
      <c r="C836" s="9">
        <v>4110</v>
      </c>
      <c r="D836" s="288" t="s">
        <v>645</v>
      </c>
      <c r="E836" s="44">
        <f>1907336+20000</f>
        <v>1927336</v>
      </c>
      <c r="F836" s="95"/>
      <c r="G836" s="44">
        <v>933986.39</v>
      </c>
      <c r="H836" s="95"/>
      <c r="I836" s="359">
        <f t="shared" si="12"/>
        <v>48.4599670218374</v>
      </c>
    </row>
    <row r="837" spans="1:9" ht="15" customHeight="1">
      <c r="A837" s="73"/>
      <c r="B837" s="18"/>
      <c r="C837" s="9">
        <v>4120</v>
      </c>
      <c r="D837" s="288" t="s">
        <v>646</v>
      </c>
      <c r="E837" s="44">
        <f>277223+2600-27000</f>
        <v>252823</v>
      </c>
      <c r="F837" s="95"/>
      <c r="G837" s="44">
        <v>106654.36</v>
      </c>
      <c r="H837" s="95"/>
      <c r="I837" s="359">
        <f t="shared" si="12"/>
        <v>42.18538661435075</v>
      </c>
    </row>
    <row r="838" spans="1:9" ht="21" customHeight="1">
      <c r="A838" s="73"/>
      <c r="B838" s="18"/>
      <c r="C838" s="9">
        <v>4130</v>
      </c>
      <c r="D838" s="288" t="s">
        <v>448</v>
      </c>
      <c r="E838" s="44">
        <v>400</v>
      </c>
      <c r="F838" s="95"/>
      <c r="G838" s="44">
        <v>280.8</v>
      </c>
      <c r="H838" s="95"/>
      <c r="I838" s="359">
        <f t="shared" si="12"/>
        <v>70.2</v>
      </c>
    </row>
    <row r="839" spans="1:9" ht="27.75" customHeight="1">
      <c r="A839" s="73"/>
      <c r="B839" s="18"/>
      <c r="C839" s="9">
        <v>4140</v>
      </c>
      <c r="D839" s="288" t="s">
        <v>357</v>
      </c>
      <c r="E839" s="44">
        <v>5060</v>
      </c>
      <c r="F839" s="95"/>
      <c r="G839" s="44">
        <v>0</v>
      </c>
      <c r="H839" s="95"/>
      <c r="I839" s="359"/>
    </row>
    <row r="840" spans="1:9" ht="15" customHeight="1">
      <c r="A840" s="73"/>
      <c r="B840" s="18"/>
      <c r="C840" s="3">
        <v>4170</v>
      </c>
      <c r="D840" s="288" t="s">
        <v>652</v>
      </c>
      <c r="E840" s="44">
        <v>38307</v>
      </c>
      <c r="F840" s="95"/>
      <c r="G840" s="44">
        <v>20530.57</v>
      </c>
      <c r="H840" s="95"/>
      <c r="I840" s="359">
        <f t="shared" si="12"/>
        <v>53.594826010911845</v>
      </c>
    </row>
    <row r="841" spans="1:9" ht="15" customHeight="1">
      <c r="A841" s="73"/>
      <c r="B841" s="18"/>
      <c r="C841" s="9">
        <v>4210</v>
      </c>
      <c r="D841" s="288" t="s">
        <v>602</v>
      </c>
      <c r="E841" s="44">
        <v>130997</v>
      </c>
      <c r="F841" s="95"/>
      <c r="G841" s="44">
        <v>72935.6</v>
      </c>
      <c r="H841" s="95"/>
      <c r="I841" s="359">
        <f t="shared" si="12"/>
        <v>55.67730558715086</v>
      </c>
    </row>
    <row r="842" spans="1:9" ht="24.75" customHeight="1">
      <c r="A842" s="73"/>
      <c r="B842" s="18"/>
      <c r="C842" s="9">
        <v>4240</v>
      </c>
      <c r="D842" s="288" t="s">
        <v>358</v>
      </c>
      <c r="E842" s="44">
        <v>32150</v>
      </c>
      <c r="F842" s="95"/>
      <c r="G842" s="44">
        <v>10166.21</v>
      </c>
      <c r="H842" s="95"/>
      <c r="I842" s="359">
        <f t="shared" si="12"/>
        <v>31.621181959564538</v>
      </c>
    </row>
    <row r="843" spans="1:9" ht="15" customHeight="1">
      <c r="A843" s="73"/>
      <c r="B843" s="18"/>
      <c r="C843" s="9">
        <v>4260</v>
      </c>
      <c r="D843" s="288" t="s">
        <v>660</v>
      </c>
      <c r="E843" s="44">
        <v>464350</v>
      </c>
      <c r="F843" s="95"/>
      <c r="G843" s="44">
        <v>286742.74</v>
      </c>
      <c r="H843" s="95"/>
      <c r="I843" s="359">
        <f t="shared" si="12"/>
        <v>61.75142457198234</v>
      </c>
    </row>
    <row r="844" spans="1:9" ht="15" customHeight="1">
      <c r="A844" s="73"/>
      <c r="B844" s="18"/>
      <c r="C844" s="9">
        <v>4270</v>
      </c>
      <c r="D844" s="288" t="s">
        <v>603</v>
      </c>
      <c r="E844" s="44">
        <v>72920</v>
      </c>
      <c r="F844" s="95"/>
      <c r="G844" s="44">
        <v>42954.5</v>
      </c>
      <c r="H844" s="95"/>
      <c r="I844" s="359">
        <f t="shared" si="12"/>
        <v>58.90633571036753</v>
      </c>
    </row>
    <row r="845" spans="1:9" ht="15" customHeight="1">
      <c r="A845" s="73"/>
      <c r="B845" s="18"/>
      <c r="C845" s="9">
        <v>4280</v>
      </c>
      <c r="D845" s="288" t="s">
        <v>326</v>
      </c>
      <c r="E845" s="44">
        <v>11731</v>
      </c>
      <c r="F845" s="95"/>
      <c r="G845" s="44">
        <v>1548.63</v>
      </c>
      <c r="H845" s="95"/>
      <c r="I845" s="359">
        <f t="shared" si="12"/>
        <v>13.201176370300912</v>
      </c>
    </row>
    <row r="846" spans="1:9" ht="15" customHeight="1">
      <c r="A846" s="73"/>
      <c r="B846" s="18"/>
      <c r="C846" s="9">
        <v>4300</v>
      </c>
      <c r="D846" s="288" t="s">
        <v>599</v>
      </c>
      <c r="E846" s="44">
        <v>143867</v>
      </c>
      <c r="F846" s="95"/>
      <c r="G846" s="44">
        <v>71355.29</v>
      </c>
      <c r="H846" s="95"/>
      <c r="I846" s="359">
        <f aca="true" t="shared" si="13" ref="I846:I909">G846/E846*100</f>
        <v>49.598094072997974</v>
      </c>
    </row>
    <row r="847" spans="1:9" ht="15" customHeight="1">
      <c r="A847" s="73"/>
      <c r="B847" s="18"/>
      <c r="C847" s="20">
        <v>4350</v>
      </c>
      <c r="D847" s="288" t="s">
        <v>655</v>
      </c>
      <c r="E847" s="44">
        <v>5538</v>
      </c>
      <c r="F847" s="95"/>
      <c r="G847" s="44">
        <v>1741.66</v>
      </c>
      <c r="H847" s="95"/>
      <c r="I847" s="359">
        <f t="shared" si="13"/>
        <v>31.449259660527268</v>
      </c>
    </row>
    <row r="848" spans="1:9" ht="40.5" customHeight="1">
      <c r="A848" s="73"/>
      <c r="B848" s="18"/>
      <c r="C848" s="20">
        <v>4360</v>
      </c>
      <c r="D848" s="288" t="s">
        <v>390</v>
      </c>
      <c r="E848" s="44">
        <v>36</v>
      </c>
      <c r="F848" s="95"/>
      <c r="G848" s="44">
        <v>18</v>
      </c>
      <c r="H848" s="95"/>
      <c r="I848" s="359">
        <f t="shared" si="13"/>
        <v>50</v>
      </c>
    </row>
    <row r="849" spans="1:9" ht="41.25" customHeight="1">
      <c r="A849" s="73"/>
      <c r="B849" s="18"/>
      <c r="C849" s="20">
        <v>4370</v>
      </c>
      <c r="D849" s="288" t="s">
        <v>389</v>
      </c>
      <c r="E849" s="44">
        <v>15471</v>
      </c>
      <c r="F849" s="95"/>
      <c r="G849" s="44">
        <v>5802.08</v>
      </c>
      <c r="H849" s="95"/>
      <c r="I849" s="359">
        <f t="shared" si="13"/>
        <v>37.50294098636158</v>
      </c>
    </row>
    <row r="850" spans="1:9" ht="24.75" customHeight="1">
      <c r="A850" s="73"/>
      <c r="B850" s="18"/>
      <c r="C850" s="20">
        <v>4390</v>
      </c>
      <c r="D850" s="350" t="s">
        <v>555</v>
      </c>
      <c r="E850" s="44">
        <f>6893-4000</f>
        <v>2893</v>
      </c>
      <c r="F850" s="95"/>
      <c r="G850" s="44">
        <v>1082.4</v>
      </c>
      <c r="H850" s="95"/>
      <c r="I850" s="359">
        <f t="shared" si="13"/>
        <v>37.41444866920152</v>
      </c>
    </row>
    <row r="851" spans="1:9" ht="15" customHeight="1">
      <c r="A851" s="73"/>
      <c r="B851" s="18"/>
      <c r="C851" s="9">
        <v>4410</v>
      </c>
      <c r="D851" s="288" t="s">
        <v>649</v>
      </c>
      <c r="E851" s="44">
        <v>14238</v>
      </c>
      <c r="F851" s="95"/>
      <c r="G851" s="44">
        <v>6084.94</v>
      </c>
      <c r="H851" s="95"/>
      <c r="I851" s="359">
        <f t="shared" si="13"/>
        <v>42.737322657676636</v>
      </c>
    </row>
    <row r="852" spans="1:9" ht="15" customHeight="1">
      <c r="A852" s="73"/>
      <c r="B852" s="18"/>
      <c r="C852" s="9">
        <v>4420</v>
      </c>
      <c r="D852" s="288" t="s">
        <v>650</v>
      </c>
      <c r="E852" s="44">
        <f>8110-2000</f>
        <v>6110</v>
      </c>
      <c r="F852" s="95"/>
      <c r="G852" s="44">
        <v>109.38</v>
      </c>
      <c r="H852" s="95"/>
      <c r="I852" s="359">
        <f t="shared" si="13"/>
        <v>1.790180032733224</v>
      </c>
    </row>
    <row r="853" spans="1:9" ht="15" customHeight="1">
      <c r="A853" s="73"/>
      <c r="B853" s="18"/>
      <c r="C853" s="9">
        <v>4430</v>
      </c>
      <c r="D853" s="288" t="s">
        <v>433</v>
      </c>
      <c r="E853" s="44">
        <v>11614</v>
      </c>
      <c r="F853" s="95"/>
      <c r="G853" s="44">
        <v>7608.16</v>
      </c>
      <c r="H853" s="95"/>
      <c r="I853" s="359">
        <f t="shared" si="13"/>
        <v>65.50852419493715</v>
      </c>
    </row>
    <row r="854" spans="1:9" ht="23.25" customHeight="1">
      <c r="A854" s="73"/>
      <c r="B854" s="18"/>
      <c r="C854" s="9">
        <v>4440</v>
      </c>
      <c r="D854" s="288" t="s">
        <v>647</v>
      </c>
      <c r="E854" s="44">
        <v>620390</v>
      </c>
      <c r="F854" s="95"/>
      <c r="G854" s="44">
        <v>474960.66</v>
      </c>
      <c r="H854" s="95"/>
      <c r="I854" s="359">
        <f t="shared" si="13"/>
        <v>76.55840036106319</v>
      </c>
    </row>
    <row r="855" spans="1:9" ht="19.5" customHeight="1">
      <c r="A855" s="73"/>
      <c r="B855" s="18"/>
      <c r="C855" s="9">
        <v>4480</v>
      </c>
      <c r="D855" s="288" t="s">
        <v>452</v>
      </c>
      <c r="E855" s="44">
        <v>3172</v>
      </c>
      <c r="F855" s="95"/>
      <c r="G855" s="44">
        <v>1476.7</v>
      </c>
      <c r="H855" s="95"/>
      <c r="I855" s="359">
        <f t="shared" si="13"/>
        <v>46.55422446406053</v>
      </c>
    </row>
    <row r="856" spans="1:9" ht="19.5" customHeight="1">
      <c r="A856" s="73"/>
      <c r="B856" s="18"/>
      <c r="C856" s="9">
        <v>4510</v>
      </c>
      <c r="D856" s="288" t="s">
        <v>166</v>
      </c>
      <c r="E856" s="44">
        <v>1</v>
      </c>
      <c r="F856" s="95"/>
      <c r="G856" s="44">
        <v>1</v>
      </c>
      <c r="H856" s="95"/>
      <c r="I856" s="359">
        <f t="shared" si="13"/>
        <v>100</v>
      </c>
    </row>
    <row r="857" spans="1:9" ht="27.75" customHeight="1">
      <c r="A857" s="73"/>
      <c r="B857" s="18"/>
      <c r="C857" s="9">
        <v>4700</v>
      </c>
      <c r="D857" s="288" t="s">
        <v>420</v>
      </c>
      <c r="E857" s="44">
        <v>5250</v>
      </c>
      <c r="F857" s="95"/>
      <c r="G857" s="44">
        <v>2108.23</v>
      </c>
      <c r="H857" s="95"/>
      <c r="I857" s="359">
        <f t="shared" si="13"/>
        <v>40.15676190476191</v>
      </c>
    </row>
    <row r="858" spans="1:9" ht="27.75" customHeight="1">
      <c r="A858" s="73"/>
      <c r="B858" s="18"/>
      <c r="C858" s="3">
        <v>6050</v>
      </c>
      <c r="D858" s="288" t="s">
        <v>349</v>
      </c>
      <c r="E858" s="44">
        <v>110000</v>
      </c>
      <c r="F858" s="95"/>
      <c r="G858" s="44">
        <v>6150</v>
      </c>
      <c r="H858" s="95"/>
      <c r="I858" s="359">
        <f t="shared" si="13"/>
        <v>5.590909090909091</v>
      </c>
    </row>
    <row r="859" spans="1:9" ht="18" customHeight="1">
      <c r="A859" s="73"/>
      <c r="B859" s="28">
        <v>80123</v>
      </c>
      <c r="C859" s="24"/>
      <c r="D859" s="293" t="s">
        <v>475</v>
      </c>
      <c r="E859" s="41">
        <f>SUM(E860:E884)</f>
        <v>2057189</v>
      </c>
      <c r="F859" s="95"/>
      <c r="G859" s="41">
        <f>SUM(G860:G884)</f>
        <v>999862.72</v>
      </c>
      <c r="H859" s="95"/>
      <c r="I859" s="359">
        <f t="shared" si="13"/>
        <v>48.603347577689746</v>
      </c>
    </row>
    <row r="860" spans="1:9" ht="30.75" customHeight="1">
      <c r="A860" s="76"/>
      <c r="B860" s="34"/>
      <c r="C860" s="9">
        <v>2540</v>
      </c>
      <c r="D860" s="288" t="s">
        <v>423</v>
      </c>
      <c r="E860" s="102">
        <v>175000</v>
      </c>
      <c r="F860" s="95"/>
      <c r="G860" s="102">
        <v>96572.7</v>
      </c>
      <c r="H860" s="95"/>
      <c r="I860" s="359">
        <f t="shared" si="13"/>
        <v>55.1844</v>
      </c>
    </row>
    <row r="861" spans="1:9" ht="24" customHeight="1">
      <c r="A861" s="76"/>
      <c r="B861" s="8"/>
      <c r="C861" s="9">
        <v>3020</v>
      </c>
      <c r="D861" s="288" t="s">
        <v>324</v>
      </c>
      <c r="E861" s="44">
        <v>6424</v>
      </c>
      <c r="F861" s="95"/>
      <c r="G861" s="44">
        <v>397.89</v>
      </c>
      <c r="H861" s="95"/>
      <c r="I861" s="359">
        <f t="shared" si="13"/>
        <v>6.193804483188044</v>
      </c>
    </row>
    <row r="862" spans="1:9" ht="16.5" customHeight="1">
      <c r="A862" s="76"/>
      <c r="B862" s="8"/>
      <c r="C862" s="9">
        <v>4010</v>
      </c>
      <c r="D862" s="288" t="s">
        <v>643</v>
      </c>
      <c r="E862" s="44">
        <v>1257208</v>
      </c>
      <c r="F862" s="95"/>
      <c r="G862" s="44">
        <v>558666.4</v>
      </c>
      <c r="H862" s="95"/>
      <c r="I862" s="359">
        <f t="shared" si="13"/>
        <v>44.4370700790959</v>
      </c>
    </row>
    <row r="863" spans="1:9" ht="15" customHeight="1">
      <c r="A863" s="76"/>
      <c r="B863" s="8"/>
      <c r="C863" s="9">
        <v>4040</v>
      </c>
      <c r="D863" s="288" t="s">
        <v>644</v>
      </c>
      <c r="E863" s="44">
        <v>133460</v>
      </c>
      <c r="F863" s="95"/>
      <c r="G863" s="44">
        <v>116968.51</v>
      </c>
      <c r="H863" s="95"/>
      <c r="I863" s="359">
        <f t="shared" si="13"/>
        <v>87.64312153454217</v>
      </c>
    </row>
    <row r="864" spans="1:9" ht="15" customHeight="1">
      <c r="A864" s="76"/>
      <c r="B864" s="8"/>
      <c r="C864" s="9">
        <v>4110</v>
      </c>
      <c r="D864" s="288" t="s">
        <v>645</v>
      </c>
      <c r="E864" s="44">
        <v>224392</v>
      </c>
      <c r="F864" s="95"/>
      <c r="G864" s="44">
        <v>103476.09</v>
      </c>
      <c r="H864" s="95"/>
      <c r="I864" s="359">
        <f t="shared" si="13"/>
        <v>46.11398356447645</v>
      </c>
    </row>
    <row r="865" spans="1:9" ht="15" customHeight="1">
      <c r="A865" s="76"/>
      <c r="B865" s="8"/>
      <c r="C865" s="9">
        <v>4120</v>
      </c>
      <c r="D865" s="288" t="s">
        <v>646</v>
      </c>
      <c r="E865" s="44">
        <v>39115</v>
      </c>
      <c r="F865" s="95"/>
      <c r="G865" s="44">
        <v>11572.59</v>
      </c>
      <c r="H865" s="95"/>
      <c r="I865" s="359">
        <f t="shared" si="13"/>
        <v>29.586066726319828</v>
      </c>
    </row>
    <row r="866" spans="1:9" ht="27" customHeight="1">
      <c r="A866" s="76"/>
      <c r="B866" s="8"/>
      <c r="C866" s="9">
        <v>4140</v>
      </c>
      <c r="D866" s="288" t="s">
        <v>357</v>
      </c>
      <c r="E866" s="44">
        <v>30</v>
      </c>
      <c r="F866" s="95"/>
      <c r="G866" s="44">
        <v>0</v>
      </c>
      <c r="H866" s="95"/>
      <c r="I866" s="359"/>
    </row>
    <row r="867" spans="1:9" ht="15" customHeight="1">
      <c r="A867" s="76"/>
      <c r="B867" s="8"/>
      <c r="C867" s="9">
        <v>4170</v>
      </c>
      <c r="D867" s="288" t="s">
        <v>652</v>
      </c>
      <c r="E867" s="44">
        <v>5723</v>
      </c>
      <c r="F867" s="95"/>
      <c r="G867" s="44">
        <v>2520.38</v>
      </c>
      <c r="H867" s="95"/>
      <c r="I867" s="359">
        <f t="shared" si="13"/>
        <v>44.03948977808842</v>
      </c>
    </row>
    <row r="868" spans="1:9" ht="15" customHeight="1">
      <c r="A868" s="76"/>
      <c r="B868" s="8"/>
      <c r="C868" s="9">
        <v>4210</v>
      </c>
      <c r="D868" s="288" t="s">
        <v>602</v>
      </c>
      <c r="E868" s="44">
        <v>25091</v>
      </c>
      <c r="F868" s="95"/>
      <c r="G868" s="44">
        <v>5329.29</v>
      </c>
      <c r="H868" s="95"/>
      <c r="I868" s="359">
        <f t="shared" si="13"/>
        <v>21.239846957076242</v>
      </c>
    </row>
    <row r="869" spans="1:9" ht="21.75" customHeight="1">
      <c r="A869" s="76"/>
      <c r="B869" s="8"/>
      <c r="C869" s="9">
        <v>4240</v>
      </c>
      <c r="D869" s="288" t="s">
        <v>358</v>
      </c>
      <c r="E869" s="44">
        <v>3572</v>
      </c>
      <c r="F869" s="95"/>
      <c r="G869" s="44">
        <v>422.09</v>
      </c>
      <c r="H869" s="95"/>
      <c r="I869" s="359">
        <f t="shared" si="13"/>
        <v>11.816629339305711</v>
      </c>
    </row>
    <row r="870" spans="1:9" ht="15" customHeight="1">
      <c r="A870" s="76"/>
      <c r="B870" s="8"/>
      <c r="C870" s="9">
        <v>4260</v>
      </c>
      <c r="D870" s="288" t="s">
        <v>660</v>
      </c>
      <c r="E870" s="44">
        <v>51887</v>
      </c>
      <c r="F870" s="95"/>
      <c r="G870" s="44">
        <v>25667.78</v>
      </c>
      <c r="H870" s="95"/>
      <c r="I870" s="359">
        <f t="shared" si="13"/>
        <v>49.4686144891784</v>
      </c>
    </row>
    <row r="871" spans="1:9" ht="15" customHeight="1">
      <c r="A871" s="76"/>
      <c r="B871" s="8"/>
      <c r="C871" s="9">
        <v>4270</v>
      </c>
      <c r="D871" s="288" t="s">
        <v>603</v>
      </c>
      <c r="E871" s="44">
        <v>6345</v>
      </c>
      <c r="F871" s="95"/>
      <c r="G871" s="44">
        <v>1360.25</v>
      </c>
      <c r="H871" s="95"/>
      <c r="I871" s="359">
        <f t="shared" si="13"/>
        <v>21.4381402679275</v>
      </c>
    </row>
    <row r="872" spans="1:9" ht="15" customHeight="1">
      <c r="A872" s="76"/>
      <c r="B872" s="8"/>
      <c r="C872" s="9">
        <v>4280</v>
      </c>
      <c r="D872" s="288" t="s">
        <v>326</v>
      </c>
      <c r="E872" s="44">
        <v>1341</v>
      </c>
      <c r="F872" s="95"/>
      <c r="G872" s="44">
        <v>167.39</v>
      </c>
      <c r="H872" s="95"/>
      <c r="I872" s="359">
        <f t="shared" si="13"/>
        <v>12.482475764354959</v>
      </c>
    </row>
    <row r="873" spans="1:9" ht="15" customHeight="1">
      <c r="A873" s="76"/>
      <c r="B873" s="8"/>
      <c r="C873" s="9">
        <v>4300</v>
      </c>
      <c r="D873" s="288" t="s">
        <v>599</v>
      </c>
      <c r="E873" s="44">
        <v>52625</v>
      </c>
      <c r="F873" s="95"/>
      <c r="G873" s="44">
        <v>19458.52</v>
      </c>
      <c r="H873" s="95"/>
      <c r="I873" s="359">
        <f t="shared" si="13"/>
        <v>36.975809976247035</v>
      </c>
    </row>
    <row r="874" spans="1:9" ht="15" customHeight="1">
      <c r="A874" s="76"/>
      <c r="B874" s="8"/>
      <c r="C874" s="20">
        <v>4350</v>
      </c>
      <c r="D874" s="288" t="s">
        <v>655</v>
      </c>
      <c r="E874" s="44">
        <v>719</v>
      </c>
      <c r="F874" s="95"/>
      <c r="G874" s="44">
        <v>108.09</v>
      </c>
      <c r="H874" s="95"/>
      <c r="I874" s="359">
        <f t="shared" si="13"/>
        <v>15.033379694019471</v>
      </c>
    </row>
    <row r="875" spans="1:9" ht="41.25" customHeight="1">
      <c r="A875" s="76"/>
      <c r="B875" s="8"/>
      <c r="C875" s="20">
        <v>4360</v>
      </c>
      <c r="D875" s="288" t="s">
        <v>390</v>
      </c>
      <c r="E875" s="44">
        <v>18</v>
      </c>
      <c r="F875" s="95"/>
      <c r="G875" s="44">
        <v>9</v>
      </c>
      <c r="H875" s="95"/>
      <c r="I875" s="359">
        <f t="shared" si="13"/>
        <v>50</v>
      </c>
    </row>
    <row r="876" spans="1:9" ht="40.5" customHeight="1">
      <c r="A876" s="76"/>
      <c r="B876" s="8"/>
      <c r="C876" s="20">
        <v>4370</v>
      </c>
      <c r="D876" s="288" t="s">
        <v>389</v>
      </c>
      <c r="E876" s="44">
        <v>2265</v>
      </c>
      <c r="F876" s="95"/>
      <c r="G876" s="44">
        <v>748.47</v>
      </c>
      <c r="H876" s="95"/>
      <c r="I876" s="359">
        <f t="shared" si="13"/>
        <v>33.045033112582786</v>
      </c>
    </row>
    <row r="877" spans="1:9" ht="24.75" customHeight="1">
      <c r="A877" s="76"/>
      <c r="B877" s="8"/>
      <c r="C877" s="20">
        <v>4390</v>
      </c>
      <c r="D877" s="350" t="s">
        <v>555</v>
      </c>
      <c r="E877" s="44">
        <v>1731</v>
      </c>
      <c r="F877" s="95"/>
      <c r="G877" s="44">
        <v>73.8</v>
      </c>
      <c r="H877" s="95"/>
      <c r="I877" s="359">
        <f t="shared" si="13"/>
        <v>4.263431542461005</v>
      </c>
    </row>
    <row r="878" spans="1:9" ht="15" customHeight="1">
      <c r="A878" s="76"/>
      <c r="B878" s="8"/>
      <c r="C878" s="9">
        <v>4410</v>
      </c>
      <c r="D878" s="288" t="s">
        <v>649</v>
      </c>
      <c r="E878" s="44">
        <v>5303</v>
      </c>
      <c r="F878" s="95"/>
      <c r="G878" s="44">
        <v>3746.4</v>
      </c>
      <c r="H878" s="95"/>
      <c r="I878" s="359">
        <f t="shared" si="13"/>
        <v>70.64680369602112</v>
      </c>
    </row>
    <row r="879" spans="1:9" ht="15" customHeight="1">
      <c r="A879" s="76"/>
      <c r="B879" s="8"/>
      <c r="C879" s="9">
        <v>4420</v>
      </c>
      <c r="D879" s="288" t="s">
        <v>650</v>
      </c>
      <c r="E879" s="44">
        <v>105</v>
      </c>
      <c r="F879" s="95"/>
      <c r="G879" s="44">
        <v>54.69</v>
      </c>
      <c r="H879" s="95"/>
      <c r="I879" s="359">
        <f t="shared" si="13"/>
        <v>52.08571428571428</v>
      </c>
    </row>
    <row r="880" spans="1:9" ht="15" customHeight="1">
      <c r="A880" s="76"/>
      <c r="B880" s="8"/>
      <c r="C880" s="9">
        <v>4430</v>
      </c>
      <c r="D880" s="288" t="s">
        <v>433</v>
      </c>
      <c r="E880" s="44">
        <v>1896</v>
      </c>
      <c r="F880" s="95"/>
      <c r="G880" s="44">
        <v>952.61</v>
      </c>
      <c r="H880" s="95"/>
      <c r="I880" s="359">
        <f t="shared" si="13"/>
        <v>50.243143459915615</v>
      </c>
    </row>
    <row r="881" spans="1:9" ht="25.5" customHeight="1">
      <c r="A881" s="76"/>
      <c r="B881" s="8"/>
      <c r="C881" s="9">
        <v>4440</v>
      </c>
      <c r="D881" s="288" t="s">
        <v>647</v>
      </c>
      <c r="E881" s="44">
        <v>62100</v>
      </c>
      <c r="F881" s="95"/>
      <c r="G881" s="44">
        <v>51125.64</v>
      </c>
      <c r="H881" s="95"/>
      <c r="I881" s="359">
        <f t="shared" si="13"/>
        <v>82.32792270531401</v>
      </c>
    </row>
    <row r="882" spans="1:9" ht="15.75" customHeight="1">
      <c r="A882" s="76"/>
      <c r="B882" s="8"/>
      <c r="C882" s="9">
        <v>4480</v>
      </c>
      <c r="D882" s="288" t="s">
        <v>452</v>
      </c>
      <c r="E882" s="44">
        <v>86</v>
      </c>
      <c r="F882" s="95"/>
      <c r="G882" s="44">
        <v>85.85</v>
      </c>
      <c r="H882" s="95"/>
      <c r="I882" s="359">
        <f t="shared" si="13"/>
        <v>99.82558139534883</v>
      </c>
    </row>
    <row r="883" spans="1:9" ht="15.75" customHeight="1">
      <c r="A883" s="76"/>
      <c r="B883" s="8"/>
      <c r="C883" s="9">
        <v>4510</v>
      </c>
      <c r="D883" s="288" t="s">
        <v>166</v>
      </c>
      <c r="E883" s="44">
        <v>1</v>
      </c>
      <c r="F883" s="95"/>
      <c r="G883" s="44">
        <v>1</v>
      </c>
      <c r="H883" s="95"/>
      <c r="I883" s="359">
        <f t="shared" si="13"/>
        <v>100</v>
      </c>
    </row>
    <row r="884" spans="1:9" ht="24.75" customHeight="1">
      <c r="A884" s="76"/>
      <c r="B884" s="8"/>
      <c r="C884" s="9">
        <v>4700</v>
      </c>
      <c r="D884" s="288" t="s">
        <v>420</v>
      </c>
      <c r="E884" s="44">
        <v>752</v>
      </c>
      <c r="F884" s="95"/>
      <c r="G884" s="44">
        <v>377.29</v>
      </c>
      <c r="H884" s="95"/>
      <c r="I884" s="359">
        <f t="shared" si="13"/>
        <v>50.17154255319149</v>
      </c>
    </row>
    <row r="885" spans="1:9" ht="24" customHeight="1">
      <c r="A885" s="73"/>
      <c r="B885" s="25">
        <v>80130</v>
      </c>
      <c r="C885" s="24"/>
      <c r="D885" s="293" t="s">
        <v>418</v>
      </c>
      <c r="E885" s="41">
        <f>SUM(E886:E910)</f>
        <v>29116518</v>
      </c>
      <c r="F885" s="95"/>
      <c r="G885" s="41">
        <f>SUM(G886:G910)</f>
        <v>14679746.919999998</v>
      </c>
      <c r="H885" s="95"/>
      <c r="I885" s="359">
        <f t="shared" si="13"/>
        <v>50.41724741948882</v>
      </c>
    </row>
    <row r="886" spans="1:9" ht="29.25" customHeight="1">
      <c r="A886" s="73"/>
      <c r="B886" s="28"/>
      <c r="C886" s="9">
        <v>2540</v>
      </c>
      <c r="D886" s="288" t="s">
        <v>328</v>
      </c>
      <c r="E886" s="102">
        <v>4653118</v>
      </c>
      <c r="F886" s="95"/>
      <c r="G886" s="102">
        <v>1490614.65</v>
      </c>
      <c r="H886" s="95"/>
      <c r="I886" s="359">
        <f t="shared" si="13"/>
        <v>32.03474852776138</v>
      </c>
    </row>
    <row r="887" spans="1:9" ht="25.5" customHeight="1">
      <c r="A887" s="73"/>
      <c r="B887" s="18"/>
      <c r="C887" s="9">
        <v>3020</v>
      </c>
      <c r="D887" s="288" t="s">
        <v>324</v>
      </c>
      <c r="E887" s="44">
        <v>88653</v>
      </c>
      <c r="F887" s="95"/>
      <c r="G887" s="44">
        <v>18473.2</v>
      </c>
      <c r="H887" s="95"/>
      <c r="I887" s="359">
        <f t="shared" si="13"/>
        <v>20.837647908136216</v>
      </c>
    </row>
    <row r="888" spans="1:9" ht="16.5" customHeight="1">
      <c r="A888" s="73"/>
      <c r="B888" s="18"/>
      <c r="C888" s="9">
        <v>4010</v>
      </c>
      <c r="D888" s="288" t="s">
        <v>643</v>
      </c>
      <c r="E888" s="44">
        <f>16801493+240000</f>
        <v>17041493</v>
      </c>
      <c r="F888" s="95"/>
      <c r="G888" s="44">
        <v>8386385.96</v>
      </c>
      <c r="H888" s="95"/>
      <c r="I888" s="359">
        <f t="shared" si="13"/>
        <v>49.21156825872006</v>
      </c>
    </row>
    <row r="889" spans="1:9" ht="15" customHeight="1">
      <c r="A889" s="73"/>
      <c r="B889" s="18"/>
      <c r="C889" s="9">
        <v>4040</v>
      </c>
      <c r="D889" s="288" t="s">
        <v>644</v>
      </c>
      <c r="E889" s="44">
        <v>1508572</v>
      </c>
      <c r="F889" s="95"/>
      <c r="G889" s="44">
        <v>1449107.4</v>
      </c>
      <c r="H889" s="95"/>
      <c r="I889" s="359">
        <f t="shared" si="13"/>
        <v>96.05821929612904</v>
      </c>
    </row>
    <row r="890" spans="1:9" ht="15" customHeight="1">
      <c r="A890" s="73"/>
      <c r="B890" s="18"/>
      <c r="C890" s="9">
        <v>4110</v>
      </c>
      <c r="D890" s="288" t="s">
        <v>645</v>
      </c>
      <c r="E890" s="44">
        <f>2776570+40000</f>
        <v>2816570</v>
      </c>
      <c r="F890" s="95"/>
      <c r="G890" s="44">
        <v>1518811.13</v>
      </c>
      <c r="H890" s="95"/>
      <c r="I890" s="359">
        <f t="shared" si="13"/>
        <v>53.92413928998746</v>
      </c>
    </row>
    <row r="891" spans="1:9" ht="15" customHeight="1">
      <c r="A891" s="73"/>
      <c r="B891" s="18"/>
      <c r="C891" s="9">
        <v>4120</v>
      </c>
      <c r="D891" s="288" t="s">
        <v>646</v>
      </c>
      <c r="E891" s="44">
        <f>405603+7500</f>
        <v>413103</v>
      </c>
      <c r="F891" s="95"/>
      <c r="G891" s="44">
        <v>172677.4</v>
      </c>
      <c r="H891" s="95"/>
      <c r="I891" s="359">
        <f t="shared" si="13"/>
        <v>41.80008375635132</v>
      </c>
    </row>
    <row r="892" spans="1:9" ht="26.25" customHeight="1">
      <c r="A892" s="73"/>
      <c r="B892" s="18"/>
      <c r="C892" s="9">
        <v>4140</v>
      </c>
      <c r="D892" s="288" t="s">
        <v>357</v>
      </c>
      <c r="E892" s="44">
        <v>9504</v>
      </c>
      <c r="F892" s="95"/>
      <c r="G892" s="44">
        <v>0</v>
      </c>
      <c r="H892" s="95"/>
      <c r="I892" s="359"/>
    </row>
    <row r="893" spans="1:9" ht="15" customHeight="1">
      <c r="A893" s="73"/>
      <c r="B893" s="18"/>
      <c r="C893" s="3">
        <v>4170</v>
      </c>
      <c r="D893" s="288" t="s">
        <v>652</v>
      </c>
      <c r="E893" s="44">
        <v>53747</v>
      </c>
      <c r="F893" s="95"/>
      <c r="G893" s="44">
        <v>32405.93</v>
      </c>
      <c r="H893" s="95"/>
      <c r="I893" s="359">
        <f t="shared" si="13"/>
        <v>60.29346754237446</v>
      </c>
    </row>
    <row r="894" spans="1:9" ht="15" customHeight="1">
      <c r="A894" s="73"/>
      <c r="B894" s="18"/>
      <c r="C894" s="9">
        <v>4210</v>
      </c>
      <c r="D894" s="288" t="s">
        <v>602</v>
      </c>
      <c r="E894" s="44">
        <v>257550</v>
      </c>
      <c r="F894" s="95"/>
      <c r="G894" s="44">
        <v>103624.67</v>
      </c>
      <c r="H894" s="95"/>
      <c r="I894" s="359">
        <f t="shared" si="13"/>
        <v>40.23477771306542</v>
      </c>
    </row>
    <row r="895" spans="1:9" ht="22.5" customHeight="1">
      <c r="A895" s="73"/>
      <c r="B895" s="18"/>
      <c r="C895" s="9">
        <v>4240</v>
      </c>
      <c r="D895" s="288" t="s">
        <v>358</v>
      </c>
      <c r="E895" s="44">
        <v>57152</v>
      </c>
      <c r="F895" s="95"/>
      <c r="G895" s="44">
        <v>24410.53</v>
      </c>
      <c r="H895" s="95"/>
      <c r="I895" s="359">
        <f t="shared" si="13"/>
        <v>42.71159364501679</v>
      </c>
    </row>
    <row r="896" spans="1:9" ht="15" customHeight="1">
      <c r="A896" s="73"/>
      <c r="B896" s="18"/>
      <c r="C896" s="9">
        <v>4260</v>
      </c>
      <c r="D896" s="288" t="s">
        <v>660</v>
      </c>
      <c r="E896" s="44">
        <v>740892</v>
      </c>
      <c r="F896" s="95"/>
      <c r="G896" s="44">
        <v>488557.08</v>
      </c>
      <c r="H896" s="95"/>
      <c r="I896" s="359">
        <f t="shared" si="13"/>
        <v>65.9417404965906</v>
      </c>
    </row>
    <row r="897" spans="1:9" ht="15" customHeight="1">
      <c r="A897" s="73"/>
      <c r="B897" s="18"/>
      <c r="C897" s="9">
        <v>4270</v>
      </c>
      <c r="D897" s="288" t="s">
        <v>603</v>
      </c>
      <c r="E897" s="44">
        <v>124600</v>
      </c>
      <c r="F897" s="95"/>
      <c r="G897" s="44">
        <v>22220.67</v>
      </c>
      <c r="H897" s="95"/>
      <c r="I897" s="359">
        <f t="shared" si="13"/>
        <v>17.83360353130016</v>
      </c>
    </row>
    <row r="898" spans="1:9" ht="15" customHeight="1">
      <c r="A898" s="73"/>
      <c r="B898" s="18"/>
      <c r="C898" s="9">
        <v>4280</v>
      </c>
      <c r="D898" s="288" t="s">
        <v>326</v>
      </c>
      <c r="E898" s="44">
        <v>18990</v>
      </c>
      <c r="F898" s="95"/>
      <c r="G898" s="44">
        <v>2372.48</v>
      </c>
      <c r="H898" s="95"/>
      <c r="I898" s="359">
        <f t="shared" si="13"/>
        <v>12.493312269615588</v>
      </c>
    </row>
    <row r="899" spans="1:9" ht="15" customHeight="1">
      <c r="A899" s="73"/>
      <c r="B899" s="18"/>
      <c r="C899" s="9">
        <v>4300</v>
      </c>
      <c r="D899" s="288" t="s">
        <v>599</v>
      </c>
      <c r="E899" s="44">
        <v>206647</v>
      </c>
      <c r="F899" s="95"/>
      <c r="G899" s="44">
        <v>115638.51</v>
      </c>
      <c r="H899" s="95"/>
      <c r="I899" s="359">
        <f t="shared" si="13"/>
        <v>55.95944291472898</v>
      </c>
    </row>
    <row r="900" spans="1:9" ht="15" customHeight="1">
      <c r="A900" s="73"/>
      <c r="B900" s="18"/>
      <c r="C900" s="20">
        <v>4350</v>
      </c>
      <c r="D900" s="288" t="s">
        <v>655</v>
      </c>
      <c r="E900" s="44">
        <v>13020</v>
      </c>
      <c r="F900" s="95"/>
      <c r="G900" s="44">
        <v>5563.35</v>
      </c>
      <c r="H900" s="95"/>
      <c r="I900" s="359">
        <f t="shared" si="13"/>
        <v>42.72926267281106</v>
      </c>
    </row>
    <row r="901" spans="1:9" ht="39" customHeight="1">
      <c r="A901" s="73"/>
      <c r="B901" s="18"/>
      <c r="C901" s="20">
        <v>4360</v>
      </c>
      <c r="D901" s="288" t="s">
        <v>390</v>
      </c>
      <c r="E901" s="44">
        <v>1112</v>
      </c>
      <c r="F901" s="95"/>
      <c r="G901" s="44">
        <v>602.2</v>
      </c>
      <c r="H901" s="95"/>
      <c r="I901" s="359">
        <f t="shared" si="13"/>
        <v>54.15467625899281</v>
      </c>
    </row>
    <row r="902" spans="1:9" ht="37.5" customHeight="1">
      <c r="A902" s="73"/>
      <c r="B902" s="18"/>
      <c r="C902" s="20">
        <v>4370</v>
      </c>
      <c r="D902" s="288" t="s">
        <v>389</v>
      </c>
      <c r="E902" s="44">
        <v>26433</v>
      </c>
      <c r="F902" s="95"/>
      <c r="G902" s="44">
        <v>9521.39</v>
      </c>
      <c r="H902" s="95"/>
      <c r="I902" s="359">
        <f t="shared" si="13"/>
        <v>36.02084515567661</v>
      </c>
    </row>
    <row r="903" spans="1:9" ht="28.5" customHeight="1">
      <c r="A903" s="73"/>
      <c r="B903" s="18"/>
      <c r="C903" s="20">
        <v>4390</v>
      </c>
      <c r="D903" s="350" t="s">
        <v>555</v>
      </c>
      <c r="E903" s="44">
        <f>14272-10000</f>
        <v>4272</v>
      </c>
      <c r="F903" s="95"/>
      <c r="G903" s="44">
        <v>1795.8</v>
      </c>
      <c r="H903" s="95"/>
      <c r="I903" s="359">
        <f t="shared" si="13"/>
        <v>42.03651685393258</v>
      </c>
    </row>
    <row r="904" spans="1:9" ht="15" customHeight="1">
      <c r="A904" s="73"/>
      <c r="B904" s="18"/>
      <c r="C904" s="9">
        <v>4410</v>
      </c>
      <c r="D904" s="288" t="s">
        <v>649</v>
      </c>
      <c r="E904" s="44">
        <v>12532</v>
      </c>
      <c r="F904" s="95"/>
      <c r="G904" s="44">
        <v>9644.29</v>
      </c>
      <c r="H904" s="95"/>
      <c r="I904" s="359">
        <f t="shared" si="13"/>
        <v>76.95730928822215</v>
      </c>
    </row>
    <row r="905" spans="1:9" ht="15" customHeight="1">
      <c r="A905" s="73"/>
      <c r="B905" s="18"/>
      <c r="C905" s="9">
        <v>4420</v>
      </c>
      <c r="D905" s="288" t="s">
        <v>650</v>
      </c>
      <c r="E905" s="44">
        <v>2724</v>
      </c>
      <c r="F905" s="95"/>
      <c r="G905" s="44">
        <v>918.75</v>
      </c>
      <c r="H905" s="95"/>
      <c r="I905" s="359">
        <f t="shared" si="13"/>
        <v>33.72797356828194</v>
      </c>
    </row>
    <row r="906" spans="1:9" ht="15" customHeight="1">
      <c r="A906" s="73"/>
      <c r="B906" s="18"/>
      <c r="C906" s="9">
        <v>4430</v>
      </c>
      <c r="D906" s="288" t="s">
        <v>433</v>
      </c>
      <c r="E906" s="44">
        <v>16172</v>
      </c>
      <c r="F906" s="95"/>
      <c r="G906" s="44">
        <v>12854.55</v>
      </c>
      <c r="H906" s="95"/>
      <c r="I906" s="359">
        <f t="shared" si="13"/>
        <v>79.48645807568637</v>
      </c>
    </row>
    <row r="907" spans="1:9" ht="24.75" customHeight="1">
      <c r="A907" s="73"/>
      <c r="B907" s="18"/>
      <c r="C907" s="9">
        <v>4440</v>
      </c>
      <c r="D907" s="288" t="s">
        <v>647</v>
      </c>
      <c r="E907" s="44">
        <v>1038792</v>
      </c>
      <c r="F907" s="95"/>
      <c r="G907" s="44">
        <v>806588.92</v>
      </c>
      <c r="H907" s="95"/>
      <c r="I907" s="359">
        <f t="shared" si="13"/>
        <v>77.64681668707499</v>
      </c>
    </row>
    <row r="908" spans="1:9" ht="17.25" customHeight="1">
      <c r="A908" s="73"/>
      <c r="B908" s="18"/>
      <c r="C908" s="9">
        <v>4480</v>
      </c>
      <c r="D908" s="288" t="s">
        <v>452</v>
      </c>
      <c r="E908" s="44">
        <v>2725</v>
      </c>
      <c r="F908" s="95"/>
      <c r="G908" s="44">
        <v>2318.28</v>
      </c>
      <c r="H908" s="95"/>
      <c r="I908" s="359">
        <f t="shared" si="13"/>
        <v>85.07449541284404</v>
      </c>
    </row>
    <row r="909" spans="1:9" ht="17.25" customHeight="1">
      <c r="A909" s="73"/>
      <c r="B909" s="18"/>
      <c r="C909" s="9">
        <v>4510</v>
      </c>
      <c r="D909" s="288" t="s">
        <v>166</v>
      </c>
      <c r="E909" s="44">
        <v>10</v>
      </c>
      <c r="F909" s="95"/>
      <c r="G909" s="44">
        <v>10</v>
      </c>
      <c r="H909" s="95"/>
      <c r="I909" s="359">
        <f t="shared" si="13"/>
        <v>100</v>
      </c>
    </row>
    <row r="910" spans="1:9" ht="27" customHeight="1">
      <c r="A910" s="73"/>
      <c r="B910" s="18"/>
      <c r="C910" s="3">
        <v>4700</v>
      </c>
      <c r="D910" s="288" t="s">
        <v>420</v>
      </c>
      <c r="E910" s="44">
        <v>8135</v>
      </c>
      <c r="F910" s="95"/>
      <c r="G910" s="44">
        <v>4629.78</v>
      </c>
      <c r="H910" s="95"/>
      <c r="I910" s="359">
        <f aca="true" t="shared" si="14" ref="I910:I973">G910/E910*100</f>
        <v>56.91186232329441</v>
      </c>
    </row>
    <row r="911" spans="1:9" ht="22.5" customHeight="1">
      <c r="A911" s="73"/>
      <c r="B911" s="3">
        <v>80132</v>
      </c>
      <c r="C911" s="9"/>
      <c r="D911" s="288" t="s">
        <v>397</v>
      </c>
      <c r="E911" s="44">
        <f>E912</f>
        <v>31000</v>
      </c>
      <c r="F911" s="95"/>
      <c r="G911" s="44">
        <f>G912</f>
        <v>19100</v>
      </c>
      <c r="H911" s="95"/>
      <c r="I911" s="359">
        <f t="shared" si="14"/>
        <v>61.61290322580645</v>
      </c>
    </row>
    <row r="912" spans="1:9" ht="19.5" customHeight="1">
      <c r="A912" s="73"/>
      <c r="B912" s="18"/>
      <c r="C912" s="9">
        <v>4300</v>
      </c>
      <c r="D912" s="288" t="s">
        <v>599</v>
      </c>
      <c r="E912" s="44">
        <v>31000</v>
      </c>
      <c r="F912" s="95"/>
      <c r="G912" s="44">
        <v>19100</v>
      </c>
      <c r="H912" s="95"/>
      <c r="I912" s="359">
        <f t="shared" si="14"/>
        <v>61.61290322580645</v>
      </c>
    </row>
    <row r="913" spans="1:9" ht="25.5" customHeight="1">
      <c r="A913" s="73"/>
      <c r="B913" s="24">
        <v>80134</v>
      </c>
      <c r="C913" s="24"/>
      <c r="D913" s="293" t="s">
        <v>476</v>
      </c>
      <c r="E913" s="41">
        <f>SUM(E914:E928)</f>
        <v>1219502</v>
      </c>
      <c r="F913" s="95"/>
      <c r="G913" s="41">
        <f>SUM(G914:G928)</f>
        <v>634954.7</v>
      </c>
      <c r="H913" s="95"/>
      <c r="I913" s="359">
        <f t="shared" si="14"/>
        <v>52.06672067778486</v>
      </c>
    </row>
    <row r="914" spans="1:9" ht="28.5" customHeight="1">
      <c r="A914" s="73"/>
      <c r="B914" s="16"/>
      <c r="C914" s="9">
        <v>3020</v>
      </c>
      <c r="D914" s="288" t="s">
        <v>324</v>
      </c>
      <c r="E914" s="102">
        <v>2500</v>
      </c>
      <c r="F914" s="95"/>
      <c r="G914" s="102">
        <v>1250</v>
      </c>
      <c r="H914" s="95"/>
      <c r="I914" s="359">
        <f t="shared" si="14"/>
        <v>50</v>
      </c>
    </row>
    <row r="915" spans="1:9" ht="19.5" customHeight="1">
      <c r="A915" s="73"/>
      <c r="B915" s="18"/>
      <c r="C915" s="9">
        <v>4010</v>
      </c>
      <c r="D915" s="288" t="s">
        <v>643</v>
      </c>
      <c r="E915" s="44">
        <v>862306</v>
      </c>
      <c r="F915" s="95"/>
      <c r="G915" s="44">
        <v>407333.96</v>
      </c>
      <c r="H915" s="95"/>
      <c r="I915" s="359">
        <f t="shared" si="14"/>
        <v>47.23775086802134</v>
      </c>
    </row>
    <row r="916" spans="1:9" ht="15" customHeight="1">
      <c r="A916" s="73"/>
      <c r="B916" s="18"/>
      <c r="C916" s="9">
        <v>4040</v>
      </c>
      <c r="D916" s="288" t="s">
        <v>644</v>
      </c>
      <c r="E916" s="44">
        <v>71175</v>
      </c>
      <c r="F916" s="95"/>
      <c r="G916" s="44">
        <v>71174.67</v>
      </c>
      <c r="H916" s="95"/>
      <c r="I916" s="359">
        <f t="shared" si="14"/>
        <v>99.9995363540569</v>
      </c>
    </row>
    <row r="917" spans="1:9" ht="15" customHeight="1">
      <c r="A917" s="73"/>
      <c r="B917" s="18"/>
      <c r="C917" s="9">
        <v>4110</v>
      </c>
      <c r="D917" s="288" t="s">
        <v>645</v>
      </c>
      <c r="E917" s="44">
        <v>144726</v>
      </c>
      <c r="F917" s="95"/>
      <c r="G917" s="44">
        <v>77632.57</v>
      </c>
      <c r="H917" s="95"/>
      <c r="I917" s="359">
        <f t="shared" si="14"/>
        <v>53.6410665671683</v>
      </c>
    </row>
    <row r="918" spans="1:9" ht="15" customHeight="1">
      <c r="A918" s="73"/>
      <c r="B918" s="18"/>
      <c r="C918" s="9">
        <v>4120</v>
      </c>
      <c r="D918" s="288" t="s">
        <v>646</v>
      </c>
      <c r="E918" s="44">
        <v>23410</v>
      </c>
      <c r="F918" s="95"/>
      <c r="G918" s="44">
        <v>10060.21</v>
      </c>
      <c r="H918" s="95"/>
      <c r="I918" s="359">
        <f t="shared" si="14"/>
        <v>42.97398547629218</v>
      </c>
    </row>
    <row r="919" spans="1:9" ht="15" customHeight="1">
      <c r="A919" s="73"/>
      <c r="B919" s="18"/>
      <c r="C919" s="9">
        <v>4210</v>
      </c>
      <c r="D919" s="288" t="s">
        <v>602</v>
      </c>
      <c r="E919" s="44">
        <v>5280</v>
      </c>
      <c r="F919" s="95"/>
      <c r="G919" s="44">
        <v>2833.33</v>
      </c>
      <c r="H919" s="95"/>
      <c r="I919" s="359">
        <f t="shared" si="14"/>
        <v>53.66155303030303</v>
      </c>
    </row>
    <row r="920" spans="1:9" ht="23.25" customHeight="1">
      <c r="A920" s="73"/>
      <c r="B920" s="18"/>
      <c r="C920" s="9">
        <v>4240</v>
      </c>
      <c r="D920" s="288" t="s">
        <v>358</v>
      </c>
      <c r="E920" s="44">
        <v>235</v>
      </c>
      <c r="F920" s="95"/>
      <c r="G920" s="44">
        <v>0</v>
      </c>
      <c r="H920" s="95"/>
      <c r="I920" s="359"/>
    </row>
    <row r="921" spans="1:9" ht="15" customHeight="1">
      <c r="A921" s="73"/>
      <c r="B921" s="18"/>
      <c r="C921" s="9">
        <v>4260</v>
      </c>
      <c r="D921" s="288" t="s">
        <v>660</v>
      </c>
      <c r="E921" s="44">
        <v>45820</v>
      </c>
      <c r="F921" s="95"/>
      <c r="G921" s="44">
        <v>24160</v>
      </c>
      <c r="H921" s="95"/>
      <c r="I921" s="359">
        <f t="shared" si="14"/>
        <v>52.72806634657354</v>
      </c>
    </row>
    <row r="922" spans="1:9" ht="15" customHeight="1">
      <c r="A922" s="73"/>
      <c r="B922" s="18"/>
      <c r="C922" s="9">
        <v>4270</v>
      </c>
      <c r="D922" s="288" t="s">
        <v>603</v>
      </c>
      <c r="E922" s="44">
        <v>6480</v>
      </c>
      <c r="F922" s="95"/>
      <c r="G922" s="44">
        <v>2753.91</v>
      </c>
      <c r="H922" s="95"/>
      <c r="I922" s="359">
        <f t="shared" si="14"/>
        <v>42.4986111111111</v>
      </c>
    </row>
    <row r="923" spans="1:9" ht="15" customHeight="1">
      <c r="A923" s="73"/>
      <c r="B923" s="18"/>
      <c r="C923" s="9">
        <v>4280</v>
      </c>
      <c r="D923" s="288" t="s">
        <v>326</v>
      </c>
      <c r="E923" s="44">
        <v>460</v>
      </c>
      <c r="F923" s="95"/>
      <c r="G923" s="44">
        <v>258</v>
      </c>
      <c r="H923" s="95"/>
      <c r="I923" s="359">
        <f t="shared" si="14"/>
        <v>56.086956521739125</v>
      </c>
    </row>
    <row r="924" spans="1:9" ht="15" customHeight="1">
      <c r="A924" s="73"/>
      <c r="B924" s="18"/>
      <c r="C924" s="9">
        <v>4300</v>
      </c>
      <c r="D924" s="288" t="s">
        <v>599</v>
      </c>
      <c r="E924" s="44">
        <v>10570</v>
      </c>
      <c r="F924" s="95"/>
      <c r="G924" s="44">
        <v>3430.05</v>
      </c>
      <c r="H924" s="95"/>
      <c r="I924" s="359">
        <f t="shared" si="14"/>
        <v>32.450804162724694</v>
      </c>
    </row>
    <row r="925" spans="1:9" ht="37.5" customHeight="1">
      <c r="A925" s="73"/>
      <c r="B925" s="18"/>
      <c r="C925" s="20">
        <v>4370</v>
      </c>
      <c r="D925" s="288" t="s">
        <v>389</v>
      </c>
      <c r="E925" s="44">
        <v>770</v>
      </c>
      <c r="F925" s="95"/>
      <c r="G925" s="44">
        <v>353</v>
      </c>
      <c r="H925" s="95"/>
      <c r="I925" s="359">
        <f t="shared" si="14"/>
        <v>45.84415584415584</v>
      </c>
    </row>
    <row r="926" spans="1:9" ht="15" customHeight="1">
      <c r="A926" s="73"/>
      <c r="B926" s="18"/>
      <c r="C926" s="9">
        <v>4430</v>
      </c>
      <c r="D926" s="288" t="s">
        <v>433</v>
      </c>
      <c r="E926" s="44">
        <v>920</v>
      </c>
      <c r="F926" s="95"/>
      <c r="G926" s="44">
        <v>460</v>
      </c>
      <c r="H926" s="95"/>
      <c r="I926" s="359">
        <f t="shared" si="14"/>
        <v>50</v>
      </c>
    </row>
    <row r="927" spans="1:9" ht="24.75" customHeight="1">
      <c r="A927" s="73"/>
      <c r="B927" s="18"/>
      <c r="C927" s="9">
        <v>4440</v>
      </c>
      <c r="D927" s="288" t="s">
        <v>647</v>
      </c>
      <c r="E927" s="44">
        <v>44340</v>
      </c>
      <c r="F927" s="95"/>
      <c r="G927" s="44">
        <v>33255</v>
      </c>
      <c r="H927" s="95"/>
      <c r="I927" s="359">
        <f t="shared" si="14"/>
        <v>75</v>
      </c>
    </row>
    <row r="928" spans="1:9" ht="26.25" customHeight="1">
      <c r="A928" s="73"/>
      <c r="B928" s="18"/>
      <c r="C928" s="3">
        <v>4700</v>
      </c>
      <c r="D928" s="288" t="s">
        <v>420</v>
      </c>
      <c r="E928" s="44">
        <v>510</v>
      </c>
      <c r="F928" s="95"/>
      <c r="G928" s="44">
        <v>0</v>
      </c>
      <c r="H928" s="95"/>
      <c r="I928" s="359"/>
    </row>
    <row r="929" spans="1:9" ht="37.5" customHeight="1">
      <c r="A929" s="73"/>
      <c r="B929" s="28">
        <v>80140</v>
      </c>
      <c r="C929" s="24"/>
      <c r="D929" s="293" t="s">
        <v>477</v>
      </c>
      <c r="E929" s="41">
        <f>SUM(E930:E952)</f>
        <v>3133809</v>
      </c>
      <c r="F929" s="95"/>
      <c r="G929" s="41">
        <f>SUM(G930:G952)</f>
        <v>1495408.5500000003</v>
      </c>
      <c r="H929" s="95"/>
      <c r="I929" s="359">
        <f t="shared" si="14"/>
        <v>47.718560703603835</v>
      </c>
    </row>
    <row r="930" spans="1:9" ht="24.75" customHeight="1">
      <c r="A930" s="73"/>
      <c r="B930" s="16"/>
      <c r="C930" s="9">
        <v>3020</v>
      </c>
      <c r="D930" s="288" t="s">
        <v>324</v>
      </c>
      <c r="E930" s="102">
        <v>17510</v>
      </c>
      <c r="F930" s="95"/>
      <c r="G930" s="102">
        <v>11797.17</v>
      </c>
      <c r="H930" s="95"/>
      <c r="I930" s="359">
        <f t="shared" si="14"/>
        <v>67.37390062821245</v>
      </c>
    </row>
    <row r="931" spans="1:9" ht="21.75" customHeight="1">
      <c r="A931" s="73"/>
      <c r="B931" s="18"/>
      <c r="C931" s="9">
        <v>4010</v>
      </c>
      <c r="D931" s="288" t="s">
        <v>643</v>
      </c>
      <c r="E931" s="44">
        <v>1725400</v>
      </c>
      <c r="F931" s="95"/>
      <c r="G931" s="44">
        <v>706724.04</v>
      </c>
      <c r="H931" s="95"/>
      <c r="I931" s="359">
        <f t="shared" si="14"/>
        <v>40.96001159151501</v>
      </c>
    </row>
    <row r="932" spans="1:9" ht="15" customHeight="1">
      <c r="A932" s="73"/>
      <c r="B932" s="18"/>
      <c r="C932" s="9">
        <v>4040</v>
      </c>
      <c r="D932" s="288" t="s">
        <v>644</v>
      </c>
      <c r="E932" s="44">
        <v>129017</v>
      </c>
      <c r="F932" s="95"/>
      <c r="G932" s="44">
        <v>111488.64</v>
      </c>
      <c r="H932" s="95"/>
      <c r="I932" s="359">
        <f t="shared" si="14"/>
        <v>86.41391444538317</v>
      </c>
    </row>
    <row r="933" spans="1:9" ht="15" customHeight="1">
      <c r="A933" s="73"/>
      <c r="B933" s="18"/>
      <c r="C933" s="9">
        <v>4110</v>
      </c>
      <c r="D933" s="288" t="s">
        <v>645</v>
      </c>
      <c r="E933" s="44">
        <v>257495</v>
      </c>
      <c r="F933" s="95"/>
      <c r="G933" s="44">
        <v>127520.54</v>
      </c>
      <c r="H933" s="95"/>
      <c r="I933" s="359">
        <f t="shared" si="14"/>
        <v>49.523501427212175</v>
      </c>
    </row>
    <row r="934" spans="1:9" ht="15" customHeight="1">
      <c r="A934" s="73"/>
      <c r="B934" s="18" t="s">
        <v>410</v>
      </c>
      <c r="C934" s="9">
        <v>4120</v>
      </c>
      <c r="D934" s="288" t="s">
        <v>646</v>
      </c>
      <c r="E934" s="44">
        <v>45460</v>
      </c>
      <c r="F934" s="95"/>
      <c r="G934" s="44">
        <v>15972.8</v>
      </c>
      <c r="H934" s="95"/>
      <c r="I934" s="359">
        <f t="shared" si="14"/>
        <v>35.135943686757585</v>
      </c>
    </row>
    <row r="935" spans="1:9" ht="15" customHeight="1">
      <c r="A935" s="73"/>
      <c r="B935" s="18"/>
      <c r="C935" s="3">
        <v>4170</v>
      </c>
      <c r="D935" s="288" t="s">
        <v>652</v>
      </c>
      <c r="E935" s="44">
        <v>48600</v>
      </c>
      <c r="F935" s="95"/>
      <c r="G935" s="44">
        <v>13312.11</v>
      </c>
      <c r="H935" s="95"/>
      <c r="I935" s="359">
        <f t="shared" si="14"/>
        <v>27.391172839506172</v>
      </c>
    </row>
    <row r="936" spans="1:9" ht="15" customHeight="1">
      <c r="A936" s="73"/>
      <c r="B936" s="18"/>
      <c r="C936" s="9">
        <v>4210</v>
      </c>
      <c r="D936" s="288" t="s">
        <v>602</v>
      </c>
      <c r="E936" s="44">
        <v>186258</v>
      </c>
      <c r="F936" s="95"/>
      <c r="G936" s="44">
        <v>143269.09</v>
      </c>
      <c r="H936" s="95"/>
      <c r="I936" s="359">
        <f t="shared" si="14"/>
        <v>76.91969740897035</v>
      </c>
    </row>
    <row r="937" spans="1:9" ht="15" customHeight="1">
      <c r="A937" s="73"/>
      <c r="B937" s="18"/>
      <c r="C937" s="3">
        <v>4220</v>
      </c>
      <c r="D937" s="288" t="s">
        <v>163</v>
      </c>
      <c r="E937" s="44">
        <v>1500</v>
      </c>
      <c r="F937" s="95"/>
      <c r="G937" s="44">
        <v>584.94</v>
      </c>
      <c r="H937" s="95"/>
      <c r="I937" s="359">
        <f t="shared" si="14"/>
        <v>38.996</v>
      </c>
    </row>
    <row r="938" spans="1:9" ht="26.25" customHeight="1">
      <c r="A938" s="73"/>
      <c r="B938" s="18"/>
      <c r="C938" s="9">
        <v>4230</v>
      </c>
      <c r="D938" s="288" t="s">
        <v>329</v>
      </c>
      <c r="E938" s="44">
        <v>500</v>
      </c>
      <c r="F938" s="95"/>
      <c r="G938" s="44">
        <v>0</v>
      </c>
      <c r="H938" s="95"/>
      <c r="I938" s="359"/>
    </row>
    <row r="939" spans="1:9" ht="26.25" customHeight="1">
      <c r="A939" s="73"/>
      <c r="B939" s="18"/>
      <c r="C939" s="9">
        <v>4240</v>
      </c>
      <c r="D939" s="288" t="s">
        <v>358</v>
      </c>
      <c r="E939" s="44">
        <v>69110</v>
      </c>
      <c r="F939" s="95"/>
      <c r="G939" s="44">
        <v>65793.52</v>
      </c>
      <c r="H939" s="95"/>
      <c r="I939" s="359">
        <f t="shared" si="14"/>
        <v>95.20115757488064</v>
      </c>
    </row>
    <row r="940" spans="1:9" ht="15" customHeight="1">
      <c r="A940" s="73"/>
      <c r="B940" s="18"/>
      <c r="C940" s="9">
        <v>4260</v>
      </c>
      <c r="D940" s="288" t="s">
        <v>660</v>
      </c>
      <c r="E940" s="44">
        <v>165678</v>
      </c>
      <c r="F940" s="95"/>
      <c r="G940" s="44">
        <v>125169.51</v>
      </c>
      <c r="H940" s="95"/>
      <c r="I940" s="359">
        <f t="shared" si="14"/>
        <v>75.54986781588381</v>
      </c>
    </row>
    <row r="941" spans="1:9" ht="15" customHeight="1">
      <c r="A941" s="73"/>
      <c r="B941" s="18"/>
      <c r="C941" s="9">
        <v>4270</v>
      </c>
      <c r="D941" s="288" t="s">
        <v>603</v>
      </c>
      <c r="E941" s="44">
        <v>116760</v>
      </c>
      <c r="F941" s="95"/>
      <c r="G941" s="44">
        <v>54924.06</v>
      </c>
      <c r="H941" s="95"/>
      <c r="I941" s="359">
        <f t="shared" si="14"/>
        <v>47.040133607399795</v>
      </c>
    </row>
    <row r="942" spans="1:9" ht="15" customHeight="1">
      <c r="A942" s="73"/>
      <c r="B942" s="18"/>
      <c r="C942" s="9">
        <v>4280</v>
      </c>
      <c r="D942" s="288" t="s">
        <v>326</v>
      </c>
      <c r="E942" s="44">
        <v>1608</v>
      </c>
      <c r="F942" s="95"/>
      <c r="G942" s="44">
        <v>530.6</v>
      </c>
      <c r="H942" s="95"/>
      <c r="I942" s="359">
        <f t="shared" si="14"/>
        <v>32.99751243781095</v>
      </c>
    </row>
    <row r="943" spans="1:9" ht="15" customHeight="1">
      <c r="A943" s="73"/>
      <c r="B943" s="18"/>
      <c r="C943" s="9">
        <v>4300</v>
      </c>
      <c r="D943" s="288" t="s">
        <v>599</v>
      </c>
      <c r="E943" s="44">
        <v>57891</v>
      </c>
      <c r="F943" s="95"/>
      <c r="G943" s="44">
        <v>35108.08</v>
      </c>
      <c r="H943" s="95"/>
      <c r="I943" s="359">
        <f t="shared" si="14"/>
        <v>60.64514345925964</v>
      </c>
    </row>
    <row r="944" spans="1:9" ht="15" customHeight="1">
      <c r="A944" s="73"/>
      <c r="B944" s="18"/>
      <c r="C944" s="20">
        <v>4350</v>
      </c>
      <c r="D944" s="288" t="s">
        <v>655</v>
      </c>
      <c r="E944" s="44">
        <v>1500</v>
      </c>
      <c r="F944" s="95"/>
      <c r="G944" s="44">
        <v>597.46</v>
      </c>
      <c r="H944" s="95"/>
      <c r="I944" s="359">
        <f t="shared" si="14"/>
        <v>39.83066666666667</v>
      </c>
    </row>
    <row r="945" spans="1:9" ht="39" customHeight="1">
      <c r="A945" s="73"/>
      <c r="B945" s="18"/>
      <c r="C945" s="20">
        <v>4370</v>
      </c>
      <c r="D945" s="288" t="s">
        <v>389</v>
      </c>
      <c r="E945" s="44">
        <v>6384</v>
      </c>
      <c r="F945" s="95"/>
      <c r="G945" s="44">
        <v>2354.93</v>
      </c>
      <c r="H945" s="95"/>
      <c r="I945" s="359">
        <f t="shared" si="14"/>
        <v>36.88800125313283</v>
      </c>
    </row>
    <row r="946" spans="1:9" ht="25.5" customHeight="1">
      <c r="A946" s="73"/>
      <c r="B946" s="18"/>
      <c r="C946" s="20">
        <v>4390</v>
      </c>
      <c r="D946" s="350" t="s">
        <v>555</v>
      </c>
      <c r="E946" s="44">
        <v>324</v>
      </c>
      <c r="F946" s="95"/>
      <c r="G946" s="44">
        <v>0</v>
      </c>
      <c r="H946" s="95"/>
      <c r="I946" s="359"/>
    </row>
    <row r="947" spans="1:9" ht="15" customHeight="1">
      <c r="A947" s="73"/>
      <c r="B947" s="18"/>
      <c r="C947" s="9">
        <v>4410</v>
      </c>
      <c r="D947" s="288" t="s">
        <v>649</v>
      </c>
      <c r="E947" s="44">
        <v>1950</v>
      </c>
      <c r="F947" s="95"/>
      <c r="G947" s="44">
        <v>530.75</v>
      </c>
      <c r="H947" s="95"/>
      <c r="I947" s="359">
        <f t="shared" si="14"/>
        <v>27.21794871794872</v>
      </c>
    </row>
    <row r="948" spans="1:9" ht="15" customHeight="1">
      <c r="A948" s="73"/>
      <c r="B948" s="18"/>
      <c r="C948" s="9">
        <v>4430</v>
      </c>
      <c r="D948" s="288" t="s">
        <v>433</v>
      </c>
      <c r="E948" s="44">
        <v>11274</v>
      </c>
      <c r="F948" s="95"/>
      <c r="G948" s="44">
        <v>10614.31</v>
      </c>
      <c r="H948" s="95"/>
      <c r="I948" s="359">
        <f t="shared" si="14"/>
        <v>94.14857193542665</v>
      </c>
    </row>
    <row r="949" spans="1:9" ht="22.5" customHeight="1">
      <c r="A949" s="73"/>
      <c r="B949" s="18"/>
      <c r="C949" s="9">
        <v>4440</v>
      </c>
      <c r="D949" s="288" t="s">
        <v>647</v>
      </c>
      <c r="E949" s="44">
        <v>84596</v>
      </c>
      <c r="F949" s="95"/>
      <c r="G949" s="44">
        <v>65922</v>
      </c>
      <c r="H949" s="95"/>
      <c r="I949" s="359">
        <f t="shared" si="14"/>
        <v>77.925670244456</v>
      </c>
    </row>
    <row r="950" spans="1:9" ht="19.5" customHeight="1">
      <c r="A950" s="73"/>
      <c r="B950" s="18"/>
      <c r="C950" s="9">
        <v>4480</v>
      </c>
      <c r="D950" s="288" t="s">
        <v>452</v>
      </c>
      <c r="E950" s="44">
        <v>2200</v>
      </c>
      <c r="F950" s="95"/>
      <c r="G950" s="44">
        <v>1040</v>
      </c>
      <c r="H950" s="95"/>
      <c r="I950" s="359">
        <f t="shared" si="14"/>
        <v>47.27272727272727</v>
      </c>
    </row>
    <row r="951" spans="1:9" ht="26.25" customHeight="1">
      <c r="A951" s="73"/>
      <c r="B951" s="18"/>
      <c r="C951" s="3">
        <v>4700</v>
      </c>
      <c r="D951" s="288" t="s">
        <v>420</v>
      </c>
      <c r="E951" s="44">
        <v>2794</v>
      </c>
      <c r="F951" s="95"/>
      <c r="G951" s="44">
        <v>2154</v>
      </c>
      <c r="H951" s="95"/>
      <c r="I951" s="359">
        <f t="shared" si="14"/>
        <v>77.09377236936292</v>
      </c>
    </row>
    <row r="952" spans="1:9" ht="26.25" customHeight="1">
      <c r="A952" s="73"/>
      <c r="B952" s="18"/>
      <c r="C952" s="3">
        <v>6050</v>
      </c>
      <c r="D952" s="288" t="s">
        <v>349</v>
      </c>
      <c r="E952" s="44">
        <v>200000</v>
      </c>
      <c r="F952" s="95"/>
      <c r="G952" s="44">
        <v>0</v>
      </c>
      <c r="H952" s="95"/>
      <c r="I952" s="359"/>
    </row>
    <row r="953" spans="1:9" ht="30" customHeight="1">
      <c r="A953" s="73"/>
      <c r="B953" s="24">
        <v>80144</v>
      </c>
      <c r="C953" s="24"/>
      <c r="D953" s="293" t="s">
        <v>478</v>
      </c>
      <c r="E953" s="29">
        <f>SUM(E954:E967)</f>
        <v>814651</v>
      </c>
      <c r="F953" s="95"/>
      <c r="G953" s="29">
        <f>SUM(G954:G967)</f>
        <v>454714.76</v>
      </c>
      <c r="H953" s="95"/>
      <c r="I953" s="359">
        <f t="shared" si="14"/>
        <v>55.81712414273105</v>
      </c>
    </row>
    <row r="954" spans="1:9" ht="24.75" customHeight="1">
      <c r="A954" s="73"/>
      <c r="B954" s="33"/>
      <c r="C954" s="9">
        <v>3020</v>
      </c>
      <c r="D954" s="288" t="s">
        <v>324</v>
      </c>
      <c r="E954" s="102">
        <v>1630</v>
      </c>
      <c r="F954" s="95"/>
      <c r="G954" s="102">
        <v>600</v>
      </c>
      <c r="H954" s="95"/>
      <c r="I954" s="359">
        <f t="shared" si="14"/>
        <v>36.809815950920246</v>
      </c>
    </row>
    <row r="955" spans="1:9" ht="18" customHeight="1">
      <c r="A955" s="73"/>
      <c r="B955" s="18"/>
      <c r="C955" s="9">
        <v>4010</v>
      </c>
      <c r="D955" s="288" t="s">
        <v>643</v>
      </c>
      <c r="E955" s="102">
        <v>590400</v>
      </c>
      <c r="F955" s="95"/>
      <c r="G955" s="102">
        <v>306537.73</v>
      </c>
      <c r="H955" s="95"/>
      <c r="I955" s="359">
        <f t="shared" si="14"/>
        <v>51.92034722222222</v>
      </c>
    </row>
    <row r="956" spans="1:9" ht="18" customHeight="1">
      <c r="A956" s="73"/>
      <c r="B956" s="18"/>
      <c r="C956" s="9">
        <v>4040</v>
      </c>
      <c r="D956" s="288" t="s">
        <v>644</v>
      </c>
      <c r="E956" s="44">
        <v>49375</v>
      </c>
      <c r="F956" s="95"/>
      <c r="G956" s="44">
        <v>49374.52</v>
      </c>
      <c r="H956" s="95"/>
      <c r="I956" s="359">
        <f t="shared" si="14"/>
        <v>99.99902784810126</v>
      </c>
    </row>
    <row r="957" spans="1:9" ht="16.5" customHeight="1">
      <c r="A957" s="73"/>
      <c r="B957" s="18"/>
      <c r="C957" s="9">
        <v>4110</v>
      </c>
      <c r="D957" s="288" t="s">
        <v>645</v>
      </c>
      <c r="E957" s="44">
        <v>110225</v>
      </c>
      <c r="F957" s="95"/>
      <c r="G957" s="44">
        <v>58748.88</v>
      </c>
      <c r="H957" s="95"/>
      <c r="I957" s="359">
        <f t="shared" si="14"/>
        <v>53.29905193921524</v>
      </c>
    </row>
    <row r="958" spans="1:9" ht="15" customHeight="1">
      <c r="A958" s="73"/>
      <c r="B958" s="18"/>
      <c r="C958" s="9">
        <v>4120</v>
      </c>
      <c r="D958" s="288" t="s">
        <v>646</v>
      </c>
      <c r="E958" s="44">
        <v>17680</v>
      </c>
      <c r="F958" s="95"/>
      <c r="G958" s="44">
        <v>9404.44</v>
      </c>
      <c r="H958" s="95"/>
      <c r="I958" s="359">
        <f t="shared" si="14"/>
        <v>53.192533936651586</v>
      </c>
    </row>
    <row r="959" spans="1:9" ht="15" customHeight="1">
      <c r="A959" s="73"/>
      <c r="B959" s="18"/>
      <c r="C959" s="9">
        <v>4210</v>
      </c>
      <c r="D959" s="288" t="s">
        <v>602</v>
      </c>
      <c r="E959" s="44">
        <v>2370</v>
      </c>
      <c r="F959" s="95"/>
      <c r="G959" s="44">
        <v>1278.12</v>
      </c>
      <c r="H959" s="95"/>
      <c r="I959" s="359">
        <f t="shared" si="14"/>
        <v>53.92911392405063</v>
      </c>
    </row>
    <row r="960" spans="1:9" ht="23.25" customHeight="1">
      <c r="A960" s="73"/>
      <c r="B960" s="18"/>
      <c r="C960" s="9">
        <v>4240</v>
      </c>
      <c r="D960" s="288" t="s">
        <v>358</v>
      </c>
      <c r="E960" s="44">
        <v>158</v>
      </c>
      <c r="F960" s="95"/>
      <c r="G960" s="44">
        <v>0</v>
      </c>
      <c r="H960" s="95"/>
      <c r="I960" s="359"/>
    </row>
    <row r="961" spans="1:9" ht="18.75" customHeight="1">
      <c r="A961" s="73"/>
      <c r="B961" s="18"/>
      <c r="C961" s="9">
        <v>4260</v>
      </c>
      <c r="D961" s="288" t="s">
        <v>660</v>
      </c>
      <c r="E961" s="100">
        <v>6500</v>
      </c>
      <c r="F961" s="95"/>
      <c r="G961" s="100">
        <v>4130</v>
      </c>
      <c r="H961" s="95"/>
      <c r="I961" s="359">
        <f t="shared" si="14"/>
        <v>63.53846153846155</v>
      </c>
    </row>
    <row r="962" spans="1:9" ht="19.5" customHeight="1">
      <c r="A962" s="73"/>
      <c r="B962" s="18"/>
      <c r="C962" s="9">
        <v>4270</v>
      </c>
      <c r="D962" s="288" t="s">
        <v>603</v>
      </c>
      <c r="E962" s="100">
        <v>883</v>
      </c>
      <c r="F962" s="95"/>
      <c r="G962" s="100">
        <v>381.3</v>
      </c>
      <c r="H962" s="95"/>
      <c r="I962" s="359">
        <f t="shared" si="14"/>
        <v>43.18233295583239</v>
      </c>
    </row>
    <row r="963" spans="1:9" ht="19.5" customHeight="1">
      <c r="A963" s="73"/>
      <c r="B963" s="18"/>
      <c r="C963" s="9">
        <v>4280</v>
      </c>
      <c r="D963" s="288" t="s">
        <v>326</v>
      </c>
      <c r="E963" s="100">
        <v>305</v>
      </c>
      <c r="F963" s="95"/>
      <c r="G963" s="100">
        <v>0</v>
      </c>
      <c r="H963" s="95"/>
      <c r="I963" s="359"/>
    </row>
    <row r="964" spans="1:9" ht="18" customHeight="1">
      <c r="A964" s="73"/>
      <c r="B964" s="18"/>
      <c r="C964" s="9">
        <v>4300</v>
      </c>
      <c r="D964" s="288" t="s">
        <v>599</v>
      </c>
      <c r="E964" s="100">
        <v>4500</v>
      </c>
      <c r="F964" s="95"/>
      <c r="G964" s="100">
        <v>1559.77</v>
      </c>
      <c r="H964" s="95"/>
      <c r="I964" s="359">
        <f t="shared" si="14"/>
        <v>34.66155555555556</v>
      </c>
    </row>
    <row r="965" spans="1:9" ht="38.25" customHeight="1">
      <c r="A965" s="73"/>
      <c r="B965" s="18"/>
      <c r="C965" s="20">
        <v>4370</v>
      </c>
      <c r="D965" s="288" t="s">
        <v>389</v>
      </c>
      <c r="E965" s="100">
        <v>470</v>
      </c>
      <c r="F965" s="95"/>
      <c r="G965" s="100">
        <v>148</v>
      </c>
      <c r="H965" s="95"/>
      <c r="I965" s="359">
        <f t="shared" si="14"/>
        <v>31.48936170212766</v>
      </c>
    </row>
    <row r="966" spans="1:9" ht="20.25" customHeight="1">
      <c r="A966" s="73"/>
      <c r="B966" s="18"/>
      <c r="C966" s="9">
        <v>4430</v>
      </c>
      <c r="D966" s="288" t="s">
        <v>433</v>
      </c>
      <c r="E966" s="100">
        <v>260</v>
      </c>
      <c r="F966" s="95"/>
      <c r="G966" s="100">
        <v>130</v>
      </c>
      <c r="H966" s="95"/>
      <c r="I966" s="359">
        <f t="shared" si="14"/>
        <v>50</v>
      </c>
    </row>
    <row r="967" spans="1:9" ht="28.5" customHeight="1">
      <c r="A967" s="73"/>
      <c r="B967" s="18"/>
      <c r="C967" s="9">
        <v>4440</v>
      </c>
      <c r="D967" s="288" t="s">
        <v>647</v>
      </c>
      <c r="E967" s="100">
        <v>29895</v>
      </c>
      <c r="F967" s="95"/>
      <c r="G967" s="100">
        <v>22422</v>
      </c>
      <c r="H967" s="95"/>
      <c r="I967" s="359">
        <f t="shared" si="14"/>
        <v>75.00250878073257</v>
      </c>
    </row>
    <row r="968" spans="1:25" s="56" customFormat="1" ht="24.75" customHeight="1">
      <c r="A968" s="91"/>
      <c r="B968" s="25">
        <v>80145</v>
      </c>
      <c r="C968" s="28"/>
      <c r="D968" s="352" t="s">
        <v>406</v>
      </c>
      <c r="E968" s="158">
        <f>SUM(E969:E974)</f>
        <v>10500</v>
      </c>
      <c r="F968" s="114"/>
      <c r="G968" s="158">
        <f>SUM(G969:G974)</f>
        <v>463.65000000000003</v>
      </c>
      <c r="H968" s="114"/>
      <c r="I968" s="359">
        <f t="shared" si="14"/>
        <v>4.415714285714286</v>
      </c>
      <c r="J968" s="243"/>
      <c r="K968" s="243"/>
      <c r="L968" s="261"/>
      <c r="M968" s="243"/>
      <c r="N968" s="243"/>
      <c r="O968" s="243"/>
      <c r="P968" s="243"/>
      <c r="Q968" s="243"/>
      <c r="R968" s="243"/>
      <c r="S968" s="243"/>
      <c r="T968" s="252"/>
      <c r="U968" s="252"/>
      <c r="V968" s="252"/>
      <c r="W968" s="252"/>
      <c r="X968" s="252"/>
      <c r="Y968" s="252"/>
    </row>
    <row r="969" spans="1:9" ht="19.5" customHeight="1">
      <c r="A969" s="73"/>
      <c r="B969" s="18"/>
      <c r="C969" s="9">
        <v>4110</v>
      </c>
      <c r="D969" s="288" t="s">
        <v>645</v>
      </c>
      <c r="E969" s="100">
        <v>260</v>
      </c>
      <c r="F969" s="95"/>
      <c r="G969" s="100">
        <v>0</v>
      </c>
      <c r="H969" s="95"/>
      <c r="I969" s="359"/>
    </row>
    <row r="970" spans="1:9" ht="15" customHeight="1">
      <c r="A970" s="73"/>
      <c r="B970" s="18"/>
      <c r="C970" s="9">
        <v>4120</v>
      </c>
      <c r="D970" s="288" t="s">
        <v>646</v>
      </c>
      <c r="E970" s="100">
        <v>40</v>
      </c>
      <c r="F970" s="95"/>
      <c r="G970" s="100">
        <v>0</v>
      </c>
      <c r="H970" s="95"/>
      <c r="I970" s="359"/>
    </row>
    <row r="971" spans="1:9" ht="16.5" customHeight="1">
      <c r="A971" s="73"/>
      <c r="B971" s="18"/>
      <c r="C971" s="3">
        <v>4170</v>
      </c>
      <c r="D971" s="288" t="s">
        <v>652</v>
      </c>
      <c r="E971" s="100">
        <v>1500</v>
      </c>
      <c r="F971" s="95"/>
      <c r="G971" s="100">
        <v>0</v>
      </c>
      <c r="H971" s="95"/>
      <c r="I971" s="359"/>
    </row>
    <row r="972" spans="1:9" ht="18.75" customHeight="1">
      <c r="A972" s="73"/>
      <c r="B972" s="18"/>
      <c r="C972" s="9">
        <v>4210</v>
      </c>
      <c r="D972" s="288" t="s">
        <v>602</v>
      </c>
      <c r="E972" s="100">
        <v>2900</v>
      </c>
      <c r="F972" s="95"/>
      <c r="G972" s="100">
        <v>403.66</v>
      </c>
      <c r="H972" s="95"/>
      <c r="I972" s="359">
        <f t="shared" si="14"/>
        <v>13.919310344827588</v>
      </c>
    </row>
    <row r="973" spans="1:9" ht="25.5" customHeight="1">
      <c r="A973" s="73"/>
      <c r="B973" s="18"/>
      <c r="C973" s="9">
        <v>4240</v>
      </c>
      <c r="D973" s="288" t="s">
        <v>358</v>
      </c>
      <c r="E973" s="100">
        <v>2300</v>
      </c>
      <c r="F973" s="95"/>
      <c r="G973" s="100">
        <v>59.99</v>
      </c>
      <c r="H973" s="95"/>
      <c r="I973" s="359">
        <f t="shared" si="14"/>
        <v>2.6082608695652176</v>
      </c>
    </row>
    <row r="974" spans="1:9" ht="16.5" customHeight="1">
      <c r="A974" s="73"/>
      <c r="B974" s="18"/>
      <c r="C974" s="9">
        <v>4300</v>
      </c>
      <c r="D974" s="288" t="s">
        <v>599</v>
      </c>
      <c r="E974" s="100">
        <v>3500</v>
      </c>
      <c r="F974" s="95"/>
      <c r="G974" s="100">
        <v>0</v>
      </c>
      <c r="H974" s="95"/>
      <c r="I974" s="359"/>
    </row>
    <row r="975" spans="1:9" ht="21.75" customHeight="1">
      <c r="A975" s="73"/>
      <c r="B975" s="25">
        <v>80146</v>
      </c>
      <c r="C975" s="25"/>
      <c r="D975" s="293" t="s">
        <v>591</v>
      </c>
      <c r="E975" s="41">
        <f>SUM(E976:E995)</f>
        <v>884056</v>
      </c>
      <c r="F975" s="95"/>
      <c r="G975" s="41">
        <f>SUM(G976:G995)</f>
        <v>323276.05</v>
      </c>
      <c r="H975" s="95"/>
      <c r="I975" s="359">
        <f aca="true" t="shared" si="15" ref="I975:I1037">G975/E975*100</f>
        <v>36.56737242889591</v>
      </c>
    </row>
    <row r="976" spans="1:9" ht="25.5" customHeight="1">
      <c r="A976" s="73"/>
      <c r="B976" s="33"/>
      <c r="C976" s="20">
        <v>3020</v>
      </c>
      <c r="D976" s="350" t="s">
        <v>324</v>
      </c>
      <c r="E976" s="102">
        <v>1298</v>
      </c>
      <c r="F976" s="95"/>
      <c r="G976" s="102">
        <v>238</v>
      </c>
      <c r="H976" s="95"/>
      <c r="I976" s="359">
        <f t="shared" si="15"/>
        <v>18.335901386748844</v>
      </c>
    </row>
    <row r="977" spans="1:9" ht="15" customHeight="1">
      <c r="A977" s="73"/>
      <c r="B977" s="33"/>
      <c r="C977" s="9">
        <v>4010</v>
      </c>
      <c r="D977" s="288" t="s">
        <v>643</v>
      </c>
      <c r="E977" s="44">
        <v>260467</v>
      </c>
      <c r="F977" s="95"/>
      <c r="G977" s="44">
        <v>101588.2</v>
      </c>
      <c r="H977" s="95"/>
      <c r="I977" s="359">
        <f t="shared" si="15"/>
        <v>39.00233042957457</v>
      </c>
    </row>
    <row r="978" spans="1:9" ht="15" customHeight="1">
      <c r="A978" s="73"/>
      <c r="B978" s="33"/>
      <c r="C978" s="9">
        <v>4040</v>
      </c>
      <c r="D978" s="288" t="s">
        <v>644</v>
      </c>
      <c r="E978" s="44">
        <v>13028</v>
      </c>
      <c r="F978" s="95"/>
      <c r="G978" s="44">
        <v>12091.78</v>
      </c>
      <c r="H978" s="95"/>
      <c r="I978" s="359">
        <f t="shared" si="15"/>
        <v>92.81378569235493</v>
      </c>
    </row>
    <row r="979" spans="1:9" ht="15" customHeight="1">
      <c r="A979" s="73"/>
      <c r="B979" s="33"/>
      <c r="C979" s="9">
        <v>4110</v>
      </c>
      <c r="D979" s="288" t="s">
        <v>645</v>
      </c>
      <c r="E979" s="44">
        <v>49795</v>
      </c>
      <c r="F979" s="95"/>
      <c r="G979" s="44">
        <v>16362.22</v>
      </c>
      <c r="H979" s="95"/>
      <c r="I979" s="359">
        <f t="shared" si="15"/>
        <v>32.85916256652274</v>
      </c>
    </row>
    <row r="980" spans="1:9" ht="15" customHeight="1">
      <c r="A980" s="73"/>
      <c r="B980" s="33"/>
      <c r="C980" s="9">
        <v>4120</v>
      </c>
      <c r="D980" s="288" t="s">
        <v>646</v>
      </c>
      <c r="E980" s="44">
        <v>6581</v>
      </c>
      <c r="F980" s="95"/>
      <c r="G980" s="44">
        <v>1879.68</v>
      </c>
      <c r="H980" s="95"/>
      <c r="I980" s="359">
        <f t="shared" si="15"/>
        <v>28.56222458592919</v>
      </c>
    </row>
    <row r="981" spans="1:9" ht="15" customHeight="1">
      <c r="A981" s="73"/>
      <c r="B981" s="33"/>
      <c r="C981" s="3">
        <v>4170</v>
      </c>
      <c r="D981" s="288" t="s">
        <v>652</v>
      </c>
      <c r="E981" s="44">
        <v>101000</v>
      </c>
      <c r="F981" s="95"/>
      <c r="G981" s="44">
        <v>10070</v>
      </c>
      <c r="H981" s="95"/>
      <c r="I981" s="359">
        <f t="shared" si="15"/>
        <v>9.970297029702971</v>
      </c>
    </row>
    <row r="982" spans="1:9" ht="15" customHeight="1">
      <c r="A982" s="73"/>
      <c r="B982" s="33"/>
      <c r="C982" s="9">
        <v>4210</v>
      </c>
      <c r="D982" s="288" t="s">
        <v>602</v>
      </c>
      <c r="E982" s="44">
        <v>33632</v>
      </c>
      <c r="F982" s="95"/>
      <c r="G982" s="44">
        <f>13046.76-66.79</f>
        <v>12979.97</v>
      </c>
      <c r="H982" s="95"/>
      <c r="I982" s="359">
        <f t="shared" si="15"/>
        <v>38.59410680304472</v>
      </c>
    </row>
    <row r="983" spans="1:9" ht="25.5" customHeight="1">
      <c r="A983" s="73"/>
      <c r="B983" s="33"/>
      <c r="C983" s="9">
        <v>4240</v>
      </c>
      <c r="D983" s="288" t="s">
        <v>358</v>
      </c>
      <c r="E983" s="44">
        <v>1000</v>
      </c>
      <c r="F983" s="95"/>
      <c r="G983" s="44">
        <v>454.21</v>
      </c>
      <c r="H983" s="95"/>
      <c r="I983" s="359">
        <f t="shared" si="15"/>
        <v>45.421</v>
      </c>
    </row>
    <row r="984" spans="1:9" ht="19.5" customHeight="1">
      <c r="A984" s="73"/>
      <c r="B984" s="33"/>
      <c r="C984" s="9">
        <v>4260</v>
      </c>
      <c r="D984" s="288" t="s">
        <v>660</v>
      </c>
      <c r="E984" s="44">
        <v>12000</v>
      </c>
      <c r="F984" s="95"/>
      <c r="G984" s="44">
        <v>4236.18</v>
      </c>
      <c r="H984" s="95"/>
      <c r="I984" s="359">
        <f t="shared" si="15"/>
        <v>35.301500000000004</v>
      </c>
    </row>
    <row r="985" spans="1:9" ht="15" customHeight="1">
      <c r="A985" s="73"/>
      <c r="B985" s="33"/>
      <c r="C985" s="9">
        <v>4270</v>
      </c>
      <c r="D985" s="288" t="s">
        <v>603</v>
      </c>
      <c r="E985" s="44">
        <v>15000</v>
      </c>
      <c r="F985" s="95"/>
      <c r="G985" s="44">
        <v>12651.78</v>
      </c>
      <c r="H985" s="95"/>
      <c r="I985" s="359">
        <f t="shared" si="15"/>
        <v>84.3452</v>
      </c>
    </row>
    <row r="986" spans="1:9" ht="15" customHeight="1">
      <c r="A986" s="73"/>
      <c r="B986" s="33"/>
      <c r="C986" s="9">
        <v>4280</v>
      </c>
      <c r="D986" s="288" t="s">
        <v>326</v>
      </c>
      <c r="E986" s="44">
        <v>100</v>
      </c>
      <c r="F986" s="95"/>
      <c r="G986" s="44">
        <v>40</v>
      </c>
      <c r="H986" s="95"/>
      <c r="I986" s="359">
        <f t="shared" si="15"/>
        <v>40</v>
      </c>
    </row>
    <row r="987" spans="1:9" ht="15" customHeight="1">
      <c r="A987" s="73"/>
      <c r="B987" s="18"/>
      <c r="C987" s="9">
        <v>4300</v>
      </c>
      <c r="D987" s="288" t="s">
        <v>599</v>
      </c>
      <c r="E987" s="44">
        <v>176082</v>
      </c>
      <c r="F987" s="95"/>
      <c r="G987" s="44">
        <f>68813.57-1590</f>
        <v>67223.57</v>
      </c>
      <c r="H987" s="95"/>
      <c r="I987" s="359">
        <f t="shared" si="15"/>
        <v>38.17742301882078</v>
      </c>
    </row>
    <row r="988" spans="1:9" ht="15" customHeight="1">
      <c r="A988" s="73"/>
      <c r="B988" s="18"/>
      <c r="C988" s="9">
        <v>4350</v>
      </c>
      <c r="D988" s="288" t="s">
        <v>655</v>
      </c>
      <c r="E988" s="44">
        <v>1000</v>
      </c>
      <c r="F988" s="95"/>
      <c r="G988" s="44">
        <v>354</v>
      </c>
      <c r="H988" s="95"/>
      <c r="I988" s="359">
        <f t="shared" si="15"/>
        <v>35.4</v>
      </c>
    </row>
    <row r="989" spans="1:9" ht="39" customHeight="1">
      <c r="A989" s="73"/>
      <c r="B989" s="18"/>
      <c r="C989" s="20">
        <v>4370</v>
      </c>
      <c r="D989" s="288" t="s">
        <v>389</v>
      </c>
      <c r="E989" s="44">
        <v>5000</v>
      </c>
      <c r="F989" s="95"/>
      <c r="G989" s="44">
        <v>2817.35</v>
      </c>
      <c r="H989" s="95"/>
      <c r="I989" s="359">
        <f t="shared" si="15"/>
        <v>56.347</v>
      </c>
    </row>
    <row r="990" spans="1:9" ht="28.5" customHeight="1">
      <c r="A990" s="73"/>
      <c r="B990" s="18"/>
      <c r="C990" s="20">
        <v>4400</v>
      </c>
      <c r="D990" s="350" t="s">
        <v>479</v>
      </c>
      <c r="E990" s="44">
        <v>30600</v>
      </c>
      <c r="F990" s="95"/>
      <c r="G990" s="44">
        <v>15376.1</v>
      </c>
      <c r="H990" s="95"/>
      <c r="I990" s="359">
        <f t="shared" si="15"/>
        <v>50.24869281045752</v>
      </c>
    </row>
    <row r="991" spans="1:9" ht="15" customHeight="1">
      <c r="A991" s="73"/>
      <c r="B991" s="18"/>
      <c r="C991" s="9">
        <v>4410</v>
      </c>
      <c r="D991" s="288" t="s">
        <v>649</v>
      </c>
      <c r="E991" s="44">
        <v>37914</v>
      </c>
      <c r="F991" s="95"/>
      <c r="G991" s="44">
        <v>10733.03</v>
      </c>
      <c r="H991" s="95"/>
      <c r="I991" s="359">
        <f t="shared" si="15"/>
        <v>28.308883262119533</v>
      </c>
    </row>
    <row r="992" spans="1:9" ht="15" customHeight="1">
      <c r="A992" s="73"/>
      <c r="B992" s="18"/>
      <c r="C992" s="9">
        <v>4430</v>
      </c>
      <c r="D992" s="288" t="s">
        <v>433</v>
      </c>
      <c r="E992" s="44">
        <v>2000</v>
      </c>
      <c r="F992" s="95"/>
      <c r="G992" s="44">
        <v>914</v>
      </c>
      <c r="H992" s="95"/>
      <c r="I992" s="359">
        <f t="shared" si="15"/>
        <v>45.7</v>
      </c>
    </row>
    <row r="993" spans="1:9" ht="26.25" customHeight="1">
      <c r="A993" s="73"/>
      <c r="B993" s="18"/>
      <c r="C993" s="9">
        <v>4440</v>
      </c>
      <c r="D993" s="288" t="s">
        <v>647</v>
      </c>
      <c r="E993" s="44">
        <v>8920</v>
      </c>
      <c r="F993" s="95"/>
      <c r="G993" s="44">
        <v>6690</v>
      </c>
      <c r="H993" s="95"/>
      <c r="I993" s="359">
        <f t="shared" si="15"/>
        <v>75</v>
      </c>
    </row>
    <row r="994" spans="1:9" ht="30" customHeight="1">
      <c r="A994" s="73"/>
      <c r="B994" s="18"/>
      <c r="C994" s="9">
        <v>4700</v>
      </c>
      <c r="D994" s="288" t="s">
        <v>420</v>
      </c>
      <c r="E994" s="44">
        <v>122139</v>
      </c>
      <c r="F994" s="95"/>
      <c r="G994" s="44">
        <f>48064.98-1489</f>
        <v>46575.98</v>
      </c>
      <c r="H994" s="95"/>
      <c r="I994" s="359">
        <f t="shared" si="15"/>
        <v>38.13358550503934</v>
      </c>
    </row>
    <row r="995" spans="1:9" ht="27" customHeight="1">
      <c r="A995" s="73"/>
      <c r="B995" s="18"/>
      <c r="C995" s="3">
        <v>6050</v>
      </c>
      <c r="D995" s="288" t="s">
        <v>349</v>
      </c>
      <c r="E995" s="44">
        <v>6500</v>
      </c>
      <c r="F995" s="95"/>
      <c r="G995" s="44">
        <v>0</v>
      </c>
      <c r="H995" s="95"/>
      <c r="I995" s="359"/>
    </row>
    <row r="996" spans="1:9" ht="23.25" customHeight="1">
      <c r="A996" s="73"/>
      <c r="B996" s="25">
        <v>80148</v>
      </c>
      <c r="C996" s="25"/>
      <c r="D996" s="293" t="s">
        <v>133</v>
      </c>
      <c r="E996" s="41">
        <f>SUM(E997:E1009)</f>
        <v>528322</v>
      </c>
      <c r="F996" s="95"/>
      <c r="G996" s="41">
        <f>SUM(G997:G1009)</f>
        <v>274460.41000000003</v>
      </c>
      <c r="H996" s="95"/>
      <c r="I996" s="359">
        <f t="shared" si="15"/>
        <v>51.94945695996003</v>
      </c>
    </row>
    <row r="997" spans="1:9" ht="26.25" customHeight="1">
      <c r="A997" s="73"/>
      <c r="B997" s="18"/>
      <c r="C997" s="20">
        <v>3020</v>
      </c>
      <c r="D997" s="350" t="s">
        <v>324</v>
      </c>
      <c r="E997" s="102">
        <v>3500</v>
      </c>
      <c r="F997" s="95"/>
      <c r="G997" s="102">
        <v>0</v>
      </c>
      <c r="H997" s="95"/>
      <c r="I997" s="359"/>
    </row>
    <row r="998" spans="1:9" ht="17.25" customHeight="1">
      <c r="A998" s="73"/>
      <c r="B998" s="18"/>
      <c r="C998" s="9">
        <v>4010</v>
      </c>
      <c r="D998" s="288" t="s">
        <v>643</v>
      </c>
      <c r="E998" s="44">
        <v>155000</v>
      </c>
      <c r="F998" s="95"/>
      <c r="G998" s="44">
        <v>82810.99</v>
      </c>
      <c r="H998" s="95"/>
      <c r="I998" s="359">
        <f t="shared" si="15"/>
        <v>53.426445161290324</v>
      </c>
    </row>
    <row r="999" spans="1:9" ht="15" customHeight="1">
      <c r="A999" s="73"/>
      <c r="B999" s="18"/>
      <c r="C999" s="9">
        <v>4040</v>
      </c>
      <c r="D999" s="288" t="s">
        <v>644</v>
      </c>
      <c r="E999" s="44">
        <v>11786</v>
      </c>
      <c r="F999" s="95"/>
      <c r="G999" s="44">
        <v>10514.87</v>
      </c>
      <c r="H999" s="95"/>
      <c r="I999" s="359">
        <f t="shared" si="15"/>
        <v>89.21491600203633</v>
      </c>
    </row>
    <row r="1000" spans="1:9" ht="15" customHeight="1">
      <c r="A1000" s="73"/>
      <c r="B1000" s="18"/>
      <c r="C1000" s="9">
        <v>4110</v>
      </c>
      <c r="D1000" s="288" t="s">
        <v>645</v>
      </c>
      <c r="E1000" s="44">
        <v>24500</v>
      </c>
      <c r="F1000" s="95"/>
      <c r="G1000" s="44">
        <v>12533.55</v>
      </c>
      <c r="H1000" s="95"/>
      <c r="I1000" s="359">
        <f t="shared" si="15"/>
        <v>51.157346938775504</v>
      </c>
    </row>
    <row r="1001" spans="1:9" ht="15" customHeight="1">
      <c r="A1001" s="73"/>
      <c r="B1001" s="18"/>
      <c r="C1001" s="9">
        <v>4120</v>
      </c>
      <c r="D1001" s="288" t="s">
        <v>646</v>
      </c>
      <c r="E1001" s="44">
        <v>4235</v>
      </c>
      <c r="F1001" s="95"/>
      <c r="G1001" s="44">
        <v>1199.77</v>
      </c>
      <c r="H1001" s="95"/>
      <c r="I1001" s="359">
        <f t="shared" si="15"/>
        <v>28.329870129870127</v>
      </c>
    </row>
    <row r="1002" spans="1:9" ht="15" customHeight="1">
      <c r="A1002" s="73"/>
      <c r="B1002" s="18"/>
      <c r="C1002" s="9">
        <v>4210</v>
      </c>
      <c r="D1002" s="288" t="s">
        <v>602</v>
      </c>
      <c r="E1002" s="44">
        <v>15000</v>
      </c>
      <c r="F1002" s="95"/>
      <c r="G1002" s="44">
        <v>2751.75</v>
      </c>
      <c r="H1002" s="95"/>
      <c r="I1002" s="359">
        <f t="shared" si="15"/>
        <v>18.345</v>
      </c>
    </row>
    <row r="1003" spans="1:9" ht="15" customHeight="1">
      <c r="A1003" s="73"/>
      <c r="B1003" s="18"/>
      <c r="C1003" s="3">
        <v>4220</v>
      </c>
      <c r="D1003" s="288" t="s">
        <v>163</v>
      </c>
      <c r="E1003" s="44">
        <v>204000</v>
      </c>
      <c r="F1003" s="95"/>
      <c r="G1003" s="44">
        <v>108926.91</v>
      </c>
      <c r="H1003" s="95"/>
      <c r="I1003" s="359">
        <f t="shared" si="15"/>
        <v>53.39554411764706</v>
      </c>
    </row>
    <row r="1004" spans="1:9" ht="15" customHeight="1">
      <c r="A1004" s="73"/>
      <c r="B1004" s="18"/>
      <c r="C1004" s="9">
        <v>4260</v>
      </c>
      <c r="D1004" s="288" t="s">
        <v>660</v>
      </c>
      <c r="E1004" s="44">
        <v>73000</v>
      </c>
      <c r="F1004" s="95"/>
      <c r="G1004" s="44">
        <v>40345.95</v>
      </c>
      <c r="H1004" s="95"/>
      <c r="I1004" s="359">
        <f t="shared" si="15"/>
        <v>55.26842465753424</v>
      </c>
    </row>
    <row r="1005" spans="1:9" ht="15" customHeight="1">
      <c r="A1005" s="73"/>
      <c r="B1005" s="18"/>
      <c r="C1005" s="9">
        <v>4270</v>
      </c>
      <c r="D1005" s="288" t="s">
        <v>603</v>
      </c>
      <c r="E1005" s="44">
        <v>10000</v>
      </c>
      <c r="F1005" s="95"/>
      <c r="G1005" s="44">
        <v>769.98</v>
      </c>
      <c r="H1005" s="95"/>
      <c r="I1005" s="359">
        <f t="shared" si="15"/>
        <v>7.6998</v>
      </c>
    </row>
    <row r="1006" spans="1:9" ht="15" customHeight="1">
      <c r="A1006" s="73"/>
      <c r="B1006" s="18"/>
      <c r="C1006" s="9">
        <v>4280</v>
      </c>
      <c r="D1006" s="288" t="s">
        <v>326</v>
      </c>
      <c r="E1006" s="44">
        <v>400</v>
      </c>
      <c r="F1006" s="95"/>
      <c r="G1006" s="44">
        <v>0</v>
      </c>
      <c r="H1006" s="95"/>
      <c r="I1006" s="359"/>
    </row>
    <row r="1007" spans="1:9" ht="15" customHeight="1">
      <c r="A1007" s="73"/>
      <c r="B1007" s="18"/>
      <c r="C1007" s="9">
        <v>4300</v>
      </c>
      <c r="D1007" s="288" t="s">
        <v>599</v>
      </c>
      <c r="E1007" s="44">
        <v>19200</v>
      </c>
      <c r="F1007" s="95"/>
      <c r="G1007" s="44">
        <v>9043.64</v>
      </c>
      <c r="H1007" s="95"/>
      <c r="I1007" s="359">
        <f t="shared" si="15"/>
        <v>47.10229166666666</v>
      </c>
    </row>
    <row r="1008" spans="1:9" ht="15" customHeight="1">
      <c r="A1008" s="73"/>
      <c r="B1008" s="18"/>
      <c r="C1008" s="9">
        <v>4410</v>
      </c>
      <c r="D1008" s="288" t="s">
        <v>649</v>
      </c>
      <c r="E1008" s="44">
        <v>200</v>
      </c>
      <c r="F1008" s="95"/>
      <c r="G1008" s="44">
        <v>0</v>
      </c>
      <c r="H1008" s="95"/>
      <c r="I1008" s="359"/>
    </row>
    <row r="1009" spans="1:9" ht="25.5" customHeight="1">
      <c r="A1009" s="73"/>
      <c r="B1009" s="18"/>
      <c r="C1009" s="9">
        <v>4440</v>
      </c>
      <c r="D1009" s="288" t="s">
        <v>647</v>
      </c>
      <c r="E1009" s="44">
        <v>7501</v>
      </c>
      <c r="F1009" s="95"/>
      <c r="G1009" s="44">
        <v>5563</v>
      </c>
      <c r="H1009" s="95"/>
      <c r="I1009" s="359">
        <f t="shared" si="15"/>
        <v>74.16344487401679</v>
      </c>
    </row>
    <row r="1010" spans="1:9" ht="21.75" customHeight="1">
      <c r="A1010" s="73"/>
      <c r="B1010" s="25">
        <v>80195</v>
      </c>
      <c r="C1010" s="25"/>
      <c r="D1010" s="293" t="s">
        <v>544</v>
      </c>
      <c r="E1010" s="29">
        <f>SUM(E1011:E1021)</f>
        <v>891518.12</v>
      </c>
      <c r="F1010" s="95"/>
      <c r="G1010" s="29">
        <f>SUM(G1011:G1021)</f>
        <v>528013.26</v>
      </c>
      <c r="H1010" s="95"/>
      <c r="I1010" s="359">
        <f t="shared" si="15"/>
        <v>59.22630714449192</v>
      </c>
    </row>
    <row r="1011" spans="1:9" ht="20.25" customHeight="1">
      <c r="A1011" s="73"/>
      <c r="B1011" s="33"/>
      <c r="C1011" s="9">
        <v>4111</v>
      </c>
      <c r="D1011" s="288" t="s">
        <v>645</v>
      </c>
      <c r="E1011" s="102">
        <v>342</v>
      </c>
      <c r="F1011" s="95"/>
      <c r="G1011" s="102">
        <v>171</v>
      </c>
      <c r="H1011" s="95"/>
      <c r="I1011" s="359">
        <f t="shared" si="15"/>
        <v>50</v>
      </c>
    </row>
    <row r="1012" spans="1:9" ht="21" customHeight="1">
      <c r="A1012" s="73"/>
      <c r="B1012" s="33"/>
      <c r="C1012" s="9">
        <v>4121</v>
      </c>
      <c r="D1012" s="288" t="s">
        <v>646</v>
      </c>
      <c r="E1012" s="102">
        <v>50</v>
      </c>
      <c r="F1012" s="95"/>
      <c r="G1012" s="102">
        <v>24.5</v>
      </c>
      <c r="H1012" s="95"/>
      <c r="I1012" s="359">
        <f t="shared" si="15"/>
        <v>49</v>
      </c>
    </row>
    <row r="1013" spans="1:9" ht="16.5" customHeight="1">
      <c r="A1013" s="73"/>
      <c r="B1013" s="33"/>
      <c r="C1013" s="20">
        <v>4171</v>
      </c>
      <c r="D1013" s="350" t="s">
        <v>652</v>
      </c>
      <c r="E1013" s="102">
        <v>2000</v>
      </c>
      <c r="F1013" s="95"/>
      <c r="G1013" s="102">
        <v>1000</v>
      </c>
      <c r="H1013" s="95"/>
      <c r="I1013" s="359">
        <f t="shared" si="15"/>
        <v>50</v>
      </c>
    </row>
    <row r="1014" spans="1:9" ht="15" customHeight="1">
      <c r="A1014" s="73"/>
      <c r="B1014" s="18"/>
      <c r="C1014" s="9">
        <v>4210</v>
      </c>
      <c r="D1014" s="288" t="s">
        <v>385</v>
      </c>
      <c r="E1014" s="44">
        <v>4800</v>
      </c>
      <c r="F1014" s="95"/>
      <c r="G1014" s="44">
        <v>2800</v>
      </c>
      <c r="H1014" s="95"/>
      <c r="I1014" s="359">
        <f t="shared" si="15"/>
        <v>58.333333333333336</v>
      </c>
    </row>
    <row r="1015" spans="1:9" ht="15" customHeight="1">
      <c r="A1015" s="73"/>
      <c r="B1015" s="18"/>
      <c r="C1015" s="9">
        <v>4211</v>
      </c>
      <c r="D1015" s="288" t="s">
        <v>385</v>
      </c>
      <c r="E1015" s="44">
        <v>7818.4</v>
      </c>
      <c r="F1015" s="95"/>
      <c r="G1015" s="44">
        <v>2586.38</v>
      </c>
      <c r="H1015" s="95"/>
      <c r="I1015" s="359">
        <f t="shared" si="15"/>
        <v>33.080681469354346</v>
      </c>
    </row>
    <row r="1016" spans="1:9" ht="26.25" customHeight="1">
      <c r="A1016" s="73"/>
      <c r="B1016" s="18"/>
      <c r="C1016" s="9">
        <v>4241</v>
      </c>
      <c r="D1016" s="288" t="s">
        <v>358</v>
      </c>
      <c r="E1016" s="44">
        <v>3400</v>
      </c>
      <c r="F1016" s="95"/>
      <c r="G1016" s="44">
        <v>59.53</v>
      </c>
      <c r="H1016" s="95"/>
      <c r="I1016" s="359">
        <f t="shared" si="15"/>
        <v>1.7508823529411763</v>
      </c>
    </row>
    <row r="1017" spans="1:9" ht="15" customHeight="1">
      <c r="A1017" s="73"/>
      <c r="B1017" s="18"/>
      <c r="C1017" s="9">
        <v>4300</v>
      </c>
      <c r="D1017" s="288" t="s">
        <v>599</v>
      </c>
      <c r="E1017" s="44">
        <v>36300</v>
      </c>
      <c r="F1017" s="95"/>
      <c r="G1017" s="44">
        <v>14727.07</v>
      </c>
      <c r="H1017" s="95"/>
      <c r="I1017" s="359">
        <f t="shared" si="15"/>
        <v>40.570440771349865</v>
      </c>
    </row>
    <row r="1018" spans="1:9" ht="15" customHeight="1">
      <c r="A1018" s="73"/>
      <c r="B1018" s="18"/>
      <c r="C1018" s="9">
        <v>4301</v>
      </c>
      <c r="D1018" s="288" t="s">
        <v>599</v>
      </c>
      <c r="E1018" s="44">
        <v>185651.2</v>
      </c>
      <c r="F1018" s="95"/>
      <c r="G1018" s="44">
        <v>26953.22</v>
      </c>
      <c r="H1018" s="95"/>
      <c r="I1018" s="359">
        <f t="shared" si="15"/>
        <v>14.51820402992278</v>
      </c>
    </row>
    <row r="1019" spans="1:9" ht="39.75" customHeight="1">
      <c r="A1019" s="73"/>
      <c r="B1019" s="18"/>
      <c r="C1019" s="9">
        <v>4361</v>
      </c>
      <c r="D1019" s="288" t="s">
        <v>390</v>
      </c>
      <c r="E1019" s="44">
        <v>400</v>
      </c>
      <c r="F1019" s="95"/>
      <c r="G1019" s="44">
        <v>0</v>
      </c>
      <c r="H1019" s="95"/>
      <c r="I1019" s="359"/>
    </row>
    <row r="1020" spans="1:9" ht="15" customHeight="1">
      <c r="A1020" s="73"/>
      <c r="B1020" s="18"/>
      <c r="C1020" s="9">
        <v>4421</v>
      </c>
      <c r="D1020" s="288" t="s">
        <v>657</v>
      </c>
      <c r="E1020" s="44">
        <v>14306.52</v>
      </c>
      <c r="F1020" s="95"/>
      <c r="G1020" s="44">
        <v>2683.56</v>
      </c>
      <c r="H1020" s="95"/>
      <c r="I1020" s="359">
        <f t="shared" si="15"/>
        <v>18.7576014292784</v>
      </c>
    </row>
    <row r="1021" spans="1:9" ht="22.5" customHeight="1">
      <c r="A1021" s="73"/>
      <c r="B1021" s="18"/>
      <c r="C1021" s="9">
        <v>4440</v>
      </c>
      <c r="D1021" s="288" t="s">
        <v>647</v>
      </c>
      <c r="E1021" s="44">
        <v>636450</v>
      </c>
      <c r="F1021" s="95"/>
      <c r="G1021" s="44">
        <v>477008</v>
      </c>
      <c r="H1021" s="95"/>
      <c r="I1021" s="359">
        <f t="shared" si="15"/>
        <v>74.94822845470972</v>
      </c>
    </row>
    <row r="1022" spans="1:9" ht="22.5" customHeight="1">
      <c r="A1022" s="63">
        <v>852</v>
      </c>
      <c r="B1022" s="62"/>
      <c r="C1022" s="11"/>
      <c r="D1022" s="292" t="s">
        <v>467</v>
      </c>
      <c r="E1022" s="36">
        <f>E1023+E1047+E1073+E1082+E1088+E1090</f>
        <v>12232001</v>
      </c>
      <c r="F1022" s="36">
        <f>F1023+F1047+F1073+F1082+F1088+F1090</f>
        <v>0</v>
      </c>
      <c r="G1022" s="36">
        <f>G1023+G1047+G1073+G1082+G1088+G1090</f>
        <v>6190669.759999999</v>
      </c>
      <c r="H1022" s="36">
        <f>H1023+H1047+H1073+H1082+H1088+H1090</f>
        <v>0</v>
      </c>
      <c r="I1022" s="359">
        <f t="shared" si="15"/>
        <v>50.61044190562115</v>
      </c>
    </row>
    <row r="1023" spans="1:9" ht="24" customHeight="1">
      <c r="A1023" s="63"/>
      <c r="B1023" s="24">
        <v>85201</v>
      </c>
      <c r="C1023" s="25"/>
      <c r="D1023" s="293" t="s">
        <v>468</v>
      </c>
      <c r="E1023" s="42">
        <f>SUM(E1024:E1046)</f>
        <v>2093150</v>
      </c>
      <c r="F1023" s="112"/>
      <c r="G1023" s="42">
        <f>SUM(G1024:G1046)</f>
        <v>981588.5500000002</v>
      </c>
      <c r="H1023" s="112"/>
      <c r="I1023" s="359">
        <f t="shared" si="15"/>
        <v>46.895279841387385</v>
      </c>
    </row>
    <row r="1024" spans="1:9" ht="52.5" customHeight="1">
      <c r="A1024" s="73"/>
      <c r="B1024" s="18"/>
      <c r="C1024" s="9">
        <v>2320</v>
      </c>
      <c r="D1024" s="288" t="s">
        <v>613</v>
      </c>
      <c r="E1024" s="102">
        <v>598400</v>
      </c>
      <c r="F1024" s="95"/>
      <c r="G1024" s="102">
        <v>237565.5</v>
      </c>
      <c r="H1024" s="95"/>
      <c r="I1024" s="359">
        <f t="shared" si="15"/>
        <v>39.70011697860962</v>
      </c>
    </row>
    <row r="1025" spans="1:9" ht="75" customHeight="1">
      <c r="A1025" s="73"/>
      <c r="B1025" s="18"/>
      <c r="C1025" s="3">
        <v>2360</v>
      </c>
      <c r="D1025" s="288" t="s">
        <v>493</v>
      </c>
      <c r="E1025" s="102">
        <v>200000</v>
      </c>
      <c r="F1025" s="95"/>
      <c r="G1025" s="102">
        <v>100000</v>
      </c>
      <c r="H1025" s="95"/>
      <c r="I1025" s="359">
        <f t="shared" si="15"/>
        <v>50</v>
      </c>
    </row>
    <row r="1026" spans="1:9" ht="26.25" customHeight="1">
      <c r="A1026" s="73"/>
      <c r="B1026" s="18"/>
      <c r="C1026" s="9">
        <v>3020</v>
      </c>
      <c r="D1026" s="288" t="s">
        <v>324</v>
      </c>
      <c r="E1026" s="44">
        <v>500</v>
      </c>
      <c r="F1026" s="95"/>
      <c r="G1026" s="44">
        <v>250.01</v>
      </c>
      <c r="H1026" s="95"/>
      <c r="I1026" s="359">
        <f t="shared" si="15"/>
        <v>50.002</v>
      </c>
    </row>
    <row r="1027" spans="1:9" ht="15" customHeight="1">
      <c r="A1027" s="73"/>
      <c r="B1027" s="33"/>
      <c r="C1027" s="3">
        <v>3110</v>
      </c>
      <c r="D1027" s="288" t="s">
        <v>339</v>
      </c>
      <c r="E1027" s="44">
        <v>7500</v>
      </c>
      <c r="F1027" s="95"/>
      <c r="G1027" s="44">
        <v>3642.2</v>
      </c>
      <c r="H1027" s="95"/>
      <c r="I1027" s="359">
        <f t="shared" si="15"/>
        <v>48.562666666666665</v>
      </c>
    </row>
    <row r="1028" spans="1:9" ht="15.75" customHeight="1">
      <c r="A1028" s="73"/>
      <c r="B1028" s="18"/>
      <c r="C1028" s="3">
        <v>4010</v>
      </c>
      <c r="D1028" s="288" t="s">
        <v>643</v>
      </c>
      <c r="E1028" s="44">
        <v>810000</v>
      </c>
      <c r="F1028" s="95"/>
      <c r="G1028" s="44">
        <v>387002.05</v>
      </c>
      <c r="H1028" s="95"/>
      <c r="I1028" s="359">
        <f t="shared" si="15"/>
        <v>47.77803086419753</v>
      </c>
    </row>
    <row r="1029" spans="1:9" ht="15" customHeight="1">
      <c r="A1029" s="73"/>
      <c r="B1029" s="18"/>
      <c r="C1029" s="3">
        <v>4040</v>
      </c>
      <c r="D1029" s="288" t="s">
        <v>644</v>
      </c>
      <c r="E1029" s="44">
        <v>67000</v>
      </c>
      <c r="F1029" s="95"/>
      <c r="G1029" s="44">
        <v>62801.34</v>
      </c>
      <c r="H1029" s="95"/>
      <c r="I1029" s="359">
        <f t="shared" si="15"/>
        <v>93.73334328358209</v>
      </c>
    </row>
    <row r="1030" spans="1:9" ht="15" customHeight="1">
      <c r="A1030" s="73"/>
      <c r="B1030" s="18"/>
      <c r="C1030" s="3">
        <v>4110</v>
      </c>
      <c r="D1030" s="288" t="s">
        <v>645</v>
      </c>
      <c r="E1030" s="44">
        <v>139500</v>
      </c>
      <c r="F1030" s="95"/>
      <c r="G1030" s="44">
        <v>76942.67</v>
      </c>
      <c r="H1030" s="95"/>
      <c r="I1030" s="359">
        <f t="shared" si="15"/>
        <v>55.1560358422939</v>
      </c>
    </row>
    <row r="1031" spans="1:9" ht="15" customHeight="1">
      <c r="A1031" s="73"/>
      <c r="B1031" s="18"/>
      <c r="C1031" s="3">
        <v>4120</v>
      </c>
      <c r="D1031" s="288" t="s">
        <v>646</v>
      </c>
      <c r="E1031" s="44">
        <v>20000</v>
      </c>
      <c r="F1031" s="95"/>
      <c r="G1031" s="44">
        <v>8290.68</v>
      </c>
      <c r="H1031" s="95"/>
      <c r="I1031" s="359">
        <f t="shared" si="15"/>
        <v>41.4534</v>
      </c>
    </row>
    <row r="1032" spans="1:9" ht="15" customHeight="1">
      <c r="A1032" s="73"/>
      <c r="B1032" s="18"/>
      <c r="C1032" s="3">
        <v>4170</v>
      </c>
      <c r="D1032" s="288" t="s">
        <v>652</v>
      </c>
      <c r="E1032" s="44">
        <v>3600</v>
      </c>
      <c r="F1032" s="95"/>
      <c r="G1032" s="44">
        <v>1200</v>
      </c>
      <c r="H1032" s="95"/>
      <c r="I1032" s="359">
        <f t="shared" si="15"/>
        <v>33.33333333333333</v>
      </c>
    </row>
    <row r="1033" spans="1:9" ht="15" customHeight="1">
      <c r="A1033" s="73"/>
      <c r="B1033" s="18"/>
      <c r="C1033" s="3">
        <v>4210</v>
      </c>
      <c r="D1033" s="288" t="s">
        <v>602</v>
      </c>
      <c r="E1033" s="44">
        <v>35000</v>
      </c>
      <c r="F1033" s="95"/>
      <c r="G1033" s="44">
        <v>5945.96</v>
      </c>
      <c r="H1033" s="95"/>
      <c r="I1033" s="359">
        <f t="shared" si="15"/>
        <v>16.988457142857143</v>
      </c>
    </row>
    <row r="1034" spans="1:9" ht="15" customHeight="1">
      <c r="A1034" s="73"/>
      <c r="B1034" s="18"/>
      <c r="C1034" s="3">
        <v>4220</v>
      </c>
      <c r="D1034" s="288" t="s">
        <v>163</v>
      </c>
      <c r="E1034" s="44">
        <v>4000</v>
      </c>
      <c r="F1034" s="95"/>
      <c r="G1034" s="44">
        <v>1584.13</v>
      </c>
      <c r="H1034" s="95"/>
      <c r="I1034" s="359">
        <f t="shared" si="15"/>
        <v>39.60325</v>
      </c>
    </row>
    <row r="1035" spans="1:9" ht="25.5" customHeight="1">
      <c r="A1035" s="73"/>
      <c r="B1035" s="18"/>
      <c r="C1035" s="3">
        <v>4240</v>
      </c>
      <c r="D1035" s="288" t="s">
        <v>358</v>
      </c>
      <c r="E1035" s="44">
        <v>6000</v>
      </c>
      <c r="F1035" s="95"/>
      <c r="G1035" s="44">
        <v>75.05</v>
      </c>
      <c r="H1035" s="95"/>
      <c r="I1035" s="359">
        <f t="shared" si="15"/>
        <v>1.2508333333333332</v>
      </c>
    </row>
    <row r="1036" spans="1:9" ht="15" customHeight="1">
      <c r="A1036" s="73"/>
      <c r="B1036" s="18"/>
      <c r="C1036" s="3">
        <v>4260</v>
      </c>
      <c r="D1036" s="288" t="s">
        <v>660</v>
      </c>
      <c r="E1036" s="44">
        <v>27600</v>
      </c>
      <c r="F1036" s="95"/>
      <c r="G1036" s="44">
        <v>13430.65</v>
      </c>
      <c r="H1036" s="95"/>
      <c r="I1036" s="359">
        <f t="shared" si="15"/>
        <v>48.661775362318835</v>
      </c>
    </row>
    <row r="1037" spans="1:9" ht="15" customHeight="1">
      <c r="A1037" s="73"/>
      <c r="B1037" s="18"/>
      <c r="C1037" s="3">
        <v>4270</v>
      </c>
      <c r="D1037" s="288" t="s">
        <v>603</v>
      </c>
      <c r="E1037" s="44">
        <v>22000</v>
      </c>
      <c r="F1037" s="95"/>
      <c r="G1037" s="44">
        <v>7523.84</v>
      </c>
      <c r="H1037" s="95"/>
      <c r="I1037" s="359">
        <f t="shared" si="15"/>
        <v>34.19927272727273</v>
      </c>
    </row>
    <row r="1038" spans="1:9" ht="15" customHeight="1">
      <c r="A1038" s="73"/>
      <c r="B1038" s="18"/>
      <c r="C1038" s="3">
        <v>4280</v>
      </c>
      <c r="D1038" s="288" t="s">
        <v>326</v>
      </c>
      <c r="E1038" s="44">
        <v>600</v>
      </c>
      <c r="F1038" s="95"/>
      <c r="G1038" s="44">
        <v>0</v>
      </c>
      <c r="H1038" s="95"/>
      <c r="I1038" s="359">
        <f aca="true" t="shared" si="16" ref="I1038:I1101">G1038/E1038*100</f>
        <v>0</v>
      </c>
    </row>
    <row r="1039" spans="1:9" ht="15" customHeight="1">
      <c r="A1039" s="73"/>
      <c r="B1039" s="18"/>
      <c r="C1039" s="3">
        <v>4300</v>
      </c>
      <c r="D1039" s="288" t="s">
        <v>599</v>
      </c>
      <c r="E1039" s="44">
        <v>92750</v>
      </c>
      <c r="F1039" s="95"/>
      <c r="G1039" s="44">
        <v>41640.18</v>
      </c>
      <c r="H1039" s="95"/>
      <c r="I1039" s="359">
        <f t="shared" si="16"/>
        <v>44.89507277628032</v>
      </c>
    </row>
    <row r="1040" spans="1:9" ht="15" customHeight="1">
      <c r="A1040" s="73"/>
      <c r="B1040" s="18"/>
      <c r="C1040" s="20">
        <v>4350</v>
      </c>
      <c r="D1040" s="288" t="s">
        <v>655</v>
      </c>
      <c r="E1040" s="44">
        <v>800</v>
      </c>
      <c r="F1040" s="95"/>
      <c r="G1040" s="44">
        <v>354</v>
      </c>
      <c r="H1040" s="95"/>
      <c r="I1040" s="359">
        <f t="shared" si="16"/>
        <v>44.25</v>
      </c>
    </row>
    <row r="1041" spans="1:9" ht="36" customHeight="1">
      <c r="A1041" s="73"/>
      <c r="B1041" s="18"/>
      <c r="C1041" s="20">
        <v>4370</v>
      </c>
      <c r="D1041" s="288" t="s">
        <v>389</v>
      </c>
      <c r="E1041" s="44">
        <v>7000</v>
      </c>
      <c r="F1041" s="95"/>
      <c r="G1041" s="44">
        <v>2349.14</v>
      </c>
      <c r="H1041" s="95"/>
      <c r="I1041" s="359">
        <f t="shared" si="16"/>
        <v>33.55914285714285</v>
      </c>
    </row>
    <row r="1042" spans="1:9" ht="15" customHeight="1">
      <c r="A1042" s="73"/>
      <c r="B1042" s="18"/>
      <c r="C1042" s="3">
        <v>4410</v>
      </c>
      <c r="D1042" s="288" t="s">
        <v>649</v>
      </c>
      <c r="E1042" s="44">
        <v>14000</v>
      </c>
      <c r="F1042" s="95"/>
      <c r="G1042" s="44">
        <v>4850.29</v>
      </c>
      <c r="H1042" s="95"/>
      <c r="I1042" s="359">
        <f t="shared" si="16"/>
        <v>34.64492857142857</v>
      </c>
    </row>
    <row r="1043" spans="1:9" ht="15" customHeight="1">
      <c r="A1043" s="73"/>
      <c r="B1043" s="18"/>
      <c r="C1043" s="3">
        <v>4430</v>
      </c>
      <c r="D1043" s="288" t="s">
        <v>433</v>
      </c>
      <c r="E1043" s="44">
        <v>1800</v>
      </c>
      <c r="F1043" s="95"/>
      <c r="G1043" s="44">
        <v>340.86</v>
      </c>
      <c r="H1043" s="95"/>
      <c r="I1043" s="359">
        <f t="shared" si="16"/>
        <v>18.936666666666667</v>
      </c>
    </row>
    <row r="1044" spans="1:9" ht="25.5" customHeight="1">
      <c r="A1044" s="73"/>
      <c r="B1044" s="18"/>
      <c r="C1044" s="3">
        <v>4440</v>
      </c>
      <c r="D1044" s="288" t="s">
        <v>647</v>
      </c>
      <c r="E1044" s="44">
        <v>29500</v>
      </c>
      <c r="F1044" s="95"/>
      <c r="G1044" s="44">
        <v>22150</v>
      </c>
      <c r="H1044" s="95"/>
      <c r="I1044" s="359">
        <f t="shared" si="16"/>
        <v>75.08474576271186</v>
      </c>
    </row>
    <row r="1045" spans="1:9" ht="20.25" customHeight="1">
      <c r="A1045" s="73"/>
      <c r="B1045" s="18"/>
      <c r="C1045" s="9">
        <v>4480</v>
      </c>
      <c r="D1045" s="288" t="s">
        <v>452</v>
      </c>
      <c r="E1045" s="44">
        <v>3100</v>
      </c>
      <c r="F1045" s="95"/>
      <c r="G1045" s="44">
        <v>3075</v>
      </c>
      <c r="H1045" s="95"/>
      <c r="I1045" s="359">
        <f t="shared" si="16"/>
        <v>99.19354838709677</v>
      </c>
    </row>
    <row r="1046" spans="1:9" ht="25.5" customHeight="1">
      <c r="A1046" s="73"/>
      <c r="B1046" s="18"/>
      <c r="C1046" s="9">
        <v>4700</v>
      </c>
      <c r="D1046" s="288" t="s">
        <v>420</v>
      </c>
      <c r="E1046" s="44">
        <v>2500</v>
      </c>
      <c r="F1046" s="95"/>
      <c r="G1046" s="44">
        <v>575</v>
      </c>
      <c r="H1046" s="95"/>
      <c r="I1046" s="359">
        <f t="shared" si="16"/>
        <v>23</v>
      </c>
    </row>
    <row r="1047" spans="1:9" ht="24" customHeight="1">
      <c r="A1047" s="73"/>
      <c r="B1047" s="28">
        <v>85202</v>
      </c>
      <c r="C1047" s="25"/>
      <c r="D1047" s="293" t="s">
        <v>480</v>
      </c>
      <c r="E1047" s="41">
        <f>SUM(E1048:E1072)</f>
        <v>7886075</v>
      </c>
      <c r="F1047" s="95"/>
      <c r="G1047" s="41">
        <f>SUM(G1048:G1072)</f>
        <v>4142091.8599999994</v>
      </c>
      <c r="H1047" s="95"/>
      <c r="I1047" s="359">
        <f t="shared" si="16"/>
        <v>52.52412461205351</v>
      </c>
    </row>
    <row r="1048" spans="1:9" ht="24.75" customHeight="1">
      <c r="A1048" s="73"/>
      <c r="B1048" s="28"/>
      <c r="C1048" s="9">
        <v>3020</v>
      </c>
      <c r="D1048" s="288" t="s">
        <v>324</v>
      </c>
      <c r="E1048" s="102">
        <v>14934</v>
      </c>
      <c r="F1048" s="95"/>
      <c r="G1048" s="102">
        <v>300</v>
      </c>
      <c r="H1048" s="95"/>
      <c r="I1048" s="359">
        <f t="shared" si="16"/>
        <v>2.008838891120932</v>
      </c>
    </row>
    <row r="1049" spans="1:12" ht="20.25" customHeight="1">
      <c r="A1049" s="73"/>
      <c r="B1049" s="18"/>
      <c r="C1049" s="9">
        <v>4010</v>
      </c>
      <c r="D1049" s="288" t="s">
        <v>643</v>
      </c>
      <c r="E1049" s="44">
        <v>3072830</v>
      </c>
      <c r="F1049" s="95"/>
      <c r="G1049" s="44">
        <v>1519886.01</v>
      </c>
      <c r="H1049" s="95"/>
      <c r="I1049" s="359">
        <f t="shared" si="16"/>
        <v>49.46209227324649</v>
      </c>
      <c r="L1049" s="265"/>
    </row>
    <row r="1050" spans="1:9" ht="15" customHeight="1">
      <c r="A1050" s="73"/>
      <c r="B1050" s="18"/>
      <c r="C1050" s="9">
        <v>4040</v>
      </c>
      <c r="D1050" s="288" t="s">
        <v>644</v>
      </c>
      <c r="E1050" s="44">
        <v>238411.3</v>
      </c>
      <c r="F1050" s="95"/>
      <c r="G1050" s="44">
        <v>238411.3</v>
      </c>
      <c r="H1050" s="95"/>
      <c r="I1050" s="359">
        <f t="shared" si="16"/>
        <v>100</v>
      </c>
    </row>
    <row r="1051" spans="1:9" ht="15" customHeight="1">
      <c r="A1051" s="73"/>
      <c r="B1051" s="18"/>
      <c r="C1051" s="9">
        <v>4110</v>
      </c>
      <c r="D1051" s="288" t="s">
        <v>645</v>
      </c>
      <c r="E1051" s="44">
        <v>537702</v>
      </c>
      <c r="F1051" s="95"/>
      <c r="G1051" s="44">
        <v>303481.1</v>
      </c>
      <c r="H1051" s="95"/>
      <c r="I1051" s="359">
        <f t="shared" si="16"/>
        <v>56.440388914305686</v>
      </c>
    </row>
    <row r="1052" spans="1:9" ht="15" customHeight="1">
      <c r="A1052" s="73"/>
      <c r="B1052" s="18"/>
      <c r="C1052" s="9">
        <v>4120</v>
      </c>
      <c r="D1052" s="288" t="s">
        <v>646</v>
      </c>
      <c r="E1052" s="44">
        <v>58856</v>
      </c>
      <c r="F1052" s="95"/>
      <c r="G1052" s="44">
        <v>30225.91</v>
      </c>
      <c r="H1052" s="95"/>
      <c r="I1052" s="359">
        <f t="shared" si="16"/>
        <v>51.35569865434281</v>
      </c>
    </row>
    <row r="1053" spans="1:9" ht="15" customHeight="1">
      <c r="A1053" s="73"/>
      <c r="B1053" s="18"/>
      <c r="C1053" s="3">
        <v>4170</v>
      </c>
      <c r="D1053" s="288" t="s">
        <v>652</v>
      </c>
      <c r="E1053" s="44">
        <v>1030</v>
      </c>
      <c r="F1053" s="95"/>
      <c r="G1053" s="44">
        <v>350</v>
      </c>
      <c r="H1053" s="95"/>
      <c r="I1053" s="359">
        <f t="shared" si="16"/>
        <v>33.980582524271846</v>
      </c>
    </row>
    <row r="1054" spans="1:9" ht="15" customHeight="1">
      <c r="A1054" s="73"/>
      <c r="B1054" s="18"/>
      <c r="C1054" s="9">
        <v>4210</v>
      </c>
      <c r="D1054" s="288" t="s">
        <v>602</v>
      </c>
      <c r="E1054" s="44">
        <v>134597</v>
      </c>
      <c r="F1054" s="95"/>
      <c r="G1054" s="44">
        <v>95364.08</v>
      </c>
      <c r="H1054" s="95"/>
      <c r="I1054" s="359">
        <f t="shared" si="16"/>
        <v>70.85156429935289</v>
      </c>
    </row>
    <row r="1055" spans="1:9" ht="15" customHeight="1">
      <c r="A1055" s="73"/>
      <c r="B1055" s="18"/>
      <c r="C1055" s="9">
        <v>4220</v>
      </c>
      <c r="D1055" s="288" t="s">
        <v>163</v>
      </c>
      <c r="E1055" s="44">
        <v>399982</v>
      </c>
      <c r="F1055" s="95"/>
      <c r="G1055" s="44">
        <v>217293.29</v>
      </c>
      <c r="H1055" s="95"/>
      <c r="I1055" s="359">
        <f t="shared" si="16"/>
        <v>54.32576715952217</v>
      </c>
    </row>
    <row r="1056" spans="1:9" ht="25.5" customHeight="1">
      <c r="A1056" s="73"/>
      <c r="B1056" s="18"/>
      <c r="C1056" s="9">
        <v>4230</v>
      </c>
      <c r="D1056" s="288" t="s">
        <v>329</v>
      </c>
      <c r="E1056" s="44">
        <v>40776.5</v>
      </c>
      <c r="F1056" s="95"/>
      <c r="G1056" s="44">
        <v>21125.05</v>
      </c>
      <c r="H1056" s="95"/>
      <c r="I1056" s="359">
        <f t="shared" si="16"/>
        <v>51.806923105219916</v>
      </c>
    </row>
    <row r="1057" spans="1:9" ht="15" customHeight="1">
      <c r="A1057" s="73"/>
      <c r="B1057" s="18"/>
      <c r="C1057" s="9">
        <v>4260</v>
      </c>
      <c r="D1057" s="288" t="s">
        <v>660</v>
      </c>
      <c r="E1057" s="44">
        <v>288504.7</v>
      </c>
      <c r="F1057" s="95"/>
      <c r="G1057" s="44">
        <v>163281.9</v>
      </c>
      <c r="H1057" s="95"/>
      <c r="I1057" s="359">
        <f t="shared" si="16"/>
        <v>56.59592374058378</v>
      </c>
    </row>
    <row r="1058" spans="1:9" ht="15" customHeight="1">
      <c r="A1058" s="73"/>
      <c r="B1058" s="18"/>
      <c r="C1058" s="9">
        <v>4270</v>
      </c>
      <c r="D1058" s="288" t="s">
        <v>603</v>
      </c>
      <c r="E1058" s="44">
        <v>63700</v>
      </c>
      <c r="F1058" s="95"/>
      <c r="G1058" s="44">
        <v>40157.86</v>
      </c>
      <c r="H1058" s="95"/>
      <c r="I1058" s="359">
        <f t="shared" si="16"/>
        <v>63.04216640502355</v>
      </c>
    </row>
    <row r="1059" spans="1:9" ht="15" customHeight="1">
      <c r="A1059" s="73"/>
      <c r="B1059" s="18"/>
      <c r="C1059" s="9">
        <v>4280</v>
      </c>
      <c r="D1059" s="288" t="s">
        <v>326</v>
      </c>
      <c r="E1059" s="44">
        <v>44268</v>
      </c>
      <c r="F1059" s="95"/>
      <c r="G1059" s="44">
        <v>18579</v>
      </c>
      <c r="H1059" s="95"/>
      <c r="I1059" s="359">
        <f t="shared" si="16"/>
        <v>41.9693683925183</v>
      </c>
    </row>
    <row r="1060" spans="1:9" ht="16.5" customHeight="1">
      <c r="A1060" s="73"/>
      <c r="B1060" s="18"/>
      <c r="C1060" s="9">
        <v>4300</v>
      </c>
      <c r="D1060" s="288" t="s">
        <v>599</v>
      </c>
      <c r="E1060" s="44">
        <v>1460338</v>
      </c>
      <c r="F1060" s="95"/>
      <c r="G1060" s="44">
        <v>738844.77</v>
      </c>
      <c r="H1060" s="95"/>
      <c r="I1060" s="359">
        <f t="shared" si="16"/>
        <v>50.59409328525314</v>
      </c>
    </row>
    <row r="1061" spans="1:9" ht="36" customHeight="1">
      <c r="A1061" s="73"/>
      <c r="B1061" s="18"/>
      <c r="C1061" s="9">
        <v>4330</v>
      </c>
      <c r="D1061" s="288" t="s">
        <v>301</v>
      </c>
      <c r="E1061" s="44">
        <v>1303000</v>
      </c>
      <c r="F1061" s="95"/>
      <c r="G1061" s="44">
        <v>573442.48</v>
      </c>
      <c r="H1061" s="95"/>
      <c r="I1061" s="359">
        <f t="shared" si="16"/>
        <v>44.00939984650806</v>
      </c>
    </row>
    <row r="1062" spans="1:9" ht="17.25" customHeight="1">
      <c r="A1062" s="73"/>
      <c r="B1062" s="18"/>
      <c r="C1062" s="20">
        <v>4350</v>
      </c>
      <c r="D1062" s="288" t="s">
        <v>655</v>
      </c>
      <c r="E1062" s="44">
        <v>2400</v>
      </c>
      <c r="F1062" s="95"/>
      <c r="G1062" s="44">
        <v>1266.63</v>
      </c>
      <c r="H1062" s="95"/>
      <c r="I1062" s="359">
        <f t="shared" si="16"/>
        <v>52.776250000000005</v>
      </c>
    </row>
    <row r="1063" spans="1:9" ht="36" customHeight="1">
      <c r="A1063" s="73"/>
      <c r="B1063" s="18"/>
      <c r="C1063" s="20">
        <v>4360</v>
      </c>
      <c r="D1063" s="288" t="s">
        <v>390</v>
      </c>
      <c r="E1063" s="44">
        <v>4120</v>
      </c>
      <c r="F1063" s="95"/>
      <c r="G1063" s="44">
        <v>1641.32</v>
      </c>
      <c r="H1063" s="95"/>
      <c r="I1063" s="359">
        <f t="shared" si="16"/>
        <v>39.8378640776699</v>
      </c>
    </row>
    <row r="1064" spans="1:9" ht="36" customHeight="1">
      <c r="A1064" s="73"/>
      <c r="B1064" s="18"/>
      <c r="C1064" s="20">
        <v>4370</v>
      </c>
      <c r="D1064" s="288" t="s">
        <v>389</v>
      </c>
      <c r="E1064" s="44">
        <v>8000</v>
      </c>
      <c r="F1064" s="95"/>
      <c r="G1064" s="44">
        <v>3326.21</v>
      </c>
      <c r="H1064" s="95"/>
      <c r="I1064" s="359">
        <f t="shared" si="16"/>
        <v>41.577625000000005</v>
      </c>
    </row>
    <row r="1065" spans="1:9" ht="15" customHeight="1">
      <c r="A1065" s="73"/>
      <c r="B1065" s="18"/>
      <c r="C1065" s="9">
        <v>4410</v>
      </c>
      <c r="D1065" s="288" t="s">
        <v>649</v>
      </c>
      <c r="E1065" s="44">
        <v>542</v>
      </c>
      <c r="F1065" s="95"/>
      <c r="G1065" s="44">
        <v>247.4</v>
      </c>
      <c r="H1065" s="95"/>
      <c r="I1065" s="359">
        <f t="shared" si="16"/>
        <v>45.64575645756458</v>
      </c>
    </row>
    <row r="1066" spans="1:9" ht="15" customHeight="1">
      <c r="A1066" s="73"/>
      <c r="B1066" s="18"/>
      <c r="C1066" s="9">
        <v>4430</v>
      </c>
      <c r="D1066" s="288" t="s">
        <v>302</v>
      </c>
      <c r="E1066" s="44">
        <v>8883</v>
      </c>
      <c r="F1066" s="95"/>
      <c r="G1066" s="44">
        <v>4005</v>
      </c>
      <c r="H1066" s="95"/>
      <c r="I1066" s="359">
        <f t="shared" si="16"/>
        <v>45.086119554204664</v>
      </c>
    </row>
    <row r="1067" spans="1:9" ht="26.25" customHeight="1">
      <c r="A1067" s="73"/>
      <c r="B1067" s="18"/>
      <c r="C1067" s="9">
        <v>4440</v>
      </c>
      <c r="D1067" s="288" t="s">
        <v>647</v>
      </c>
      <c r="E1067" s="44">
        <v>107540</v>
      </c>
      <c r="F1067" s="95"/>
      <c r="G1067" s="44">
        <v>81000</v>
      </c>
      <c r="H1067" s="95"/>
      <c r="I1067" s="359">
        <f t="shared" si="16"/>
        <v>75.32081086107495</v>
      </c>
    </row>
    <row r="1068" spans="1:9" ht="15" customHeight="1">
      <c r="A1068" s="73"/>
      <c r="B1068" s="18"/>
      <c r="C1068" s="9">
        <v>4480</v>
      </c>
      <c r="D1068" s="288" t="s">
        <v>452</v>
      </c>
      <c r="E1068" s="44">
        <v>4758</v>
      </c>
      <c r="F1068" s="95"/>
      <c r="G1068" s="44">
        <v>4758</v>
      </c>
      <c r="H1068" s="95"/>
      <c r="I1068" s="359">
        <f t="shared" si="16"/>
        <v>100</v>
      </c>
    </row>
    <row r="1069" spans="1:9" ht="28.5" customHeight="1">
      <c r="A1069" s="73"/>
      <c r="B1069" s="18"/>
      <c r="C1069" s="9">
        <v>4500</v>
      </c>
      <c r="D1069" s="288" t="s">
        <v>457</v>
      </c>
      <c r="E1069" s="44">
        <v>45</v>
      </c>
      <c r="F1069" s="95"/>
      <c r="G1069" s="44">
        <v>45</v>
      </c>
      <c r="H1069" s="95"/>
      <c r="I1069" s="359">
        <f t="shared" si="16"/>
        <v>100</v>
      </c>
    </row>
    <row r="1070" spans="1:9" ht="29.25" customHeight="1">
      <c r="A1070" s="73"/>
      <c r="B1070" s="18"/>
      <c r="C1070" s="9">
        <v>4520</v>
      </c>
      <c r="D1070" s="288" t="s">
        <v>419</v>
      </c>
      <c r="E1070" s="44">
        <v>9.5</v>
      </c>
      <c r="F1070" s="95"/>
      <c r="G1070" s="44">
        <v>9.47</v>
      </c>
      <c r="H1070" s="95"/>
      <c r="I1070" s="359">
        <f t="shared" si="16"/>
        <v>99.6842105263158</v>
      </c>
    </row>
    <row r="1071" spans="1:9" ht="26.25" customHeight="1">
      <c r="A1071" s="73"/>
      <c r="B1071" s="18"/>
      <c r="C1071" s="9">
        <v>4700</v>
      </c>
      <c r="D1071" s="288" t="s">
        <v>420</v>
      </c>
      <c r="E1071" s="44">
        <v>6848</v>
      </c>
      <c r="F1071" s="95"/>
      <c r="G1071" s="44">
        <v>4690</v>
      </c>
      <c r="H1071" s="95"/>
      <c r="I1071" s="359">
        <f t="shared" si="16"/>
        <v>68.48714953271028</v>
      </c>
    </row>
    <row r="1072" spans="1:9" ht="28.5" customHeight="1">
      <c r="A1072" s="73"/>
      <c r="B1072" s="18"/>
      <c r="C1072" s="3">
        <v>6060</v>
      </c>
      <c r="D1072" s="288" t="s">
        <v>665</v>
      </c>
      <c r="E1072" s="44">
        <v>84000</v>
      </c>
      <c r="F1072" s="95"/>
      <c r="G1072" s="44">
        <v>80360.08</v>
      </c>
      <c r="H1072" s="95"/>
      <c r="I1072" s="359">
        <f t="shared" si="16"/>
        <v>95.66676190476191</v>
      </c>
    </row>
    <row r="1073" spans="1:9" ht="27" customHeight="1">
      <c r="A1073" s="73"/>
      <c r="B1073" s="28">
        <v>85204</v>
      </c>
      <c r="C1073" s="24"/>
      <c r="D1073" s="293" t="s">
        <v>460</v>
      </c>
      <c r="E1073" s="41">
        <f>SUM(E1074:E1081)</f>
        <v>2175644</v>
      </c>
      <c r="F1073" s="95"/>
      <c r="G1073" s="41">
        <f>SUM(G1074:G1081)</f>
        <v>1033051.35</v>
      </c>
      <c r="H1073" s="95"/>
      <c r="I1073" s="359">
        <f t="shared" si="16"/>
        <v>47.482554590732676</v>
      </c>
    </row>
    <row r="1074" spans="1:9" ht="51" customHeight="1">
      <c r="A1074" s="76"/>
      <c r="B1074" s="14"/>
      <c r="C1074" s="9">
        <v>2320</v>
      </c>
      <c r="D1074" s="288" t="s">
        <v>613</v>
      </c>
      <c r="E1074" s="102">
        <v>407000</v>
      </c>
      <c r="F1074" s="95"/>
      <c r="G1074" s="102">
        <v>166836.43</v>
      </c>
      <c r="H1074" s="95"/>
      <c r="I1074" s="359">
        <f t="shared" si="16"/>
        <v>40.99175184275184</v>
      </c>
    </row>
    <row r="1075" spans="1:9" ht="15" customHeight="1">
      <c r="A1075" s="76"/>
      <c r="B1075" s="8"/>
      <c r="C1075" s="9">
        <v>3110</v>
      </c>
      <c r="D1075" s="350" t="s">
        <v>339</v>
      </c>
      <c r="E1075" s="102">
        <v>1471000</v>
      </c>
      <c r="F1075" s="95"/>
      <c r="G1075" s="102">
        <v>735828.98</v>
      </c>
      <c r="H1075" s="95"/>
      <c r="I1075" s="359">
        <f t="shared" si="16"/>
        <v>50.02236437797417</v>
      </c>
    </row>
    <row r="1076" spans="1:9" ht="15" customHeight="1">
      <c r="A1076" s="76"/>
      <c r="B1076" s="8"/>
      <c r="C1076" s="9">
        <v>4010</v>
      </c>
      <c r="D1076" s="350" t="s">
        <v>643</v>
      </c>
      <c r="E1076" s="102">
        <v>112708</v>
      </c>
      <c r="F1076" s="95"/>
      <c r="G1076" s="102">
        <v>53274.14</v>
      </c>
      <c r="H1076" s="95"/>
      <c r="I1076" s="359">
        <f t="shared" si="16"/>
        <v>47.26739894239983</v>
      </c>
    </row>
    <row r="1077" spans="1:9" ht="15" customHeight="1">
      <c r="A1077" s="76"/>
      <c r="B1077" s="8"/>
      <c r="C1077" s="9">
        <v>4040</v>
      </c>
      <c r="D1077" s="288" t="s">
        <v>644</v>
      </c>
      <c r="E1077" s="102">
        <v>8500</v>
      </c>
      <c r="F1077" s="95"/>
      <c r="G1077" s="102">
        <v>8500</v>
      </c>
      <c r="H1077" s="95"/>
      <c r="I1077" s="359">
        <f t="shared" si="16"/>
        <v>100</v>
      </c>
    </row>
    <row r="1078" spans="1:9" ht="15" customHeight="1">
      <c r="A1078" s="76"/>
      <c r="B1078" s="8"/>
      <c r="C1078" s="9">
        <v>4110</v>
      </c>
      <c r="D1078" s="288" t="s">
        <v>645</v>
      </c>
      <c r="E1078" s="44">
        <v>41890</v>
      </c>
      <c r="F1078" s="95"/>
      <c r="G1078" s="44">
        <v>18981.74</v>
      </c>
      <c r="H1078" s="95"/>
      <c r="I1078" s="359">
        <f t="shared" si="16"/>
        <v>45.313296729529725</v>
      </c>
    </row>
    <row r="1079" spans="1:9" ht="15" customHeight="1">
      <c r="A1079" s="76"/>
      <c r="B1079" s="8"/>
      <c r="C1079" s="9">
        <v>4120</v>
      </c>
      <c r="D1079" s="288" t="s">
        <v>646</v>
      </c>
      <c r="E1079" s="44">
        <v>4046</v>
      </c>
      <c r="F1079" s="95"/>
      <c r="G1079" s="44">
        <v>1734.06</v>
      </c>
      <c r="H1079" s="95"/>
      <c r="I1079" s="359">
        <f t="shared" si="16"/>
        <v>42.85862580326248</v>
      </c>
    </row>
    <row r="1080" spans="1:9" ht="15" customHeight="1">
      <c r="A1080" s="76"/>
      <c r="B1080" s="8"/>
      <c r="C1080" s="16">
        <v>4170</v>
      </c>
      <c r="D1080" s="290" t="s">
        <v>652</v>
      </c>
      <c r="E1080" s="100">
        <v>127000</v>
      </c>
      <c r="F1080" s="95"/>
      <c r="G1080" s="100">
        <v>45271</v>
      </c>
      <c r="H1080" s="95"/>
      <c r="I1080" s="359">
        <f t="shared" si="16"/>
        <v>35.64645669291339</v>
      </c>
    </row>
    <row r="1081" spans="1:9" ht="24.75" customHeight="1">
      <c r="A1081" s="76"/>
      <c r="B1081" s="2"/>
      <c r="C1081" s="9">
        <v>4440</v>
      </c>
      <c r="D1081" s="288" t="s">
        <v>647</v>
      </c>
      <c r="E1081" s="100">
        <v>3500</v>
      </c>
      <c r="F1081" s="95"/>
      <c r="G1081" s="55">
        <v>2625</v>
      </c>
      <c r="H1081" s="95"/>
      <c r="I1081" s="359">
        <f t="shared" si="16"/>
        <v>75</v>
      </c>
    </row>
    <row r="1082" spans="1:9" ht="24" customHeight="1">
      <c r="A1082" s="73"/>
      <c r="B1082" s="38">
        <v>85218</v>
      </c>
      <c r="C1082" s="25"/>
      <c r="D1082" s="293" t="s">
        <v>303</v>
      </c>
      <c r="E1082" s="198">
        <f>SUM(E1083:E1087)</f>
        <v>72232</v>
      </c>
      <c r="F1082" s="95"/>
      <c r="G1082" s="106">
        <f>SUM(G1083:G1087)</f>
        <v>31313</v>
      </c>
      <c r="H1082" s="95"/>
      <c r="I1082" s="359">
        <f t="shared" si="16"/>
        <v>43.35059253516447</v>
      </c>
    </row>
    <row r="1083" spans="1:9" ht="20.25" customHeight="1">
      <c r="A1083" s="73"/>
      <c r="B1083" s="18"/>
      <c r="C1083" s="2">
        <v>4010</v>
      </c>
      <c r="D1083" s="350" t="s">
        <v>643</v>
      </c>
      <c r="E1083" s="102">
        <v>50470</v>
      </c>
      <c r="F1083" s="95"/>
      <c r="G1083" s="102">
        <v>17649.66</v>
      </c>
      <c r="H1083" s="95"/>
      <c r="I1083" s="359">
        <f t="shared" si="16"/>
        <v>34.97059639389736</v>
      </c>
    </row>
    <row r="1084" spans="1:9" ht="15" customHeight="1">
      <c r="A1084" s="73"/>
      <c r="B1084" s="18"/>
      <c r="C1084" s="3">
        <v>4040</v>
      </c>
      <c r="D1084" s="288" t="s">
        <v>644</v>
      </c>
      <c r="E1084" s="44">
        <v>7100</v>
      </c>
      <c r="F1084" s="95"/>
      <c r="G1084" s="44">
        <v>7100</v>
      </c>
      <c r="H1084" s="95"/>
      <c r="I1084" s="359">
        <f t="shared" si="16"/>
        <v>100</v>
      </c>
    </row>
    <row r="1085" spans="1:9" ht="15" customHeight="1">
      <c r="A1085" s="73"/>
      <c r="B1085" s="18"/>
      <c r="C1085" s="3">
        <v>4110</v>
      </c>
      <c r="D1085" s="288" t="s">
        <v>645</v>
      </c>
      <c r="E1085" s="44">
        <v>11362</v>
      </c>
      <c r="F1085" s="95"/>
      <c r="G1085" s="44">
        <v>4177.17</v>
      </c>
      <c r="H1085" s="95"/>
      <c r="I1085" s="359">
        <f t="shared" si="16"/>
        <v>36.76439007217039</v>
      </c>
    </row>
    <row r="1086" spans="1:9" ht="15" customHeight="1">
      <c r="A1086" s="73"/>
      <c r="B1086" s="18"/>
      <c r="C1086" s="3">
        <v>4120</v>
      </c>
      <c r="D1086" s="288" t="s">
        <v>646</v>
      </c>
      <c r="E1086" s="44">
        <v>900</v>
      </c>
      <c r="F1086" s="95"/>
      <c r="G1086" s="44">
        <v>586.17</v>
      </c>
      <c r="H1086" s="95"/>
      <c r="I1086" s="359">
        <f t="shared" si="16"/>
        <v>65.13</v>
      </c>
    </row>
    <row r="1087" spans="1:9" ht="25.5" customHeight="1">
      <c r="A1087" s="73"/>
      <c r="B1087" s="18"/>
      <c r="C1087" s="14">
        <v>4440</v>
      </c>
      <c r="D1087" s="353" t="s">
        <v>647</v>
      </c>
      <c r="E1087" s="100">
        <v>2400</v>
      </c>
      <c r="F1087" s="95"/>
      <c r="G1087" s="100">
        <v>1800</v>
      </c>
      <c r="H1087" s="95"/>
      <c r="I1087" s="359">
        <f t="shared" si="16"/>
        <v>75</v>
      </c>
    </row>
    <row r="1088" spans="1:9" ht="26.25" customHeight="1">
      <c r="A1088" s="73"/>
      <c r="B1088" s="25">
        <v>85233</v>
      </c>
      <c r="C1088" s="3"/>
      <c r="D1088" s="293" t="s">
        <v>591</v>
      </c>
      <c r="E1088" s="41">
        <f>E1089</f>
        <v>1800</v>
      </c>
      <c r="F1088" s="95"/>
      <c r="G1088" s="41">
        <f>G1089</f>
        <v>275</v>
      </c>
      <c r="H1088" s="95"/>
      <c r="I1088" s="359">
        <f t="shared" si="16"/>
        <v>15.277777777777779</v>
      </c>
    </row>
    <row r="1089" spans="1:9" ht="30" customHeight="1">
      <c r="A1089" s="73"/>
      <c r="B1089" s="10"/>
      <c r="C1089" s="8">
        <v>4700</v>
      </c>
      <c r="D1089" s="354" t="s">
        <v>420</v>
      </c>
      <c r="E1089" s="58">
        <v>1800</v>
      </c>
      <c r="F1089" s="95"/>
      <c r="G1089" s="58">
        <v>275</v>
      </c>
      <c r="H1089" s="95"/>
      <c r="I1089" s="359">
        <f t="shared" si="16"/>
        <v>15.277777777777779</v>
      </c>
    </row>
    <row r="1090" spans="1:13" ht="20.25" customHeight="1">
      <c r="A1090" s="73"/>
      <c r="B1090" s="25">
        <v>85295</v>
      </c>
      <c r="C1090" s="25"/>
      <c r="D1090" s="293" t="s">
        <v>544</v>
      </c>
      <c r="E1090" s="41">
        <f>SUM(E1091:E1091)</f>
        <v>3100</v>
      </c>
      <c r="F1090" s="95"/>
      <c r="G1090" s="41">
        <f>SUM(G1091:G1091)</f>
        <v>2350</v>
      </c>
      <c r="H1090" s="95"/>
      <c r="I1090" s="359">
        <f t="shared" si="16"/>
        <v>75.80645161290323</v>
      </c>
      <c r="J1090" s="243"/>
      <c r="K1090" s="243"/>
      <c r="L1090" s="261"/>
      <c r="M1090" s="243"/>
    </row>
    <row r="1091" spans="1:9" ht="28.5" customHeight="1">
      <c r="A1091" s="73"/>
      <c r="B1091" s="33"/>
      <c r="C1091" s="9">
        <v>4440</v>
      </c>
      <c r="D1091" s="288" t="s">
        <v>647</v>
      </c>
      <c r="E1091" s="44">
        <v>3100</v>
      </c>
      <c r="F1091" s="95"/>
      <c r="G1091" s="44">
        <v>2350</v>
      </c>
      <c r="H1091" s="95"/>
      <c r="I1091" s="359">
        <f t="shared" si="16"/>
        <v>75.80645161290323</v>
      </c>
    </row>
    <row r="1092" spans="1:9" ht="28.5" customHeight="1">
      <c r="A1092" s="62">
        <v>853</v>
      </c>
      <c r="B1092" s="62"/>
      <c r="C1092" s="12"/>
      <c r="D1092" s="292" t="s">
        <v>592</v>
      </c>
      <c r="E1092" s="36">
        <f>E1093+E1095+E1103+E1105</f>
        <v>4208558.77</v>
      </c>
      <c r="F1092" s="315">
        <f>F1093+F1095+F1103+F1105</f>
        <v>163626</v>
      </c>
      <c r="G1092" s="36">
        <f>G1093+G1095+G1103+G1105</f>
        <v>1685636.8900000001</v>
      </c>
      <c r="H1092" s="315">
        <f>H1093+H1095+H1103+H1105</f>
        <v>85004.99999999999</v>
      </c>
      <c r="I1092" s="359">
        <f t="shared" si="16"/>
        <v>40.05259239851367</v>
      </c>
    </row>
    <row r="1093" spans="1:25" s="61" customFormat="1" ht="26.25" customHeight="1">
      <c r="A1093" s="88"/>
      <c r="B1093" s="49">
        <v>85311</v>
      </c>
      <c r="C1093" s="39"/>
      <c r="D1093" s="349" t="s">
        <v>447</v>
      </c>
      <c r="E1093" s="41">
        <f>SUM(E1094:E1094)</f>
        <v>308105</v>
      </c>
      <c r="F1093" s="113"/>
      <c r="G1093" s="41">
        <f>SUM(G1094:G1094)</f>
        <v>229121</v>
      </c>
      <c r="H1093" s="113"/>
      <c r="I1093" s="359">
        <f t="shared" si="16"/>
        <v>74.36458350237743</v>
      </c>
      <c r="J1093" s="238"/>
      <c r="K1093" s="238"/>
      <c r="L1093" s="262"/>
      <c r="M1093" s="238"/>
      <c r="N1093" s="238"/>
      <c r="O1093" s="238"/>
      <c r="P1093" s="238"/>
      <c r="Q1093" s="238"/>
      <c r="R1093" s="238"/>
      <c r="S1093" s="238"/>
      <c r="T1093" s="234"/>
      <c r="U1093" s="234"/>
      <c r="V1093" s="234"/>
      <c r="W1093" s="234"/>
      <c r="X1093" s="234"/>
      <c r="Y1093" s="234"/>
    </row>
    <row r="1094" spans="1:25" s="61" customFormat="1" ht="36.75" customHeight="1">
      <c r="A1094" s="88"/>
      <c r="B1094" s="84"/>
      <c r="C1094" s="20">
        <v>2580</v>
      </c>
      <c r="D1094" s="350" t="s">
        <v>449</v>
      </c>
      <c r="E1094" s="100">
        <v>308105</v>
      </c>
      <c r="F1094" s="95"/>
      <c r="G1094" s="100">
        <v>229121</v>
      </c>
      <c r="H1094" s="95"/>
      <c r="I1094" s="359">
        <f t="shared" si="16"/>
        <v>74.36458350237743</v>
      </c>
      <c r="J1094" s="238"/>
      <c r="K1094" s="238"/>
      <c r="L1094" s="262"/>
      <c r="M1094" s="238"/>
      <c r="N1094" s="238"/>
      <c r="O1094" s="238"/>
      <c r="P1094" s="238"/>
      <c r="Q1094" s="238"/>
      <c r="R1094" s="238"/>
      <c r="S1094" s="238"/>
      <c r="T1094" s="234"/>
      <c r="U1094" s="234"/>
      <c r="V1094" s="234"/>
      <c r="W1094" s="234"/>
      <c r="X1094" s="234"/>
      <c r="Y1094" s="234"/>
    </row>
    <row r="1095" spans="1:11" ht="26.25" customHeight="1">
      <c r="A1095" s="118"/>
      <c r="B1095" s="49">
        <v>85321</v>
      </c>
      <c r="C1095" s="38"/>
      <c r="D1095" s="349" t="s">
        <v>469</v>
      </c>
      <c r="E1095" s="106">
        <f>SUM(E1096:E1102)</f>
        <v>440489</v>
      </c>
      <c r="F1095" s="148">
        <f>SUM(F1096:F1102)</f>
        <v>163626</v>
      </c>
      <c r="G1095" s="106">
        <f>SUM(G1096:G1102)</f>
        <v>228834.99999999997</v>
      </c>
      <c r="H1095" s="148">
        <f>SUM(H1096:H1102)</f>
        <v>85004.99999999999</v>
      </c>
      <c r="I1095" s="359">
        <f t="shared" si="16"/>
        <v>51.95021896119994</v>
      </c>
      <c r="K1095" s="256"/>
    </row>
    <row r="1096" spans="1:9" ht="18.75" customHeight="1">
      <c r="A1096" s="88"/>
      <c r="B1096" s="84"/>
      <c r="C1096" s="3">
        <v>4010</v>
      </c>
      <c r="D1096" s="288" t="s">
        <v>643</v>
      </c>
      <c r="E1096" s="55">
        <v>250869.14</v>
      </c>
      <c r="F1096" s="116">
        <v>94892.14</v>
      </c>
      <c r="G1096" s="55">
        <v>125917.14</v>
      </c>
      <c r="H1096" s="116">
        <v>46466.69</v>
      </c>
      <c r="I1096" s="359">
        <f t="shared" si="16"/>
        <v>50.192359251520536</v>
      </c>
    </row>
    <row r="1097" spans="1:9" ht="15" customHeight="1">
      <c r="A1097" s="88"/>
      <c r="B1097" s="89"/>
      <c r="C1097" s="3">
        <v>4040</v>
      </c>
      <c r="D1097" s="288" t="s">
        <v>644</v>
      </c>
      <c r="E1097" s="55">
        <v>26179.5</v>
      </c>
      <c r="F1097" s="116">
        <v>10610</v>
      </c>
      <c r="G1097" s="55">
        <v>25645.7</v>
      </c>
      <c r="H1097" s="116">
        <v>10076.2</v>
      </c>
      <c r="I1097" s="359">
        <f t="shared" si="16"/>
        <v>97.96100001909892</v>
      </c>
    </row>
    <row r="1098" spans="1:9" ht="15" customHeight="1">
      <c r="A1098" s="88"/>
      <c r="B1098" s="89"/>
      <c r="C1098" s="3">
        <v>4110</v>
      </c>
      <c r="D1098" s="288" t="s">
        <v>645</v>
      </c>
      <c r="E1098" s="55">
        <v>38500</v>
      </c>
      <c r="F1098" s="116">
        <v>15127</v>
      </c>
      <c r="G1098" s="55">
        <v>26254.54</v>
      </c>
      <c r="H1098" s="116">
        <v>9719.19</v>
      </c>
      <c r="I1098" s="359">
        <f t="shared" si="16"/>
        <v>68.1936103896104</v>
      </c>
    </row>
    <row r="1099" spans="1:9" ht="15" customHeight="1">
      <c r="A1099" s="88"/>
      <c r="B1099" s="89"/>
      <c r="C1099" s="3">
        <v>4120</v>
      </c>
      <c r="D1099" s="288" t="s">
        <v>646</v>
      </c>
      <c r="E1099" s="55">
        <v>7000</v>
      </c>
      <c r="F1099" s="116">
        <v>2751</v>
      </c>
      <c r="G1099" s="55">
        <v>2979.08</v>
      </c>
      <c r="H1099" s="116">
        <v>1181.12</v>
      </c>
      <c r="I1099" s="359">
        <f t="shared" si="16"/>
        <v>42.55828571428572</v>
      </c>
    </row>
    <row r="1100" spans="1:9" ht="15" customHeight="1">
      <c r="A1100" s="88"/>
      <c r="B1100" s="89"/>
      <c r="C1100" s="3">
        <v>4170</v>
      </c>
      <c r="D1100" s="288" t="s">
        <v>652</v>
      </c>
      <c r="E1100" s="55">
        <v>28045</v>
      </c>
      <c r="F1100" s="116">
        <v>9037</v>
      </c>
      <c r="G1100" s="55">
        <v>13007.77</v>
      </c>
      <c r="H1100" s="116">
        <v>5110.9</v>
      </c>
      <c r="I1100" s="359">
        <f t="shared" si="16"/>
        <v>46.381779283294705</v>
      </c>
    </row>
    <row r="1101" spans="1:9" ht="15" customHeight="1">
      <c r="A1101" s="88"/>
      <c r="B1101" s="89"/>
      <c r="C1101" s="3">
        <v>4300</v>
      </c>
      <c r="D1101" s="288" t="s">
        <v>599</v>
      </c>
      <c r="E1101" s="55">
        <v>79867.67</v>
      </c>
      <c r="F1101" s="116">
        <v>29021</v>
      </c>
      <c r="G1101" s="55">
        <v>27510</v>
      </c>
      <c r="H1101" s="116">
        <v>10810</v>
      </c>
      <c r="I1101" s="359">
        <f t="shared" si="16"/>
        <v>34.44447546798347</v>
      </c>
    </row>
    <row r="1102" spans="1:9" ht="26.25" customHeight="1">
      <c r="A1102" s="88"/>
      <c r="B1102" s="89"/>
      <c r="C1102" s="14">
        <v>4440</v>
      </c>
      <c r="D1102" s="288" t="s">
        <v>647</v>
      </c>
      <c r="E1102" s="79">
        <v>10027.69</v>
      </c>
      <c r="F1102" s="116">
        <v>2187.86</v>
      </c>
      <c r="G1102" s="79">
        <v>7520.77</v>
      </c>
      <c r="H1102" s="116">
        <v>1640.9</v>
      </c>
      <c r="I1102" s="359">
        <f aca="true" t="shared" si="17" ref="I1102:I1165">G1102/E1102*100</f>
        <v>75.00002493096616</v>
      </c>
    </row>
    <row r="1103" spans="1:9" ht="26.25" customHeight="1">
      <c r="A1103" s="88"/>
      <c r="B1103" s="136">
        <v>85333</v>
      </c>
      <c r="C1103" s="3"/>
      <c r="D1103" s="355" t="s">
        <v>461</v>
      </c>
      <c r="E1103" s="106">
        <f>E1104</f>
        <v>1150000</v>
      </c>
      <c r="F1103" s="112"/>
      <c r="G1103" s="106">
        <f>G1104</f>
        <v>731030</v>
      </c>
      <c r="H1103" s="112"/>
      <c r="I1103" s="359">
        <f t="shared" si="17"/>
        <v>63.56782608695652</v>
      </c>
    </row>
    <row r="1104" spans="1:9" ht="51" customHeight="1">
      <c r="A1104" s="88"/>
      <c r="B1104" s="96"/>
      <c r="C1104" s="3">
        <v>2320</v>
      </c>
      <c r="D1104" s="288" t="s">
        <v>613</v>
      </c>
      <c r="E1104" s="58">
        <v>1150000</v>
      </c>
      <c r="F1104" s="112"/>
      <c r="G1104" s="58">
        <v>731030</v>
      </c>
      <c r="H1104" s="112"/>
      <c r="I1104" s="359">
        <f t="shared" si="17"/>
        <v>63.56782608695652</v>
      </c>
    </row>
    <row r="1105" spans="1:25" s="56" customFormat="1" ht="21.75" customHeight="1">
      <c r="A1105" s="120"/>
      <c r="B1105" s="49">
        <v>85395</v>
      </c>
      <c r="C1105" s="25"/>
      <c r="D1105" s="293" t="s">
        <v>544</v>
      </c>
      <c r="E1105" s="29">
        <f>SUM(E1106:E1123)</f>
        <v>2309964.77</v>
      </c>
      <c r="F1105" s="114"/>
      <c r="G1105" s="29">
        <f>SUM(G1107:G1123)</f>
        <v>496650.89</v>
      </c>
      <c r="H1105" s="114"/>
      <c r="I1105" s="359">
        <f t="shared" si="17"/>
        <v>21.50036643199541</v>
      </c>
      <c r="J1105" s="243"/>
      <c r="K1105" s="243"/>
      <c r="L1105" s="261"/>
      <c r="M1105" s="243"/>
      <c r="N1105" s="243"/>
      <c r="O1105" s="243"/>
      <c r="P1105" s="243"/>
      <c r="Q1105" s="243"/>
      <c r="R1105" s="243"/>
      <c r="S1105" s="243"/>
      <c r="T1105" s="252"/>
      <c r="U1105" s="252"/>
      <c r="V1105" s="252"/>
      <c r="W1105" s="252"/>
      <c r="X1105" s="252"/>
      <c r="Y1105" s="252"/>
    </row>
    <row r="1106" spans="1:25" s="56" customFormat="1" ht="77.25" customHeight="1">
      <c r="A1106" s="120"/>
      <c r="B1106" s="118"/>
      <c r="C1106" s="3">
        <v>2360</v>
      </c>
      <c r="D1106" s="288" t="s">
        <v>493</v>
      </c>
      <c r="E1106" s="27">
        <v>1000000</v>
      </c>
      <c r="F1106" s="114"/>
      <c r="G1106" s="27">
        <v>0</v>
      </c>
      <c r="H1106" s="114"/>
      <c r="I1106" s="359"/>
      <c r="J1106" s="243"/>
      <c r="K1106" s="243"/>
      <c r="L1106" s="261"/>
      <c r="M1106" s="243"/>
      <c r="N1106" s="243"/>
      <c r="O1106" s="243"/>
      <c r="P1106" s="243"/>
      <c r="Q1106" s="243"/>
      <c r="R1106" s="243"/>
      <c r="S1106" s="243"/>
      <c r="T1106" s="252"/>
      <c r="U1106" s="252"/>
      <c r="V1106" s="252"/>
      <c r="W1106" s="252"/>
      <c r="X1106" s="252"/>
      <c r="Y1106" s="252"/>
    </row>
    <row r="1107" spans="1:9" ht="18.75" customHeight="1">
      <c r="A1107" s="88"/>
      <c r="B1107" s="89"/>
      <c r="C1107" s="3">
        <v>4017</v>
      </c>
      <c r="D1107" s="288" t="s">
        <v>643</v>
      </c>
      <c r="E1107" s="55">
        <v>99464.67</v>
      </c>
      <c r="F1107" s="95"/>
      <c r="G1107" s="55">
        <v>57775.41</v>
      </c>
      <c r="H1107" s="95"/>
      <c r="I1107" s="359">
        <f t="shared" si="17"/>
        <v>58.086363730960954</v>
      </c>
    </row>
    <row r="1108" spans="1:9" ht="18.75" customHeight="1">
      <c r="A1108" s="88"/>
      <c r="B1108" s="89"/>
      <c r="C1108" s="3">
        <v>4019</v>
      </c>
      <c r="D1108" s="288" t="s">
        <v>643</v>
      </c>
      <c r="E1108" s="55">
        <v>6197.47</v>
      </c>
      <c r="F1108" s="95"/>
      <c r="G1108" s="55">
        <v>3246.56</v>
      </c>
      <c r="H1108" s="95"/>
      <c r="I1108" s="359">
        <f t="shared" si="17"/>
        <v>52.385247528426916</v>
      </c>
    </row>
    <row r="1109" spans="1:9" ht="15.75" customHeight="1">
      <c r="A1109" s="88"/>
      <c r="B1109" s="89"/>
      <c r="C1109" s="3">
        <v>4117</v>
      </c>
      <c r="D1109" s="288" t="s">
        <v>645</v>
      </c>
      <c r="E1109" s="55">
        <v>35111.57</v>
      </c>
      <c r="F1109" s="95"/>
      <c r="G1109" s="55">
        <v>18339.36</v>
      </c>
      <c r="H1109" s="95"/>
      <c r="I1109" s="359">
        <f t="shared" si="17"/>
        <v>52.231671782264364</v>
      </c>
    </row>
    <row r="1110" spans="1:9" ht="17.25" customHeight="1">
      <c r="A1110" s="88"/>
      <c r="B1110" s="89"/>
      <c r="C1110" s="3">
        <v>4119</v>
      </c>
      <c r="D1110" s="288" t="s">
        <v>645</v>
      </c>
      <c r="E1110" s="55">
        <v>1110.25</v>
      </c>
      <c r="F1110" s="95"/>
      <c r="G1110" s="55">
        <v>706.85</v>
      </c>
      <c r="H1110" s="95"/>
      <c r="I1110" s="359">
        <f t="shared" si="17"/>
        <v>63.66584102679577</v>
      </c>
    </row>
    <row r="1111" spans="1:9" ht="17.25" customHeight="1">
      <c r="A1111" s="88"/>
      <c r="B1111" s="89"/>
      <c r="C1111" s="3">
        <v>4127</v>
      </c>
      <c r="D1111" s="288" t="s">
        <v>646</v>
      </c>
      <c r="E1111" s="55">
        <v>4014.74</v>
      </c>
      <c r="F1111" s="95"/>
      <c r="G1111" s="55">
        <v>2191.75</v>
      </c>
      <c r="H1111" s="95"/>
      <c r="I1111" s="359">
        <f t="shared" si="17"/>
        <v>54.59257635612767</v>
      </c>
    </row>
    <row r="1112" spans="1:9" ht="18" customHeight="1">
      <c r="A1112" s="88"/>
      <c r="B1112" s="89"/>
      <c r="C1112" s="3">
        <v>4129</v>
      </c>
      <c r="D1112" s="288" t="s">
        <v>646</v>
      </c>
      <c r="E1112" s="55">
        <v>110.02</v>
      </c>
      <c r="F1112" s="95"/>
      <c r="G1112" s="55">
        <v>75.46</v>
      </c>
      <c r="H1112" s="95"/>
      <c r="I1112" s="359">
        <f t="shared" si="17"/>
        <v>68.58752954008361</v>
      </c>
    </row>
    <row r="1113" spans="1:9" ht="16.5" customHeight="1">
      <c r="A1113" s="88"/>
      <c r="B1113" s="89"/>
      <c r="C1113" s="3">
        <v>4177</v>
      </c>
      <c r="D1113" s="288" t="s">
        <v>652</v>
      </c>
      <c r="E1113" s="55">
        <v>287989.8</v>
      </c>
      <c r="F1113" s="95"/>
      <c r="G1113" s="55">
        <v>152575.4</v>
      </c>
      <c r="H1113" s="95"/>
      <c r="I1113" s="359">
        <f t="shared" si="17"/>
        <v>52.979445799816524</v>
      </c>
    </row>
    <row r="1114" spans="1:9" ht="18.75" customHeight="1">
      <c r="A1114" s="88"/>
      <c r="B1114" s="89"/>
      <c r="C1114" s="3">
        <v>4179</v>
      </c>
      <c r="D1114" s="288" t="s">
        <v>652</v>
      </c>
      <c r="E1114" s="55">
        <v>20294.1</v>
      </c>
      <c r="F1114" s="95"/>
      <c r="G1114" s="55">
        <v>16760.1</v>
      </c>
      <c r="H1114" s="95"/>
      <c r="I1114" s="359">
        <f t="shared" si="17"/>
        <v>82.5860718139755</v>
      </c>
    </row>
    <row r="1115" spans="1:9" ht="18" customHeight="1">
      <c r="A1115" s="88"/>
      <c r="B1115" s="89"/>
      <c r="C1115" s="3">
        <v>4217</v>
      </c>
      <c r="D1115" s="288" t="s">
        <v>653</v>
      </c>
      <c r="E1115" s="55">
        <v>12102.17</v>
      </c>
      <c r="F1115" s="95"/>
      <c r="G1115" s="55">
        <v>3597.45</v>
      </c>
      <c r="H1115" s="95"/>
      <c r="I1115" s="359">
        <f t="shared" si="17"/>
        <v>29.725660769928037</v>
      </c>
    </row>
    <row r="1116" spans="1:9" ht="15" customHeight="1">
      <c r="A1116" s="88"/>
      <c r="B1116" s="89"/>
      <c r="C1116" s="3">
        <v>4219</v>
      </c>
      <c r="D1116" s="288" t="s">
        <v>653</v>
      </c>
      <c r="E1116" s="55">
        <v>1005</v>
      </c>
      <c r="F1116" s="95"/>
      <c r="G1116" s="55">
        <v>387.78</v>
      </c>
      <c r="H1116" s="95"/>
      <c r="I1116" s="359">
        <f t="shared" si="17"/>
        <v>38.58507462686567</v>
      </c>
    </row>
    <row r="1117" spans="1:9" ht="24" customHeight="1">
      <c r="A1117" s="88"/>
      <c r="B1117" s="89"/>
      <c r="C1117" s="3">
        <v>4247</v>
      </c>
      <c r="D1117" s="288" t="s">
        <v>358</v>
      </c>
      <c r="E1117" s="55">
        <v>16676.97</v>
      </c>
      <c r="F1117" s="95"/>
      <c r="G1117" s="55">
        <v>9336.33</v>
      </c>
      <c r="H1117" s="95"/>
      <c r="I1117" s="359">
        <f t="shared" si="17"/>
        <v>55.98337107999834</v>
      </c>
    </row>
    <row r="1118" spans="1:9" ht="27" customHeight="1">
      <c r="A1118" s="88"/>
      <c r="B1118" s="89"/>
      <c r="C1118" s="3">
        <v>4249</v>
      </c>
      <c r="D1118" s="288" t="s">
        <v>358</v>
      </c>
      <c r="E1118" s="55">
        <v>1289.82</v>
      </c>
      <c r="F1118" s="95"/>
      <c r="G1118" s="55">
        <v>943.92</v>
      </c>
      <c r="H1118" s="95"/>
      <c r="I1118" s="359">
        <f t="shared" si="17"/>
        <v>73.1823045076057</v>
      </c>
    </row>
    <row r="1119" spans="1:9" ht="18.75" customHeight="1">
      <c r="A1119" s="88"/>
      <c r="B1119" s="89"/>
      <c r="C1119" s="3">
        <v>4307</v>
      </c>
      <c r="D1119" s="288" t="s">
        <v>383</v>
      </c>
      <c r="E1119" s="55">
        <v>296936.99</v>
      </c>
      <c r="F1119" s="95"/>
      <c r="G1119" s="55">
        <v>163966.89</v>
      </c>
      <c r="H1119" s="95"/>
      <c r="I1119" s="359">
        <f t="shared" si="17"/>
        <v>55.219422140704</v>
      </c>
    </row>
    <row r="1120" spans="1:9" ht="19.5" customHeight="1">
      <c r="A1120" s="88"/>
      <c r="B1120" s="89"/>
      <c r="C1120" s="3">
        <v>4309</v>
      </c>
      <c r="D1120" s="288" t="s">
        <v>383</v>
      </c>
      <c r="E1120" s="55">
        <v>6841.2</v>
      </c>
      <c r="F1120" s="95"/>
      <c r="G1120" s="55">
        <v>5345.63</v>
      </c>
      <c r="H1120" s="95"/>
      <c r="I1120" s="359">
        <f t="shared" si="17"/>
        <v>78.13877682277963</v>
      </c>
    </row>
    <row r="1121" spans="1:25" s="56" customFormat="1" ht="27.75" customHeight="1">
      <c r="A1121" s="120"/>
      <c r="B1121" s="118"/>
      <c r="C1121" s="3">
        <v>4407</v>
      </c>
      <c r="D1121" s="288" t="s">
        <v>331</v>
      </c>
      <c r="E1121" s="55">
        <v>4590</v>
      </c>
      <c r="F1121" s="114"/>
      <c r="G1121" s="55">
        <v>622</v>
      </c>
      <c r="H1121" s="114"/>
      <c r="I1121" s="359">
        <f t="shared" si="17"/>
        <v>13.55119825708061</v>
      </c>
      <c r="J1121" s="243"/>
      <c r="K1121" s="243"/>
      <c r="L1121" s="261"/>
      <c r="M1121" s="243"/>
      <c r="N1121" s="243"/>
      <c r="O1121" s="243"/>
      <c r="P1121" s="243"/>
      <c r="Q1121" s="243"/>
      <c r="R1121" s="243"/>
      <c r="S1121" s="243"/>
      <c r="T1121" s="252"/>
      <c r="U1121" s="252"/>
      <c r="V1121" s="252"/>
      <c r="W1121" s="252"/>
      <c r="X1121" s="252"/>
      <c r="Y1121" s="252"/>
    </row>
    <row r="1122" spans="1:9" ht="26.25" customHeight="1">
      <c r="A1122" s="88"/>
      <c r="B1122" s="89"/>
      <c r="C1122" s="3">
        <v>4409</v>
      </c>
      <c r="D1122" s="288" t="s">
        <v>331</v>
      </c>
      <c r="E1122" s="55">
        <v>810</v>
      </c>
      <c r="F1122" s="95"/>
      <c r="G1122" s="55">
        <v>0</v>
      </c>
      <c r="H1122" s="95"/>
      <c r="I1122" s="359"/>
    </row>
    <row r="1123" spans="1:9" ht="30" customHeight="1">
      <c r="A1123" s="88"/>
      <c r="B1123" s="89"/>
      <c r="C1123" s="3">
        <v>4707</v>
      </c>
      <c r="D1123" s="288" t="s">
        <v>420</v>
      </c>
      <c r="E1123" s="55">
        <v>515420</v>
      </c>
      <c r="F1123" s="95"/>
      <c r="G1123" s="55">
        <v>60780</v>
      </c>
      <c r="H1123" s="95"/>
      <c r="I1123" s="359">
        <f t="shared" si="17"/>
        <v>11.792324706064957</v>
      </c>
    </row>
    <row r="1124" spans="1:9" ht="24.75" customHeight="1">
      <c r="A1124" s="62">
        <v>854</v>
      </c>
      <c r="B1124" s="62"/>
      <c r="C1124" s="6" t="s">
        <v>410</v>
      </c>
      <c r="D1124" s="292" t="s">
        <v>470</v>
      </c>
      <c r="E1124" s="36">
        <f>E1125+E1150+E1175+E1195+E1217+E1219+E1221+E1241</f>
        <v>8628929</v>
      </c>
      <c r="F1124" s="116"/>
      <c r="G1124" s="36">
        <f>G1125+G1150+G1175+G1195+G1217+G1219+G1221+G1241</f>
        <v>4326781.33</v>
      </c>
      <c r="H1124" s="116"/>
      <c r="I1124" s="359">
        <f t="shared" si="17"/>
        <v>50.142738803390316</v>
      </c>
    </row>
    <row r="1125" spans="1:9" ht="23.25" customHeight="1">
      <c r="A1125" s="73"/>
      <c r="B1125" s="24">
        <v>85401</v>
      </c>
      <c r="C1125" s="25" t="s">
        <v>410</v>
      </c>
      <c r="D1125" s="293" t="s">
        <v>304</v>
      </c>
      <c r="E1125" s="41">
        <f>SUM(E1126:E1149)</f>
        <v>624245</v>
      </c>
      <c r="F1125" s="112"/>
      <c r="G1125" s="41">
        <f>SUM(G1126:G1149)</f>
        <v>307028.9799999999</v>
      </c>
      <c r="H1125" s="112"/>
      <c r="I1125" s="359">
        <f t="shared" si="17"/>
        <v>49.18405113376958</v>
      </c>
    </row>
    <row r="1126" spans="1:9" ht="24" customHeight="1">
      <c r="A1126" s="73"/>
      <c r="B1126" s="10"/>
      <c r="C1126" s="3">
        <v>3020</v>
      </c>
      <c r="D1126" s="288" t="s">
        <v>305</v>
      </c>
      <c r="E1126" s="102">
        <v>1612</v>
      </c>
      <c r="F1126" s="95"/>
      <c r="G1126" s="102">
        <v>228.08</v>
      </c>
      <c r="H1126" s="95"/>
      <c r="I1126" s="359">
        <f t="shared" si="17"/>
        <v>14.148883374689827</v>
      </c>
    </row>
    <row r="1127" spans="1:9" ht="19.5" customHeight="1">
      <c r="A1127" s="73"/>
      <c r="B1127" s="10"/>
      <c r="C1127" s="3">
        <v>4010</v>
      </c>
      <c r="D1127" s="288" t="s">
        <v>643</v>
      </c>
      <c r="E1127" s="44">
        <v>383904</v>
      </c>
      <c r="F1127" s="95"/>
      <c r="G1127" s="44">
        <v>174164.33</v>
      </c>
      <c r="H1127" s="95"/>
      <c r="I1127" s="359">
        <f t="shared" si="17"/>
        <v>45.366635929815786</v>
      </c>
    </row>
    <row r="1128" spans="1:9" ht="15" customHeight="1">
      <c r="A1128" s="73"/>
      <c r="B1128" s="10"/>
      <c r="C1128" s="3">
        <v>4040</v>
      </c>
      <c r="D1128" s="288" t="s">
        <v>644</v>
      </c>
      <c r="E1128" s="44">
        <v>29548</v>
      </c>
      <c r="F1128" s="95"/>
      <c r="G1128" s="44">
        <v>27014.09</v>
      </c>
      <c r="H1128" s="95"/>
      <c r="I1128" s="359">
        <f t="shared" si="17"/>
        <v>91.42442804927575</v>
      </c>
    </row>
    <row r="1129" spans="1:9" ht="15" customHeight="1">
      <c r="A1129" s="73"/>
      <c r="B1129" s="10"/>
      <c r="C1129" s="3">
        <v>4110</v>
      </c>
      <c r="D1129" s="288" t="s">
        <v>645</v>
      </c>
      <c r="E1129" s="44">
        <v>71910</v>
      </c>
      <c r="F1129" s="95"/>
      <c r="G1129" s="44">
        <v>31917.26</v>
      </c>
      <c r="H1129" s="95"/>
      <c r="I1129" s="359">
        <f t="shared" si="17"/>
        <v>44.38500903907662</v>
      </c>
    </row>
    <row r="1130" spans="1:9" ht="15" customHeight="1">
      <c r="A1130" s="73"/>
      <c r="B1130" s="10"/>
      <c r="C1130" s="3">
        <v>4120</v>
      </c>
      <c r="D1130" s="288" t="s">
        <v>646</v>
      </c>
      <c r="E1130" s="44">
        <v>10144</v>
      </c>
      <c r="F1130" s="95"/>
      <c r="G1130" s="44">
        <v>4455.35</v>
      </c>
      <c r="H1130" s="95"/>
      <c r="I1130" s="359">
        <f t="shared" si="17"/>
        <v>43.92103706624606</v>
      </c>
    </row>
    <row r="1131" spans="1:9" ht="27" customHeight="1">
      <c r="A1131" s="73"/>
      <c r="B1131" s="10"/>
      <c r="C1131" s="3">
        <v>4140</v>
      </c>
      <c r="D1131" s="288" t="s">
        <v>357</v>
      </c>
      <c r="E1131" s="44">
        <v>6</v>
      </c>
      <c r="F1131" s="95"/>
      <c r="G1131" s="44">
        <v>0</v>
      </c>
      <c r="H1131" s="95"/>
      <c r="I1131" s="359"/>
    </row>
    <row r="1132" spans="1:9" ht="15.75" customHeight="1">
      <c r="A1132" s="73"/>
      <c r="B1132" s="10"/>
      <c r="C1132" s="3">
        <v>4170</v>
      </c>
      <c r="D1132" s="288" t="s">
        <v>652</v>
      </c>
      <c r="E1132" s="44">
        <v>80</v>
      </c>
      <c r="F1132" s="95"/>
      <c r="G1132" s="44">
        <v>47</v>
      </c>
      <c r="H1132" s="95"/>
      <c r="I1132" s="359">
        <f t="shared" si="17"/>
        <v>58.75</v>
      </c>
    </row>
    <row r="1133" spans="1:9" ht="13.5" customHeight="1">
      <c r="A1133" s="73"/>
      <c r="B1133" s="10"/>
      <c r="C1133" s="3">
        <v>4210</v>
      </c>
      <c r="D1133" s="288" t="s">
        <v>602</v>
      </c>
      <c r="E1133" s="44">
        <v>5232</v>
      </c>
      <c r="F1133" s="95"/>
      <c r="G1133" s="44">
        <v>1872.21</v>
      </c>
      <c r="H1133" s="95"/>
      <c r="I1133" s="359">
        <f t="shared" si="17"/>
        <v>35.783830275229356</v>
      </c>
    </row>
    <row r="1134" spans="1:9" ht="15.75" customHeight="1">
      <c r="A1134" s="73"/>
      <c r="B1134" s="10"/>
      <c r="C1134" s="3">
        <v>4220</v>
      </c>
      <c r="D1134" s="288" t="s">
        <v>163</v>
      </c>
      <c r="E1134" s="44">
        <v>56500</v>
      </c>
      <c r="F1134" s="95"/>
      <c r="G1134" s="44">
        <v>26491.41</v>
      </c>
      <c r="H1134" s="95"/>
      <c r="I1134" s="359">
        <f t="shared" si="17"/>
        <v>46.887451327433624</v>
      </c>
    </row>
    <row r="1135" spans="1:9" ht="24" customHeight="1">
      <c r="A1135" s="73"/>
      <c r="B1135" s="10"/>
      <c r="C1135" s="3">
        <v>4240</v>
      </c>
      <c r="D1135" s="288" t="s">
        <v>358</v>
      </c>
      <c r="E1135" s="44">
        <v>275</v>
      </c>
      <c r="F1135" s="95"/>
      <c r="G1135" s="44">
        <v>29.01</v>
      </c>
      <c r="H1135" s="95"/>
      <c r="I1135" s="359">
        <f t="shared" si="17"/>
        <v>10.549090909090909</v>
      </c>
    </row>
    <row r="1136" spans="1:9" ht="15" customHeight="1">
      <c r="A1136" s="73"/>
      <c r="B1136" s="10"/>
      <c r="C1136" s="3">
        <v>4260</v>
      </c>
      <c r="D1136" s="288" t="s">
        <v>660</v>
      </c>
      <c r="E1136" s="44">
        <v>29689</v>
      </c>
      <c r="F1136" s="95"/>
      <c r="G1136" s="44">
        <v>15983.46</v>
      </c>
      <c r="H1136" s="95"/>
      <c r="I1136" s="359">
        <f t="shared" si="17"/>
        <v>53.83630300784802</v>
      </c>
    </row>
    <row r="1137" spans="1:9" ht="15" customHeight="1">
      <c r="A1137" s="73"/>
      <c r="B1137" s="10"/>
      <c r="C1137" s="3">
        <v>4270</v>
      </c>
      <c r="D1137" s="288" t="s">
        <v>603</v>
      </c>
      <c r="E1137" s="44">
        <v>1735</v>
      </c>
      <c r="F1137" s="95"/>
      <c r="G1137" s="44">
        <v>482.51</v>
      </c>
      <c r="H1137" s="95"/>
      <c r="I1137" s="359">
        <f t="shared" si="17"/>
        <v>27.810374639769453</v>
      </c>
    </row>
    <row r="1138" spans="1:9" ht="15" customHeight="1">
      <c r="A1138" s="73"/>
      <c r="B1138" s="10"/>
      <c r="C1138" s="3">
        <v>4280</v>
      </c>
      <c r="D1138" s="288" t="s">
        <v>326</v>
      </c>
      <c r="E1138" s="44">
        <v>225</v>
      </c>
      <c r="F1138" s="95"/>
      <c r="G1138" s="44">
        <v>64.9</v>
      </c>
      <c r="H1138" s="95"/>
      <c r="I1138" s="359">
        <f t="shared" si="17"/>
        <v>28.844444444444445</v>
      </c>
    </row>
    <row r="1139" spans="1:9" ht="15" customHeight="1">
      <c r="A1139" s="73"/>
      <c r="B1139" s="10"/>
      <c r="C1139" s="3">
        <v>4300</v>
      </c>
      <c r="D1139" s="288" t="s">
        <v>599</v>
      </c>
      <c r="E1139" s="44">
        <v>6066</v>
      </c>
      <c r="F1139" s="95"/>
      <c r="G1139" s="44">
        <v>2735.12</v>
      </c>
      <c r="H1139" s="95"/>
      <c r="I1139" s="359">
        <f t="shared" si="17"/>
        <v>45.089350478074515</v>
      </c>
    </row>
    <row r="1140" spans="1:9" ht="15" customHeight="1">
      <c r="A1140" s="73"/>
      <c r="B1140" s="10"/>
      <c r="C1140" s="3">
        <v>4350</v>
      </c>
      <c r="D1140" s="288" t="s">
        <v>655</v>
      </c>
      <c r="E1140" s="44">
        <v>104</v>
      </c>
      <c r="F1140" s="95"/>
      <c r="G1140" s="44">
        <v>38.81</v>
      </c>
      <c r="H1140" s="95"/>
      <c r="I1140" s="359">
        <f t="shared" si="17"/>
        <v>37.31730769230769</v>
      </c>
    </row>
    <row r="1141" spans="1:9" ht="39" customHeight="1">
      <c r="A1141" s="73"/>
      <c r="B1141" s="10"/>
      <c r="C1141" s="2">
        <v>4360</v>
      </c>
      <c r="D1141" s="288" t="s">
        <v>390</v>
      </c>
      <c r="E1141" s="44">
        <v>4</v>
      </c>
      <c r="F1141" s="95"/>
      <c r="G1141" s="44">
        <v>1.8</v>
      </c>
      <c r="H1141" s="95"/>
      <c r="I1141" s="359">
        <f t="shared" si="17"/>
        <v>45</v>
      </c>
    </row>
    <row r="1142" spans="1:9" ht="39" customHeight="1">
      <c r="A1142" s="73"/>
      <c r="B1142" s="10"/>
      <c r="C1142" s="2">
        <v>4370</v>
      </c>
      <c r="D1142" s="288" t="s">
        <v>389</v>
      </c>
      <c r="E1142" s="44">
        <v>566</v>
      </c>
      <c r="F1142" s="95"/>
      <c r="G1142" s="44">
        <v>155.04</v>
      </c>
      <c r="H1142" s="95"/>
      <c r="I1142" s="359">
        <f t="shared" si="17"/>
        <v>27.392226148409893</v>
      </c>
    </row>
    <row r="1143" spans="1:9" ht="27.75" customHeight="1">
      <c r="A1143" s="73"/>
      <c r="B1143" s="10"/>
      <c r="C1143" s="2">
        <v>4390</v>
      </c>
      <c r="D1143" s="350" t="s">
        <v>555</v>
      </c>
      <c r="E1143" s="44">
        <v>5</v>
      </c>
      <c r="F1143" s="95"/>
      <c r="G1143" s="44">
        <v>0</v>
      </c>
      <c r="H1143" s="95"/>
      <c r="I1143" s="359"/>
    </row>
    <row r="1144" spans="1:9" ht="18" customHeight="1">
      <c r="A1144" s="73"/>
      <c r="B1144" s="10"/>
      <c r="C1144" s="3">
        <v>4410</v>
      </c>
      <c r="D1144" s="288" t="s">
        <v>649</v>
      </c>
      <c r="E1144" s="44">
        <v>25</v>
      </c>
      <c r="F1144" s="95"/>
      <c r="G1144" s="44">
        <v>7.5</v>
      </c>
      <c r="H1144" s="95"/>
      <c r="I1144" s="359">
        <f t="shared" si="17"/>
        <v>30</v>
      </c>
    </row>
    <row r="1145" spans="1:9" ht="18" customHeight="1">
      <c r="A1145" s="73"/>
      <c r="B1145" s="10"/>
      <c r="C1145" s="3">
        <v>4420</v>
      </c>
      <c r="D1145" s="288" t="s">
        <v>163</v>
      </c>
      <c r="E1145" s="44">
        <v>11</v>
      </c>
      <c r="F1145" s="95"/>
      <c r="G1145" s="44">
        <v>10.92</v>
      </c>
      <c r="H1145" s="95"/>
      <c r="I1145" s="359">
        <f t="shared" si="17"/>
        <v>99.27272727272727</v>
      </c>
    </row>
    <row r="1146" spans="1:9" ht="17.25" customHeight="1">
      <c r="A1146" s="73"/>
      <c r="B1146" s="10"/>
      <c r="C1146" s="3">
        <v>4430</v>
      </c>
      <c r="D1146" s="288" t="s">
        <v>433</v>
      </c>
      <c r="E1146" s="44">
        <v>342</v>
      </c>
      <c r="F1146" s="95"/>
      <c r="G1146" s="44">
        <v>265.98</v>
      </c>
      <c r="H1146" s="95"/>
      <c r="I1146" s="359">
        <f t="shared" si="17"/>
        <v>77.77192982456141</v>
      </c>
    </row>
    <row r="1147" spans="1:9" ht="26.25" customHeight="1">
      <c r="A1147" s="73"/>
      <c r="B1147" s="10"/>
      <c r="C1147" s="3">
        <v>4440</v>
      </c>
      <c r="D1147" s="288" t="s">
        <v>647</v>
      </c>
      <c r="E1147" s="44">
        <v>26224</v>
      </c>
      <c r="F1147" s="95"/>
      <c r="G1147" s="44">
        <v>21037.03</v>
      </c>
      <c r="H1147" s="95"/>
      <c r="I1147" s="359">
        <f t="shared" si="17"/>
        <v>80.22052318486882</v>
      </c>
    </row>
    <row r="1148" spans="1:9" ht="21" customHeight="1">
      <c r="A1148" s="73"/>
      <c r="B1148" s="10"/>
      <c r="C1148" s="3">
        <v>4480</v>
      </c>
      <c r="D1148" s="288" t="s">
        <v>452</v>
      </c>
      <c r="E1148" s="44">
        <v>18</v>
      </c>
      <c r="F1148" s="95"/>
      <c r="G1148" s="44">
        <v>17.17</v>
      </c>
      <c r="H1148" s="95"/>
      <c r="I1148" s="359">
        <f t="shared" si="17"/>
        <v>95.3888888888889</v>
      </c>
    </row>
    <row r="1149" spans="1:9" ht="27.75" customHeight="1">
      <c r="A1149" s="73"/>
      <c r="B1149" s="10"/>
      <c r="C1149" s="3">
        <v>4700</v>
      </c>
      <c r="D1149" s="288" t="s">
        <v>420</v>
      </c>
      <c r="E1149" s="44">
        <v>20</v>
      </c>
      <c r="F1149" s="95"/>
      <c r="G1149" s="44">
        <v>10</v>
      </c>
      <c r="H1149" s="95"/>
      <c r="I1149" s="359">
        <f t="shared" si="17"/>
        <v>50</v>
      </c>
    </row>
    <row r="1150" spans="1:9" ht="25.5" customHeight="1">
      <c r="A1150" s="73"/>
      <c r="B1150" s="24">
        <v>85403</v>
      </c>
      <c r="C1150" s="25"/>
      <c r="D1150" s="293" t="s">
        <v>471</v>
      </c>
      <c r="E1150" s="41">
        <f>SUM(E1151:E1174)</f>
        <v>4113755</v>
      </c>
      <c r="F1150" s="95"/>
      <c r="G1150" s="41">
        <f>SUM(G1151:G1174)</f>
        <v>1943543.4599999997</v>
      </c>
      <c r="H1150" s="95"/>
      <c r="I1150" s="359">
        <f t="shared" si="17"/>
        <v>47.24499781829496</v>
      </c>
    </row>
    <row r="1151" spans="1:9" ht="27.75" customHeight="1">
      <c r="A1151" s="73"/>
      <c r="B1151" s="30"/>
      <c r="C1151" s="3">
        <v>2540</v>
      </c>
      <c r="D1151" s="288" t="s">
        <v>328</v>
      </c>
      <c r="E1151" s="102">
        <v>1350000</v>
      </c>
      <c r="F1151" s="95"/>
      <c r="G1151" s="102">
        <v>682064.32</v>
      </c>
      <c r="H1151" s="95"/>
      <c r="I1151" s="359">
        <f t="shared" si="17"/>
        <v>50.52328296296296</v>
      </c>
    </row>
    <row r="1152" spans="1:9" ht="26.25" customHeight="1">
      <c r="A1152" s="73"/>
      <c r="B1152" s="10"/>
      <c r="C1152" s="3">
        <v>3020</v>
      </c>
      <c r="D1152" s="288" t="s">
        <v>324</v>
      </c>
      <c r="E1152" s="44">
        <v>5060</v>
      </c>
      <c r="F1152" s="95"/>
      <c r="G1152" s="44">
        <v>2513.88</v>
      </c>
      <c r="H1152" s="95"/>
      <c r="I1152" s="359">
        <f t="shared" si="17"/>
        <v>49.681422924901185</v>
      </c>
    </row>
    <row r="1153" spans="1:9" ht="15" customHeight="1">
      <c r="A1153" s="73"/>
      <c r="B1153" s="10"/>
      <c r="C1153" s="3">
        <v>3110</v>
      </c>
      <c r="D1153" s="288" t="s">
        <v>339</v>
      </c>
      <c r="E1153" s="44">
        <v>3600</v>
      </c>
      <c r="F1153" s="95"/>
      <c r="G1153" s="44">
        <v>619.77</v>
      </c>
      <c r="H1153" s="95"/>
      <c r="I1153" s="359">
        <f t="shared" si="17"/>
        <v>17.215833333333332</v>
      </c>
    </row>
    <row r="1154" spans="1:9" ht="18" customHeight="1">
      <c r="A1154" s="73"/>
      <c r="B1154" s="10"/>
      <c r="C1154" s="3">
        <v>4010</v>
      </c>
      <c r="D1154" s="288" t="s">
        <v>643</v>
      </c>
      <c r="E1154" s="44">
        <v>1890000</v>
      </c>
      <c r="F1154" s="95"/>
      <c r="G1154" s="44">
        <v>776501.69</v>
      </c>
      <c r="H1154" s="95"/>
      <c r="I1154" s="359">
        <f t="shared" si="17"/>
        <v>41.0847455026455</v>
      </c>
    </row>
    <row r="1155" spans="1:9" ht="15" customHeight="1">
      <c r="A1155" s="73"/>
      <c r="B1155" s="10"/>
      <c r="C1155" s="3">
        <v>4040</v>
      </c>
      <c r="D1155" s="288" t="s">
        <v>644</v>
      </c>
      <c r="E1155" s="44">
        <v>146820</v>
      </c>
      <c r="F1155" s="95"/>
      <c r="G1155" s="44">
        <v>141644.52</v>
      </c>
      <c r="H1155" s="95"/>
      <c r="I1155" s="359">
        <f t="shared" si="17"/>
        <v>96.47494891704127</v>
      </c>
    </row>
    <row r="1156" spans="1:9" ht="15" customHeight="1">
      <c r="A1156" s="73"/>
      <c r="B1156" s="10"/>
      <c r="C1156" s="3">
        <v>4110</v>
      </c>
      <c r="D1156" s="288" t="s">
        <v>645</v>
      </c>
      <c r="E1156" s="44">
        <v>327700</v>
      </c>
      <c r="F1156" s="95"/>
      <c r="G1156" s="44">
        <v>152213.84</v>
      </c>
      <c r="H1156" s="95"/>
      <c r="I1156" s="359">
        <f t="shared" si="17"/>
        <v>46.44914250839182</v>
      </c>
    </row>
    <row r="1157" spans="1:9" ht="15" customHeight="1">
      <c r="A1157" s="73"/>
      <c r="B1157" s="10"/>
      <c r="C1157" s="3">
        <v>4120</v>
      </c>
      <c r="D1157" s="288" t="s">
        <v>646</v>
      </c>
      <c r="E1157" s="44">
        <v>49595</v>
      </c>
      <c r="F1157" s="95"/>
      <c r="G1157" s="44">
        <v>20108.24</v>
      </c>
      <c r="H1157" s="95"/>
      <c r="I1157" s="359">
        <f t="shared" si="17"/>
        <v>40.54489363847162</v>
      </c>
    </row>
    <row r="1158" spans="1:9" ht="15" customHeight="1">
      <c r="A1158" s="73"/>
      <c r="B1158" s="10"/>
      <c r="C1158" s="3">
        <v>4170</v>
      </c>
      <c r="D1158" s="288" t="s">
        <v>652</v>
      </c>
      <c r="E1158" s="44">
        <v>500</v>
      </c>
      <c r="F1158" s="95"/>
      <c r="G1158" s="44">
        <v>0</v>
      </c>
      <c r="H1158" s="95"/>
      <c r="I1158" s="359"/>
    </row>
    <row r="1159" spans="1:9" ht="15" customHeight="1">
      <c r="A1159" s="73"/>
      <c r="B1159" s="10"/>
      <c r="C1159" s="3">
        <v>4210</v>
      </c>
      <c r="D1159" s="288" t="s">
        <v>602</v>
      </c>
      <c r="E1159" s="44">
        <v>15300</v>
      </c>
      <c r="F1159" s="95"/>
      <c r="G1159" s="44">
        <v>7068.35</v>
      </c>
      <c r="H1159" s="95"/>
      <c r="I1159" s="359">
        <f t="shared" si="17"/>
        <v>46.1983660130719</v>
      </c>
    </row>
    <row r="1160" spans="1:9" ht="15" customHeight="1">
      <c r="A1160" s="73"/>
      <c r="B1160" s="10"/>
      <c r="C1160" s="3">
        <v>4220</v>
      </c>
      <c r="D1160" s="288" t="s">
        <v>163</v>
      </c>
      <c r="E1160" s="44">
        <v>89580</v>
      </c>
      <c r="F1160" s="95"/>
      <c r="G1160" s="44">
        <v>24381.63</v>
      </c>
      <c r="H1160" s="95"/>
      <c r="I1160" s="359">
        <f t="shared" si="17"/>
        <v>27.217716008037506</v>
      </c>
    </row>
    <row r="1161" spans="1:9" ht="24.75" customHeight="1">
      <c r="A1161" s="73"/>
      <c r="B1161" s="10"/>
      <c r="C1161" s="3">
        <v>4240</v>
      </c>
      <c r="D1161" s="288" t="s">
        <v>358</v>
      </c>
      <c r="E1161" s="44">
        <v>260</v>
      </c>
      <c r="F1161" s="95"/>
      <c r="G1161" s="44">
        <v>0</v>
      </c>
      <c r="H1161" s="95"/>
      <c r="I1161" s="359"/>
    </row>
    <row r="1162" spans="1:9" ht="15" customHeight="1">
      <c r="A1162" s="73"/>
      <c r="B1162" s="10"/>
      <c r="C1162" s="3">
        <v>4260</v>
      </c>
      <c r="D1162" s="288" t="s">
        <v>660</v>
      </c>
      <c r="E1162" s="44">
        <v>95400</v>
      </c>
      <c r="F1162" s="95"/>
      <c r="G1162" s="44">
        <v>47065.43</v>
      </c>
      <c r="H1162" s="95"/>
      <c r="I1162" s="359">
        <f t="shared" si="17"/>
        <v>49.334832285115304</v>
      </c>
    </row>
    <row r="1163" spans="1:9" ht="15" customHeight="1">
      <c r="A1163" s="73"/>
      <c r="B1163" s="10"/>
      <c r="C1163" s="3">
        <v>4270</v>
      </c>
      <c r="D1163" s="288" t="s">
        <v>603</v>
      </c>
      <c r="E1163" s="44">
        <v>10980</v>
      </c>
      <c r="F1163" s="95"/>
      <c r="G1163" s="44">
        <v>6550.71</v>
      </c>
      <c r="H1163" s="95"/>
      <c r="I1163" s="359">
        <f t="shared" si="17"/>
        <v>59.660382513661204</v>
      </c>
    </row>
    <row r="1164" spans="1:9" ht="15" customHeight="1">
      <c r="A1164" s="73"/>
      <c r="B1164" s="10"/>
      <c r="C1164" s="3">
        <v>4280</v>
      </c>
      <c r="D1164" s="288" t="s">
        <v>326</v>
      </c>
      <c r="E1164" s="44">
        <v>3120</v>
      </c>
      <c r="F1164" s="95"/>
      <c r="G1164" s="44">
        <v>421</v>
      </c>
      <c r="H1164" s="95"/>
      <c r="I1164" s="359">
        <f t="shared" si="17"/>
        <v>13.493589743589743</v>
      </c>
    </row>
    <row r="1165" spans="1:9" ht="15" customHeight="1">
      <c r="A1165" s="73"/>
      <c r="B1165" s="10"/>
      <c r="C1165" s="3">
        <v>4300</v>
      </c>
      <c r="D1165" s="288" t="s">
        <v>599</v>
      </c>
      <c r="E1165" s="44">
        <v>27405</v>
      </c>
      <c r="F1165" s="95"/>
      <c r="G1165" s="44">
        <v>12341.74</v>
      </c>
      <c r="H1165" s="95"/>
      <c r="I1165" s="359">
        <f t="shared" si="17"/>
        <v>45.034628717387335</v>
      </c>
    </row>
    <row r="1166" spans="1:9" ht="15" customHeight="1">
      <c r="A1166" s="73"/>
      <c r="B1166" s="10"/>
      <c r="C1166" s="3">
        <v>4350</v>
      </c>
      <c r="D1166" s="288" t="s">
        <v>655</v>
      </c>
      <c r="E1166" s="44">
        <v>600</v>
      </c>
      <c r="F1166" s="95"/>
      <c r="G1166" s="44">
        <v>405.17</v>
      </c>
      <c r="H1166" s="95"/>
      <c r="I1166" s="359">
        <f aca="true" t="shared" si="18" ref="I1166:I1229">G1166/E1166*100</f>
        <v>67.52833333333334</v>
      </c>
    </row>
    <row r="1167" spans="1:9" ht="40.5" customHeight="1">
      <c r="A1167" s="73"/>
      <c r="B1167" s="10"/>
      <c r="C1167" s="3">
        <v>4370</v>
      </c>
      <c r="D1167" s="288" t="s">
        <v>389</v>
      </c>
      <c r="E1167" s="44">
        <v>2210</v>
      </c>
      <c r="F1167" s="95"/>
      <c r="G1167" s="44">
        <v>740.17</v>
      </c>
      <c r="H1167" s="95"/>
      <c r="I1167" s="359">
        <f t="shared" si="18"/>
        <v>33.491855203619906</v>
      </c>
    </row>
    <row r="1168" spans="1:9" ht="27" customHeight="1">
      <c r="A1168" s="73"/>
      <c r="B1168" s="10"/>
      <c r="C1168" s="3">
        <v>4390</v>
      </c>
      <c r="D1168" s="350" t="s">
        <v>555</v>
      </c>
      <c r="E1168" s="44">
        <v>560</v>
      </c>
      <c r="F1168" s="95"/>
      <c r="G1168" s="44">
        <v>0</v>
      </c>
      <c r="H1168" s="95"/>
      <c r="I1168" s="359">
        <f t="shared" si="18"/>
        <v>0</v>
      </c>
    </row>
    <row r="1169" spans="1:9" ht="18" customHeight="1">
      <c r="A1169" s="73"/>
      <c r="B1169" s="10"/>
      <c r="C1169" s="3">
        <v>4410</v>
      </c>
      <c r="D1169" s="288" t="s">
        <v>649</v>
      </c>
      <c r="E1169" s="44">
        <v>500</v>
      </c>
      <c r="F1169" s="95"/>
      <c r="G1169" s="44">
        <v>456.6</v>
      </c>
      <c r="H1169" s="95"/>
      <c r="I1169" s="359">
        <f t="shared" si="18"/>
        <v>91.32000000000001</v>
      </c>
    </row>
    <row r="1170" spans="1:9" ht="20.25" customHeight="1">
      <c r="A1170" s="73"/>
      <c r="B1170" s="10"/>
      <c r="C1170" s="3">
        <v>4420</v>
      </c>
      <c r="D1170" s="288" t="s">
        <v>657</v>
      </c>
      <c r="E1170" s="44">
        <v>800</v>
      </c>
      <c r="F1170" s="95"/>
      <c r="G1170" s="44">
        <v>0</v>
      </c>
      <c r="H1170" s="95"/>
      <c r="I1170" s="359"/>
    </row>
    <row r="1171" spans="1:9" ht="21" customHeight="1">
      <c r="A1171" s="73"/>
      <c r="B1171" s="10"/>
      <c r="C1171" s="3">
        <v>4430</v>
      </c>
      <c r="D1171" s="288" t="s">
        <v>433</v>
      </c>
      <c r="E1171" s="44">
        <v>6190</v>
      </c>
      <c r="F1171" s="95"/>
      <c r="G1171" s="44">
        <v>3560.4</v>
      </c>
      <c r="H1171" s="95"/>
      <c r="I1171" s="359">
        <f t="shared" si="18"/>
        <v>57.51857835218094</v>
      </c>
    </row>
    <row r="1172" spans="1:9" ht="24" customHeight="1">
      <c r="A1172" s="73"/>
      <c r="B1172" s="10"/>
      <c r="C1172" s="3">
        <v>4440</v>
      </c>
      <c r="D1172" s="288" t="s">
        <v>647</v>
      </c>
      <c r="E1172" s="44">
        <v>85640</v>
      </c>
      <c r="F1172" s="95"/>
      <c r="G1172" s="44">
        <v>64232</v>
      </c>
      <c r="H1172" s="95"/>
      <c r="I1172" s="359">
        <f t="shared" si="18"/>
        <v>75.00233535730968</v>
      </c>
    </row>
    <row r="1173" spans="1:9" ht="24.75" customHeight="1">
      <c r="A1173" s="73"/>
      <c r="B1173" s="10"/>
      <c r="C1173" s="3">
        <v>4480</v>
      </c>
      <c r="D1173" s="288" t="s">
        <v>452</v>
      </c>
      <c r="E1173" s="44">
        <v>515</v>
      </c>
      <c r="F1173" s="95"/>
      <c r="G1173" s="44">
        <v>124</v>
      </c>
      <c r="H1173" s="95"/>
      <c r="I1173" s="359">
        <f t="shared" si="18"/>
        <v>24.07766990291262</v>
      </c>
    </row>
    <row r="1174" spans="1:9" ht="28.5" customHeight="1">
      <c r="A1174" s="73"/>
      <c r="B1174" s="10"/>
      <c r="C1174" s="3">
        <v>4700</v>
      </c>
      <c r="D1174" s="288" t="s">
        <v>420</v>
      </c>
      <c r="E1174" s="44">
        <v>1420</v>
      </c>
      <c r="F1174" s="95"/>
      <c r="G1174" s="44">
        <v>530</v>
      </c>
      <c r="H1174" s="95"/>
      <c r="I1174" s="359">
        <f t="shared" si="18"/>
        <v>37.32394366197183</v>
      </c>
    </row>
    <row r="1175" spans="1:9" ht="30" customHeight="1">
      <c r="A1175" s="73"/>
      <c r="B1175" s="24">
        <v>85406</v>
      </c>
      <c r="C1175" s="25"/>
      <c r="D1175" s="293" t="s">
        <v>306</v>
      </c>
      <c r="E1175" s="41">
        <f>SUM(E1176:E1194)</f>
        <v>1599846</v>
      </c>
      <c r="F1175" s="95"/>
      <c r="G1175" s="41">
        <f>SUM(G1176:G1194)</f>
        <v>801904.71</v>
      </c>
      <c r="H1175" s="95"/>
      <c r="I1175" s="359">
        <f t="shared" si="18"/>
        <v>50.12386879737174</v>
      </c>
    </row>
    <row r="1176" spans="1:9" ht="25.5" customHeight="1">
      <c r="A1176" s="73"/>
      <c r="B1176" s="10"/>
      <c r="C1176" s="3">
        <v>3020</v>
      </c>
      <c r="D1176" s="288" t="s">
        <v>324</v>
      </c>
      <c r="E1176" s="102">
        <v>5397</v>
      </c>
      <c r="F1176" s="95"/>
      <c r="G1176" s="102">
        <v>0</v>
      </c>
      <c r="H1176" s="95"/>
      <c r="I1176" s="359"/>
    </row>
    <row r="1177" spans="1:9" ht="20.25" customHeight="1">
      <c r="A1177" s="73"/>
      <c r="B1177" s="10"/>
      <c r="C1177" s="3">
        <v>4010</v>
      </c>
      <c r="D1177" s="288" t="s">
        <v>643</v>
      </c>
      <c r="E1177" s="44">
        <v>1140534</v>
      </c>
      <c r="F1177" s="95"/>
      <c r="G1177" s="44">
        <v>524621.45</v>
      </c>
      <c r="H1177" s="95"/>
      <c r="I1177" s="359">
        <f t="shared" si="18"/>
        <v>45.997879063666666</v>
      </c>
    </row>
    <row r="1178" spans="1:9" ht="15" customHeight="1">
      <c r="A1178" s="73"/>
      <c r="B1178" s="10"/>
      <c r="C1178" s="3">
        <v>4040</v>
      </c>
      <c r="D1178" s="288" t="s">
        <v>644</v>
      </c>
      <c r="E1178" s="44">
        <v>98880</v>
      </c>
      <c r="F1178" s="95"/>
      <c r="G1178" s="44">
        <v>98865.93</v>
      </c>
      <c r="H1178" s="95"/>
      <c r="I1178" s="359">
        <f t="shared" si="18"/>
        <v>99.98577063106795</v>
      </c>
    </row>
    <row r="1179" spans="1:9" ht="15" customHeight="1">
      <c r="A1179" s="73"/>
      <c r="B1179" s="10"/>
      <c r="C1179" s="3">
        <v>4110</v>
      </c>
      <c r="D1179" s="288" t="s">
        <v>645</v>
      </c>
      <c r="E1179" s="44">
        <v>190000</v>
      </c>
      <c r="F1179" s="95"/>
      <c r="G1179" s="44">
        <v>96151.87</v>
      </c>
      <c r="H1179" s="95"/>
      <c r="I1179" s="359">
        <f t="shared" si="18"/>
        <v>50.60624736842105</v>
      </c>
    </row>
    <row r="1180" spans="1:9" ht="15" customHeight="1">
      <c r="A1180" s="73"/>
      <c r="B1180" s="10"/>
      <c r="C1180" s="3">
        <v>4120</v>
      </c>
      <c r="D1180" s="288" t="s">
        <v>646</v>
      </c>
      <c r="E1180" s="44">
        <v>28000</v>
      </c>
      <c r="F1180" s="95"/>
      <c r="G1180" s="44">
        <v>8139.89</v>
      </c>
      <c r="H1180" s="95"/>
      <c r="I1180" s="359">
        <f t="shared" si="18"/>
        <v>29.071035714285713</v>
      </c>
    </row>
    <row r="1181" spans="1:9" ht="15" customHeight="1">
      <c r="A1181" s="73"/>
      <c r="B1181" s="10"/>
      <c r="C1181" s="3">
        <v>4170</v>
      </c>
      <c r="D1181" s="288" t="s">
        <v>652</v>
      </c>
      <c r="E1181" s="44">
        <v>4100</v>
      </c>
      <c r="F1181" s="95"/>
      <c r="G1181" s="44">
        <v>1960.5</v>
      </c>
      <c r="H1181" s="95"/>
      <c r="I1181" s="359">
        <f t="shared" si="18"/>
        <v>47.8170731707317</v>
      </c>
    </row>
    <row r="1182" spans="1:9" ht="15" customHeight="1">
      <c r="A1182" s="73"/>
      <c r="B1182" s="10"/>
      <c r="C1182" s="3">
        <v>4210</v>
      </c>
      <c r="D1182" s="288" t="s">
        <v>602</v>
      </c>
      <c r="E1182" s="44">
        <v>15000</v>
      </c>
      <c r="F1182" s="95"/>
      <c r="G1182" s="44">
        <v>1003.85</v>
      </c>
      <c r="H1182" s="95"/>
      <c r="I1182" s="359">
        <f t="shared" si="18"/>
        <v>6.692333333333334</v>
      </c>
    </row>
    <row r="1183" spans="1:9" ht="25.5" customHeight="1">
      <c r="A1183" s="73"/>
      <c r="B1183" s="10"/>
      <c r="C1183" s="3">
        <v>4240</v>
      </c>
      <c r="D1183" s="288" t="s">
        <v>358</v>
      </c>
      <c r="E1183" s="44">
        <v>3000</v>
      </c>
      <c r="F1183" s="95"/>
      <c r="G1183" s="44">
        <v>2162.24</v>
      </c>
      <c r="H1183" s="95"/>
      <c r="I1183" s="359">
        <f t="shared" si="18"/>
        <v>72.07466666666666</v>
      </c>
    </row>
    <row r="1184" spans="1:9" ht="15" customHeight="1">
      <c r="A1184" s="73"/>
      <c r="B1184" s="10"/>
      <c r="C1184" s="3">
        <v>4260</v>
      </c>
      <c r="D1184" s="288" t="s">
        <v>660</v>
      </c>
      <c r="E1184" s="44">
        <v>18000</v>
      </c>
      <c r="F1184" s="95"/>
      <c r="G1184" s="44">
        <v>11341.11</v>
      </c>
      <c r="H1184" s="95"/>
      <c r="I1184" s="359">
        <f t="shared" si="18"/>
        <v>63.00616666666667</v>
      </c>
    </row>
    <row r="1185" spans="1:9" ht="15" customHeight="1">
      <c r="A1185" s="73"/>
      <c r="B1185" s="10"/>
      <c r="C1185" s="3">
        <v>4270</v>
      </c>
      <c r="D1185" s="288" t="s">
        <v>603</v>
      </c>
      <c r="E1185" s="44">
        <v>8000</v>
      </c>
      <c r="F1185" s="95"/>
      <c r="G1185" s="44">
        <v>628.8</v>
      </c>
      <c r="H1185" s="95"/>
      <c r="I1185" s="359">
        <f t="shared" si="18"/>
        <v>7.8599999999999985</v>
      </c>
    </row>
    <row r="1186" spans="1:9" ht="15" customHeight="1">
      <c r="A1186" s="73"/>
      <c r="B1186" s="10"/>
      <c r="C1186" s="3">
        <v>4280</v>
      </c>
      <c r="D1186" s="288" t="s">
        <v>326</v>
      </c>
      <c r="E1186" s="44">
        <v>1500</v>
      </c>
      <c r="F1186" s="95"/>
      <c r="G1186" s="44">
        <v>85</v>
      </c>
      <c r="H1186" s="95"/>
      <c r="I1186" s="359">
        <f t="shared" si="18"/>
        <v>5.666666666666666</v>
      </c>
    </row>
    <row r="1187" spans="1:9" ht="15" customHeight="1">
      <c r="A1187" s="73"/>
      <c r="B1187" s="10"/>
      <c r="C1187" s="3">
        <v>4300</v>
      </c>
      <c r="D1187" s="288" t="s">
        <v>599</v>
      </c>
      <c r="E1187" s="44">
        <v>14500</v>
      </c>
      <c r="F1187" s="95"/>
      <c r="G1187" s="44">
        <v>6101.87</v>
      </c>
      <c r="H1187" s="95"/>
      <c r="I1187" s="359">
        <f t="shared" si="18"/>
        <v>42.08186206896551</v>
      </c>
    </row>
    <row r="1188" spans="1:9" ht="15" customHeight="1">
      <c r="A1188" s="73"/>
      <c r="B1188" s="10"/>
      <c r="C1188" s="3">
        <v>4350</v>
      </c>
      <c r="D1188" s="288" t="s">
        <v>655</v>
      </c>
      <c r="E1188" s="44">
        <v>800</v>
      </c>
      <c r="F1188" s="95"/>
      <c r="G1188" s="44">
        <v>294.55</v>
      </c>
      <c r="H1188" s="95"/>
      <c r="I1188" s="359">
        <f t="shared" si="18"/>
        <v>36.81875</v>
      </c>
    </row>
    <row r="1189" spans="1:9" ht="36" customHeight="1">
      <c r="A1189" s="73"/>
      <c r="B1189" s="10"/>
      <c r="C1189" s="3">
        <v>4370</v>
      </c>
      <c r="D1189" s="288" t="s">
        <v>389</v>
      </c>
      <c r="E1189" s="44">
        <v>6090</v>
      </c>
      <c r="F1189" s="95"/>
      <c r="G1189" s="44">
        <v>2610.8</v>
      </c>
      <c r="H1189" s="95"/>
      <c r="I1189" s="359">
        <f t="shared" si="18"/>
        <v>42.870279146141215</v>
      </c>
    </row>
    <row r="1190" spans="1:9" ht="27.75" customHeight="1">
      <c r="A1190" s="73"/>
      <c r="B1190" s="10"/>
      <c r="C1190" s="3">
        <v>4390</v>
      </c>
      <c r="D1190" s="350" t="s">
        <v>555</v>
      </c>
      <c r="E1190" s="44">
        <v>500</v>
      </c>
      <c r="F1190" s="95"/>
      <c r="G1190" s="44">
        <v>0</v>
      </c>
      <c r="H1190" s="95"/>
      <c r="I1190" s="359"/>
    </row>
    <row r="1191" spans="1:9" ht="15" customHeight="1">
      <c r="A1191" s="73"/>
      <c r="B1191" s="10"/>
      <c r="C1191" s="3">
        <v>4410</v>
      </c>
      <c r="D1191" s="288" t="s">
        <v>649</v>
      </c>
      <c r="E1191" s="44">
        <v>1000</v>
      </c>
      <c r="F1191" s="95"/>
      <c r="G1191" s="44">
        <v>622.6</v>
      </c>
      <c r="H1191" s="95"/>
      <c r="I1191" s="359">
        <f t="shared" si="18"/>
        <v>62.260000000000005</v>
      </c>
    </row>
    <row r="1192" spans="1:9" ht="21.75" customHeight="1">
      <c r="A1192" s="73"/>
      <c r="B1192" s="10"/>
      <c r="C1192" s="3">
        <v>4430</v>
      </c>
      <c r="D1192" s="288" t="s">
        <v>433</v>
      </c>
      <c r="E1192" s="44">
        <v>750</v>
      </c>
      <c r="F1192" s="95"/>
      <c r="G1192" s="44">
        <v>738</v>
      </c>
      <c r="H1192" s="95"/>
      <c r="I1192" s="359">
        <f t="shared" si="18"/>
        <v>98.4</v>
      </c>
    </row>
    <row r="1193" spans="1:9" ht="27.75" customHeight="1">
      <c r="A1193" s="73"/>
      <c r="B1193" s="10"/>
      <c r="C1193" s="3">
        <v>4440</v>
      </c>
      <c r="D1193" s="288" t="s">
        <v>647</v>
      </c>
      <c r="E1193" s="44">
        <v>62795</v>
      </c>
      <c r="F1193" s="95"/>
      <c r="G1193" s="44">
        <v>46036.25</v>
      </c>
      <c r="H1193" s="95"/>
      <c r="I1193" s="359">
        <f t="shared" si="18"/>
        <v>73.31196751333705</v>
      </c>
    </row>
    <row r="1194" spans="1:9" ht="29.25" customHeight="1">
      <c r="A1194" s="73"/>
      <c r="B1194" s="10"/>
      <c r="C1194" s="3">
        <v>4700</v>
      </c>
      <c r="D1194" s="288" t="s">
        <v>420</v>
      </c>
      <c r="E1194" s="44">
        <v>1000</v>
      </c>
      <c r="F1194" s="95"/>
      <c r="G1194" s="44">
        <v>540</v>
      </c>
      <c r="H1194" s="95"/>
      <c r="I1194" s="359">
        <f t="shared" si="18"/>
        <v>54</v>
      </c>
    </row>
    <row r="1195" spans="1:9" ht="23.25" customHeight="1">
      <c r="A1195" s="73"/>
      <c r="B1195" s="24">
        <v>85410</v>
      </c>
      <c r="C1195" s="25"/>
      <c r="D1195" s="293" t="s">
        <v>614</v>
      </c>
      <c r="E1195" s="41">
        <f>SUM(E1196:E1216)</f>
        <v>1782100</v>
      </c>
      <c r="F1195" s="95"/>
      <c r="G1195" s="41">
        <f>SUM(G1196:G1216)</f>
        <v>963309.29</v>
      </c>
      <c r="H1195" s="95"/>
      <c r="I1195" s="359">
        <f t="shared" si="18"/>
        <v>54.05472700746311</v>
      </c>
    </row>
    <row r="1196" spans="1:9" ht="24" customHeight="1">
      <c r="A1196" s="73"/>
      <c r="B1196" s="10"/>
      <c r="C1196" s="3">
        <v>3020</v>
      </c>
      <c r="D1196" s="288" t="s">
        <v>324</v>
      </c>
      <c r="E1196" s="102">
        <v>4500</v>
      </c>
      <c r="F1196" s="95"/>
      <c r="G1196" s="102">
        <v>133.5</v>
      </c>
      <c r="H1196" s="95"/>
      <c r="I1196" s="359">
        <f t="shared" si="18"/>
        <v>2.966666666666667</v>
      </c>
    </row>
    <row r="1197" spans="1:9" ht="20.25" customHeight="1">
      <c r="A1197" s="73"/>
      <c r="B1197" s="10"/>
      <c r="C1197" s="3">
        <v>4010</v>
      </c>
      <c r="D1197" s="288" t="s">
        <v>643</v>
      </c>
      <c r="E1197" s="44">
        <v>918000</v>
      </c>
      <c r="F1197" s="95"/>
      <c r="G1197" s="44">
        <v>455298.79</v>
      </c>
      <c r="H1197" s="95"/>
      <c r="I1197" s="359">
        <f t="shared" si="18"/>
        <v>49.596818082788666</v>
      </c>
    </row>
    <row r="1198" spans="1:9" ht="15" customHeight="1">
      <c r="A1198" s="73"/>
      <c r="B1198" s="10"/>
      <c r="C1198" s="3">
        <v>4040</v>
      </c>
      <c r="D1198" s="288" t="s">
        <v>644</v>
      </c>
      <c r="E1198" s="44">
        <v>80500</v>
      </c>
      <c r="F1198" s="95"/>
      <c r="G1198" s="44">
        <v>73951.03</v>
      </c>
      <c r="H1198" s="95"/>
      <c r="I1198" s="359">
        <f t="shared" si="18"/>
        <v>91.86463354037267</v>
      </c>
    </row>
    <row r="1199" spans="1:9" ht="15" customHeight="1">
      <c r="A1199" s="73"/>
      <c r="B1199" s="10"/>
      <c r="C1199" s="3">
        <v>4110</v>
      </c>
      <c r="D1199" s="288" t="s">
        <v>645</v>
      </c>
      <c r="E1199" s="44">
        <v>156000</v>
      </c>
      <c r="F1199" s="95"/>
      <c r="G1199" s="44">
        <v>82400.54</v>
      </c>
      <c r="H1199" s="95"/>
      <c r="I1199" s="359">
        <f t="shared" si="18"/>
        <v>52.82085897435898</v>
      </c>
    </row>
    <row r="1200" spans="1:9" ht="15" customHeight="1">
      <c r="A1200" s="73"/>
      <c r="B1200" s="10"/>
      <c r="C1200" s="3">
        <v>4120</v>
      </c>
      <c r="D1200" s="288" t="s">
        <v>646</v>
      </c>
      <c r="E1200" s="44">
        <v>20500</v>
      </c>
      <c r="F1200" s="95"/>
      <c r="G1200" s="44">
        <v>10012.38</v>
      </c>
      <c r="H1200" s="95"/>
      <c r="I1200" s="359">
        <f t="shared" si="18"/>
        <v>48.84087804878048</v>
      </c>
    </row>
    <row r="1201" spans="1:9" ht="27" customHeight="1">
      <c r="A1201" s="73"/>
      <c r="B1201" s="10"/>
      <c r="C1201" s="3">
        <v>4140</v>
      </c>
      <c r="D1201" s="288" t="s">
        <v>357</v>
      </c>
      <c r="E1201" s="44">
        <v>10000</v>
      </c>
      <c r="F1201" s="95"/>
      <c r="G1201" s="44">
        <v>4909</v>
      </c>
      <c r="H1201" s="95"/>
      <c r="I1201" s="359">
        <f t="shared" si="18"/>
        <v>49.09</v>
      </c>
    </row>
    <row r="1202" spans="1:9" ht="15" customHeight="1">
      <c r="A1202" s="73"/>
      <c r="B1202" s="10"/>
      <c r="C1202" s="3">
        <v>4170</v>
      </c>
      <c r="D1202" s="288" t="s">
        <v>652</v>
      </c>
      <c r="E1202" s="44">
        <v>6000</v>
      </c>
      <c r="F1202" s="95"/>
      <c r="G1202" s="44">
        <v>3546</v>
      </c>
      <c r="H1202" s="95"/>
      <c r="I1202" s="359">
        <f t="shared" si="18"/>
        <v>59.099999999999994</v>
      </c>
    </row>
    <row r="1203" spans="1:9" ht="15" customHeight="1">
      <c r="A1203" s="73"/>
      <c r="B1203" s="10"/>
      <c r="C1203" s="3">
        <v>4210</v>
      </c>
      <c r="D1203" s="288" t="s">
        <v>602</v>
      </c>
      <c r="E1203" s="44">
        <v>45896</v>
      </c>
      <c r="F1203" s="95"/>
      <c r="G1203" s="44">
        <v>21356.67</v>
      </c>
      <c r="H1203" s="95"/>
      <c r="I1203" s="359">
        <f t="shared" si="18"/>
        <v>46.53274795189123</v>
      </c>
    </row>
    <row r="1204" spans="1:9" ht="15" customHeight="1">
      <c r="A1204" s="73"/>
      <c r="B1204" s="10"/>
      <c r="C1204" s="3">
        <v>4220</v>
      </c>
      <c r="D1204" s="288" t="s">
        <v>163</v>
      </c>
      <c r="E1204" s="44">
        <v>280000</v>
      </c>
      <c r="F1204" s="95"/>
      <c r="G1204" s="44">
        <v>163241.75</v>
      </c>
      <c r="H1204" s="95"/>
      <c r="I1204" s="359">
        <f t="shared" si="18"/>
        <v>58.300625</v>
      </c>
    </row>
    <row r="1205" spans="1:9" ht="15" customHeight="1">
      <c r="A1205" s="73"/>
      <c r="B1205" s="10"/>
      <c r="C1205" s="3">
        <v>4260</v>
      </c>
      <c r="D1205" s="288" t="s">
        <v>660</v>
      </c>
      <c r="E1205" s="44">
        <v>118000</v>
      </c>
      <c r="F1205" s="95"/>
      <c r="G1205" s="44">
        <v>67604.91</v>
      </c>
      <c r="H1205" s="95"/>
      <c r="I1205" s="359">
        <f t="shared" si="18"/>
        <v>57.292296610169494</v>
      </c>
    </row>
    <row r="1206" spans="1:9" ht="15" customHeight="1">
      <c r="A1206" s="73"/>
      <c r="B1206" s="10"/>
      <c r="C1206" s="3">
        <v>4270</v>
      </c>
      <c r="D1206" s="288" t="s">
        <v>603</v>
      </c>
      <c r="E1206" s="44">
        <v>14000</v>
      </c>
      <c r="F1206" s="95"/>
      <c r="G1206" s="44">
        <v>3430.09</v>
      </c>
      <c r="H1206" s="95"/>
      <c r="I1206" s="359">
        <f t="shared" si="18"/>
        <v>24.500642857142857</v>
      </c>
    </row>
    <row r="1207" spans="1:9" ht="15" customHeight="1">
      <c r="A1207" s="73"/>
      <c r="B1207" s="10"/>
      <c r="C1207" s="3">
        <v>4280</v>
      </c>
      <c r="D1207" s="288" t="s">
        <v>326</v>
      </c>
      <c r="E1207" s="44">
        <v>1000</v>
      </c>
      <c r="F1207" s="95"/>
      <c r="G1207" s="44">
        <v>0</v>
      </c>
      <c r="H1207" s="95"/>
      <c r="I1207" s="359"/>
    </row>
    <row r="1208" spans="1:9" ht="15" customHeight="1">
      <c r="A1208" s="73"/>
      <c r="B1208" s="10"/>
      <c r="C1208" s="3">
        <v>4300</v>
      </c>
      <c r="D1208" s="288" t="s">
        <v>599</v>
      </c>
      <c r="E1208" s="44">
        <v>60000</v>
      </c>
      <c r="F1208" s="95"/>
      <c r="G1208" s="44">
        <v>29553.01</v>
      </c>
      <c r="H1208" s="95"/>
      <c r="I1208" s="359">
        <f t="shared" si="18"/>
        <v>49.25501666666666</v>
      </c>
    </row>
    <row r="1209" spans="1:9" ht="15" customHeight="1">
      <c r="A1209" s="73"/>
      <c r="B1209" s="10"/>
      <c r="C1209" s="3">
        <v>4350</v>
      </c>
      <c r="D1209" s="288" t="s">
        <v>655</v>
      </c>
      <c r="E1209" s="44">
        <v>2104</v>
      </c>
      <c r="F1209" s="95"/>
      <c r="G1209" s="44">
        <v>1011.6</v>
      </c>
      <c r="H1209" s="95"/>
      <c r="I1209" s="359">
        <f t="shared" si="18"/>
        <v>48.07984790874525</v>
      </c>
    </row>
    <row r="1210" spans="1:9" ht="38.25" customHeight="1">
      <c r="A1210" s="73"/>
      <c r="B1210" s="10"/>
      <c r="C1210" s="3">
        <v>4370</v>
      </c>
      <c r="D1210" s="288" t="s">
        <v>389</v>
      </c>
      <c r="E1210" s="44">
        <v>1900</v>
      </c>
      <c r="F1210" s="95"/>
      <c r="G1210" s="44">
        <v>686.02</v>
      </c>
      <c r="H1210" s="95"/>
      <c r="I1210" s="359">
        <f t="shared" si="18"/>
        <v>36.10631578947368</v>
      </c>
    </row>
    <row r="1211" spans="1:9" ht="24" customHeight="1">
      <c r="A1211" s="73"/>
      <c r="B1211" s="10"/>
      <c r="C1211" s="3">
        <v>4390</v>
      </c>
      <c r="D1211" s="350" t="s">
        <v>555</v>
      </c>
      <c r="E1211" s="44">
        <v>1000</v>
      </c>
      <c r="F1211" s="95"/>
      <c r="G1211" s="44">
        <v>0</v>
      </c>
      <c r="H1211" s="95"/>
      <c r="I1211" s="359"/>
    </row>
    <row r="1212" spans="1:9" ht="15" customHeight="1">
      <c r="A1212" s="73"/>
      <c r="B1212" s="10"/>
      <c r="C1212" s="3">
        <v>4410</v>
      </c>
      <c r="D1212" s="288" t="s">
        <v>649</v>
      </c>
      <c r="E1212" s="44">
        <v>300</v>
      </c>
      <c r="F1212" s="95"/>
      <c r="G1212" s="44">
        <v>0</v>
      </c>
      <c r="H1212" s="95"/>
      <c r="I1212" s="359"/>
    </row>
    <row r="1213" spans="1:9" ht="15" customHeight="1">
      <c r="A1213" s="73"/>
      <c r="B1213" s="10"/>
      <c r="C1213" s="3">
        <v>4430</v>
      </c>
      <c r="D1213" s="288" t="s">
        <v>433</v>
      </c>
      <c r="E1213" s="44">
        <v>3100</v>
      </c>
      <c r="F1213" s="95"/>
      <c r="G1213" s="44">
        <v>2797</v>
      </c>
      <c r="H1213" s="95"/>
      <c r="I1213" s="359">
        <f t="shared" si="18"/>
        <v>90.2258064516129</v>
      </c>
    </row>
    <row r="1214" spans="1:9" ht="24.75" customHeight="1">
      <c r="A1214" s="73"/>
      <c r="B1214" s="10"/>
      <c r="C1214" s="3">
        <v>4440</v>
      </c>
      <c r="D1214" s="288" t="s">
        <v>647</v>
      </c>
      <c r="E1214" s="44">
        <v>56500</v>
      </c>
      <c r="F1214" s="95"/>
      <c r="G1214" s="44">
        <v>42375</v>
      </c>
      <c r="H1214" s="95"/>
      <c r="I1214" s="359">
        <f t="shared" si="18"/>
        <v>75</v>
      </c>
    </row>
    <row r="1215" spans="1:9" ht="19.5" customHeight="1">
      <c r="A1215" s="73"/>
      <c r="B1215" s="10"/>
      <c r="C1215" s="3">
        <v>4480</v>
      </c>
      <c r="D1215" s="288" t="s">
        <v>452</v>
      </c>
      <c r="E1215" s="44">
        <v>2000</v>
      </c>
      <c r="F1215" s="95"/>
      <c r="G1215" s="44">
        <v>1002</v>
      </c>
      <c r="H1215" s="95"/>
      <c r="I1215" s="359">
        <f t="shared" si="18"/>
        <v>50.1</v>
      </c>
    </row>
    <row r="1216" spans="1:9" ht="27" customHeight="1">
      <c r="A1216" s="73"/>
      <c r="B1216" s="10"/>
      <c r="C1216" s="3">
        <v>4700</v>
      </c>
      <c r="D1216" s="288" t="s">
        <v>420</v>
      </c>
      <c r="E1216" s="44">
        <v>800</v>
      </c>
      <c r="F1216" s="95"/>
      <c r="G1216" s="44">
        <v>0</v>
      </c>
      <c r="H1216" s="95"/>
      <c r="I1216" s="359"/>
    </row>
    <row r="1217" spans="1:25" s="56" customFormat="1" ht="38.25" customHeight="1">
      <c r="A1217" s="91"/>
      <c r="B1217" s="25">
        <v>85412</v>
      </c>
      <c r="C1217" s="25"/>
      <c r="D1217" s="293" t="s">
        <v>508</v>
      </c>
      <c r="E1217" s="41">
        <f>E1218</f>
        <v>64000</v>
      </c>
      <c r="F1217" s="114"/>
      <c r="G1217" s="41">
        <f>G1218</f>
        <v>59423.1</v>
      </c>
      <c r="H1217" s="114"/>
      <c r="I1217" s="359">
        <f t="shared" si="18"/>
        <v>92.84859374999999</v>
      </c>
      <c r="J1217" s="243"/>
      <c r="K1217" s="243"/>
      <c r="L1217" s="261"/>
      <c r="M1217" s="243"/>
      <c r="N1217" s="243"/>
      <c r="O1217" s="243"/>
      <c r="P1217" s="243"/>
      <c r="Q1217" s="243"/>
      <c r="R1217" s="243"/>
      <c r="S1217" s="243"/>
      <c r="T1217" s="252"/>
      <c r="U1217" s="252"/>
      <c r="V1217" s="252"/>
      <c r="W1217" s="252"/>
      <c r="X1217" s="252"/>
      <c r="Y1217" s="252"/>
    </row>
    <row r="1218" spans="1:9" ht="19.5" customHeight="1">
      <c r="A1218" s="73"/>
      <c r="B1218" s="10"/>
      <c r="C1218" s="3">
        <v>4300</v>
      </c>
      <c r="D1218" s="288" t="s">
        <v>599</v>
      </c>
      <c r="E1218" s="58">
        <v>64000</v>
      </c>
      <c r="F1218" s="95"/>
      <c r="G1218" s="58">
        <v>59423.1</v>
      </c>
      <c r="H1218" s="95"/>
      <c r="I1218" s="359">
        <f t="shared" si="18"/>
        <v>92.84859374999999</v>
      </c>
    </row>
    <row r="1219" spans="1:9" ht="23.25" customHeight="1">
      <c r="A1219" s="73"/>
      <c r="B1219" s="25">
        <v>85415</v>
      </c>
      <c r="C1219" s="25"/>
      <c r="D1219" s="293" t="s">
        <v>494</v>
      </c>
      <c r="E1219" s="41">
        <f>SUM(E1220:E1220)</f>
        <v>50000</v>
      </c>
      <c r="F1219" s="95"/>
      <c r="G1219" s="41">
        <f>SUM(G1220:G1220)</f>
        <v>34109</v>
      </c>
      <c r="H1219" s="95"/>
      <c r="I1219" s="359">
        <f t="shared" si="18"/>
        <v>68.218</v>
      </c>
    </row>
    <row r="1220" spans="1:9" ht="21" customHeight="1">
      <c r="A1220" s="73"/>
      <c r="B1220" s="10"/>
      <c r="C1220" s="3">
        <v>3240</v>
      </c>
      <c r="D1220" s="288" t="s">
        <v>495</v>
      </c>
      <c r="E1220" s="58">
        <v>50000</v>
      </c>
      <c r="F1220" s="95"/>
      <c r="G1220" s="58">
        <v>34109</v>
      </c>
      <c r="H1220" s="95"/>
      <c r="I1220" s="359">
        <f t="shared" si="18"/>
        <v>68.218</v>
      </c>
    </row>
    <row r="1221" spans="1:9" ht="20.25" customHeight="1">
      <c r="A1221" s="73"/>
      <c r="B1221" s="24">
        <v>85417</v>
      </c>
      <c r="C1221" s="25"/>
      <c r="D1221" s="293" t="s">
        <v>615</v>
      </c>
      <c r="E1221" s="41">
        <f>SUM(E1222:E1240)</f>
        <v>371075</v>
      </c>
      <c r="F1221" s="95"/>
      <c r="G1221" s="41">
        <f>SUM(G1222:G1240)</f>
        <v>207173.06000000003</v>
      </c>
      <c r="H1221" s="95"/>
      <c r="I1221" s="359">
        <f t="shared" si="18"/>
        <v>55.83050865727953</v>
      </c>
    </row>
    <row r="1222" spans="1:9" ht="24" customHeight="1">
      <c r="A1222" s="73"/>
      <c r="B1222" s="10"/>
      <c r="C1222" s="3">
        <v>3020</v>
      </c>
      <c r="D1222" s="288" t="s">
        <v>324</v>
      </c>
      <c r="E1222" s="102">
        <v>700</v>
      </c>
      <c r="F1222" s="95"/>
      <c r="G1222" s="102">
        <v>250</v>
      </c>
      <c r="H1222" s="95"/>
      <c r="I1222" s="359">
        <f t="shared" si="18"/>
        <v>35.714285714285715</v>
      </c>
    </row>
    <row r="1223" spans="1:9" ht="16.5" customHeight="1">
      <c r="A1223" s="73"/>
      <c r="B1223" s="10"/>
      <c r="C1223" s="3">
        <v>4010</v>
      </c>
      <c r="D1223" s="288" t="s">
        <v>643</v>
      </c>
      <c r="E1223" s="44">
        <v>180000</v>
      </c>
      <c r="F1223" s="95"/>
      <c r="G1223" s="44">
        <v>99551.38</v>
      </c>
      <c r="H1223" s="95"/>
      <c r="I1223" s="359">
        <f t="shared" si="18"/>
        <v>55.30632222222223</v>
      </c>
    </row>
    <row r="1224" spans="1:9" ht="15" customHeight="1">
      <c r="A1224" s="73"/>
      <c r="B1224" s="10"/>
      <c r="C1224" s="3">
        <v>4040</v>
      </c>
      <c r="D1224" s="288" t="s">
        <v>644</v>
      </c>
      <c r="E1224" s="44">
        <v>15733</v>
      </c>
      <c r="F1224" s="95"/>
      <c r="G1224" s="44">
        <v>14336.44</v>
      </c>
      <c r="H1224" s="95"/>
      <c r="I1224" s="359">
        <f t="shared" si="18"/>
        <v>91.12337125786564</v>
      </c>
    </row>
    <row r="1225" spans="1:9" ht="15" customHeight="1">
      <c r="A1225" s="73"/>
      <c r="B1225" s="10"/>
      <c r="C1225" s="3">
        <v>4110</v>
      </c>
      <c r="D1225" s="288" t="s">
        <v>645</v>
      </c>
      <c r="E1225" s="44">
        <v>32000</v>
      </c>
      <c r="F1225" s="95"/>
      <c r="G1225" s="44">
        <v>19991.68</v>
      </c>
      <c r="H1225" s="95"/>
      <c r="I1225" s="359">
        <f t="shared" si="18"/>
        <v>62.474</v>
      </c>
    </row>
    <row r="1226" spans="1:9" ht="15" customHeight="1">
      <c r="A1226" s="73"/>
      <c r="B1226" s="10"/>
      <c r="C1226" s="3">
        <v>4120</v>
      </c>
      <c r="D1226" s="288" t="s">
        <v>646</v>
      </c>
      <c r="E1226" s="44">
        <v>3600</v>
      </c>
      <c r="F1226" s="95"/>
      <c r="G1226" s="44">
        <v>1896.59</v>
      </c>
      <c r="H1226" s="95"/>
      <c r="I1226" s="359">
        <f t="shared" si="18"/>
        <v>52.683055555555555</v>
      </c>
    </row>
    <row r="1227" spans="1:9" ht="15" customHeight="1">
      <c r="A1227" s="73"/>
      <c r="B1227" s="10"/>
      <c r="C1227" s="3">
        <v>4170</v>
      </c>
      <c r="D1227" s="288" t="s">
        <v>652</v>
      </c>
      <c r="E1227" s="44">
        <v>13165</v>
      </c>
      <c r="F1227" s="95"/>
      <c r="G1227" s="44">
        <v>4704.5</v>
      </c>
      <c r="H1227" s="95"/>
      <c r="I1227" s="359">
        <f t="shared" si="18"/>
        <v>35.73490315229776</v>
      </c>
    </row>
    <row r="1228" spans="1:9" ht="15" customHeight="1">
      <c r="A1228" s="73"/>
      <c r="B1228" s="10"/>
      <c r="C1228" s="3">
        <v>4210</v>
      </c>
      <c r="D1228" s="288" t="s">
        <v>602</v>
      </c>
      <c r="E1228" s="44">
        <v>17120</v>
      </c>
      <c r="F1228" s="95"/>
      <c r="G1228" s="44">
        <v>8355.92</v>
      </c>
      <c r="H1228" s="95"/>
      <c r="I1228" s="359">
        <f t="shared" si="18"/>
        <v>48.807943925233644</v>
      </c>
    </row>
    <row r="1229" spans="1:9" ht="15" customHeight="1">
      <c r="A1229" s="73"/>
      <c r="B1229" s="10"/>
      <c r="C1229" s="3">
        <v>4260</v>
      </c>
      <c r="D1229" s="288" t="s">
        <v>660</v>
      </c>
      <c r="E1229" s="44">
        <v>20000</v>
      </c>
      <c r="F1229" s="95"/>
      <c r="G1229" s="44">
        <v>10391.28</v>
      </c>
      <c r="H1229" s="95"/>
      <c r="I1229" s="359">
        <f t="shared" si="18"/>
        <v>51.9564</v>
      </c>
    </row>
    <row r="1230" spans="1:9" ht="15" customHeight="1">
      <c r="A1230" s="73"/>
      <c r="B1230" s="10"/>
      <c r="C1230" s="3">
        <v>4270</v>
      </c>
      <c r="D1230" s="288" t="s">
        <v>603</v>
      </c>
      <c r="E1230" s="44">
        <v>15000</v>
      </c>
      <c r="F1230" s="95"/>
      <c r="G1230" s="44">
        <v>5308</v>
      </c>
      <c r="H1230" s="95"/>
      <c r="I1230" s="359">
        <f aca="true" t="shared" si="19" ref="I1230:I1253">G1230/E1230*100</f>
        <v>35.38666666666666</v>
      </c>
    </row>
    <row r="1231" spans="1:9" ht="15" customHeight="1">
      <c r="A1231" s="73"/>
      <c r="B1231" s="10"/>
      <c r="C1231" s="3">
        <v>4280</v>
      </c>
      <c r="D1231" s="288" t="s">
        <v>326</v>
      </c>
      <c r="E1231" s="44">
        <v>500</v>
      </c>
      <c r="F1231" s="95"/>
      <c r="G1231" s="44">
        <v>0</v>
      </c>
      <c r="H1231" s="95"/>
      <c r="I1231" s="359"/>
    </row>
    <row r="1232" spans="1:9" ht="15" customHeight="1">
      <c r="A1232" s="73"/>
      <c r="B1232" s="10"/>
      <c r="C1232" s="3">
        <v>4300</v>
      </c>
      <c r="D1232" s="288" t="s">
        <v>599</v>
      </c>
      <c r="E1232" s="44">
        <v>40000</v>
      </c>
      <c r="F1232" s="95"/>
      <c r="G1232" s="44">
        <v>27792.29</v>
      </c>
      <c r="H1232" s="95"/>
      <c r="I1232" s="359">
        <f t="shared" si="19"/>
        <v>69.48072499999999</v>
      </c>
    </row>
    <row r="1233" spans="1:9" ht="15" customHeight="1">
      <c r="A1233" s="73"/>
      <c r="B1233" s="10"/>
      <c r="C1233" s="3">
        <v>4350</v>
      </c>
      <c r="D1233" s="288" t="s">
        <v>655</v>
      </c>
      <c r="E1233" s="44">
        <v>948</v>
      </c>
      <c r="F1233" s="95"/>
      <c r="G1233" s="44">
        <v>524</v>
      </c>
      <c r="H1233" s="95"/>
      <c r="I1233" s="359">
        <f t="shared" si="19"/>
        <v>55.27426160337553</v>
      </c>
    </row>
    <row r="1234" spans="1:9" ht="37.5" customHeight="1">
      <c r="A1234" s="73"/>
      <c r="B1234" s="10"/>
      <c r="C1234" s="3">
        <v>4360</v>
      </c>
      <c r="D1234" s="288" t="s">
        <v>390</v>
      </c>
      <c r="E1234" s="44">
        <v>850</v>
      </c>
      <c r="F1234" s="95"/>
      <c r="G1234" s="44">
        <v>470.23</v>
      </c>
      <c r="H1234" s="95"/>
      <c r="I1234" s="359">
        <f t="shared" si="19"/>
        <v>55.32117647058824</v>
      </c>
    </row>
    <row r="1235" spans="1:9" ht="38.25" customHeight="1">
      <c r="A1235" s="73"/>
      <c r="B1235" s="10"/>
      <c r="C1235" s="3">
        <v>4370</v>
      </c>
      <c r="D1235" s="288" t="s">
        <v>389</v>
      </c>
      <c r="E1235" s="44">
        <v>1577</v>
      </c>
      <c r="F1235" s="95"/>
      <c r="G1235" s="44">
        <v>414.6</v>
      </c>
      <c r="H1235" s="95"/>
      <c r="I1235" s="359">
        <f t="shared" si="19"/>
        <v>26.290424857324034</v>
      </c>
    </row>
    <row r="1236" spans="1:9" ht="15" customHeight="1">
      <c r="A1236" s="73"/>
      <c r="B1236" s="10"/>
      <c r="C1236" s="3">
        <v>4410</v>
      </c>
      <c r="D1236" s="288" t="s">
        <v>649</v>
      </c>
      <c r="E1236" s="44">
        <v>1500</v>
      </c>
      <c r="F1236" s="95"/>
      <c r="G1236" s="44">
        <v>424.06</v>
      </c>
      <c r="H1236" s="95"/>
      <c r="I1236" s="359">
        <f t="shared" si="19"/>
        <v>28.270666666666667</v>
      </c>
    </row>
    <row r="1237" spans="1:9" ht="15" customHeight="1">
      <c r="A1237" s="73"/>
      <c r="B1237" s="10"/>
      <c r="C1237" s="3">
        <v>4430</v>
      </c>
      <c r="D1237" s="288" t="s">
        <v>433</v>
      </c>
      <c r="E1237" s="44">
        <v>1000</v>
      </c>
      <c r="F1237" s="95"/>
      <c r="G1237" s="44">
        <v>851</v>
      </c>
      <c r="H1237" s="95"/>
      <c r="I1237" s="359">
        <f t="shared" si="19"/>
        <v>85.1</v>
      </c>
    </row>
    <row r="1238" spans="1:9" ht="25.5" customHeight="1">
      <c r="A1238" s="73"/>
      <c r="B1238" s="10"/>
      <c r="C1238" s="3">
        <v>4440</v>
      </c>
      <c r="D1238" s="288" t="s">
        <v>647</v>
      </c>
      <c r="E1238" s="44">
        <v>6382</v>
      </c>
      <c r="F1238" s="95"/>
      <c r="G1238" s="44">
        <v>6000</v>
      </c>
      <c r="H1238" s="95"/>
      <c r="I1238" s="359">
        <f t="shared" si="19"/>
        <v>94.0144155437167</v>
      </c>
    </row>
    <row r="1239" spans="1:9" ht="19.5" customHeight="1">
      <c r="A1239" s="73"/>
      <c r="B1239" s="10"/>
      <c r="C1239" s="3">
        <v>4530</v>
      </c>
      <c r="D1239" s="288" t="s">
        <v>496</v>
      </c>
      <c r="E1239" s="44">
        <v>20000</v>
      </c>
      <c r="F1239" s="95"/>
      <c r="G1239" s="44">
        <v>5911.09</v>
      </c>
      <c r="H1239" s="95"/>
      <c r="I1239" s="359">
        <f t="shared" si="19"/>
        <v>29.55545</v>
      </c>
    </row>
    <row r="1240" spans="1:9" ht="29.25" customHeight="1">
      <c r="A1240" s="73"/>
      <c r="B1240" s="10"/>
      <c r="C1240" s="3">
        <v>4700</v>
      </c>
      <c r="D1240" s="288" t="s">
        <v>420</v>
      </c>
      <c r="E1240" s="44">
        <v>1000</v>
      </c>
      <c r="F1240" s="95"/>
      <c r="G1240" s="44">
        <v>0</v>
      </c>
      <c r="H1240" s="95"/>
      <c r="I1240" s="359"/>
    </row>
    <row r="1241" spans="1:9" ht="18.75" customHeight="1">
      <c r="A1241" s="73"/>
      <c r="B1241" s="25">
        <v>85446</v>
      </c>
      <c r="C1241" s="25"/>
      <c r="D1241" s="293" t="s">
        <v>591</v>
      </c>
      <c r="E1241" s="41">
        <f>SUM(E1242:E1245)</f>
        <v>23908</v>
      </c>
      <c r="F1241" s="95"/>
      <c r="G1241" s="41">
        <f>SUM(G1242:G1245)</f>
        <v>10289.73</v>
      </c>
      <c r="H1241" s="95"/>
      <c r="I1241" s="359">
        <f t="shared" si="19"/>
        <v>43.03885728626401</v>
      </c>
    </row>
    <row r="1242" spans="1:9" ht="14.25" customHeight="1">
      <c r="A1242" s="76"/>
      <c r="B1242" s="8"/>
      <c r="C1242" s="9">
        <v>4210</v>
      </c>
      <c r="D1242" s="288" t="s">
        <v>602</v>
      </c>
      <c r="E1242" s="102">
        <v>823</v>
      </c>
      <c r="F1242" s="95"/>
      <c r="G1242" s="102">
        <v>0</v>
      </c>
      <c r="H1242" s="95"/>
      <c r="I1242" s="359"/>
    </row>
    <row r="1243" spans="1:9" ht="18.75" customHeight="1">
      <c r="A1243" s="76"/>
      <c r="B1243" s="8"/>
      <c r="C1243" s="9">
        <v>4300</v>
      </c>
      <c r="D1243" s="288" t="s">
        <v>599</v>
      </c>
      <c r="E1243" s="44">
        <v>7081</v>
      </c>
      <c r="F1243" s="95"/>
      <c r="G1243" s="44">
        <v>3900</v>
      </c>
      <c r="H1243" s="95"/>
      <c r="I1243" s="359">
        <f t="shared" si="19"/>
        <v>55.076966530151104</v>
      </c>
    </row>
    <row r="1244" spans="1:9" ht="18.75" customHeight="1">
      <c r="A1244" s="76"/>
      <c r="B1244" s="8"/>
      <c r="C1244" s="9">
        <v>4410</v>
      </c>
      <c r="D1244" s="288" t="s">
        <v>649</v>
      </c>
      <c r="E1244" s="44">
        <v>2300</v>
      </c>
      <c r="F1244" s="95"/>
      <c r="G1244" s="44">
        <v>1289.73</v>
      </c>
      <c r="H1244" s="95"/>
      <c r="I1244" s="359">
        <f t="shared" si="19"/>
        <v>56.07521739130434</v>
      </c>
    </row>
    <row r="1245" spans="1:9" ht="27.75" customHeight="1">
      <c r="A1245" s="76"/>
      <c r="B1245" s="2"/>
      <c r="C1245" s="9">
        <v>4700</v>
      </c>
      <c r="D1245" s="288" t="s">
        <v>420</v>
      </c>
      <c r="E1245" s="44">
        <v>13704</v>
      </c>
      <c r="F1245" s="97"/>
      <c r="G1245" s="44">
        <v>5100</v>
      </c>
      <c r="H1245" s="97"/>
      <c r="I1245" s="359">
        <f t="shared" si="19"/>
        <v>37.215411558669004</v>
      </c>
    </row>
    <row r="1246" spans="1:9" ht="24.75" customHeight="1">
      <c r="A1246" s="63">
        <v>921</v>
      </c>
      <c r="B1246" s="74"/>
      <c r="C1246" s="11"/>
      <c r="D1246" s="292" t="s">
        <v>472</v>
      </c>
      <c r="E1246" s="36">
        <f>E1247</f>
        <v>2612200</v>
      </c>
      <c r="F1246" s="95"/>
      <c r="G1246" s="36">
        <f>G1247</f>
        <v>1340000</v>
      </c>
      <c r="H1246" s="95"/>
      <c r="I1246" s="359">
        <f t="shared" si="19"/>
        <v>51.29775668019294</v>
      </c>
    </row>
    <row r="1247" spans="1:9" ht="21.75" customHeight="1">
      <c r="A1247" s="117"/>
      <c r="B1247" s="117">
        <v>92116</v>
      </c>
      <c r="C1247" s="25"/>
      <c r="D1247" s="293" t="s">
        <v>593</v>
      </c>
      <c r="E1247" s="41">
        <f>E1248</f>
        <v>2612200</v>
      </c>
      <c r="F1247" s="112"/>
      <c r="G1247" s="41">
        <f>G1248</f>
        <v>1340000</v>
      </c>
      <c r="H1247" s="112"/>
      <c r="I1247" s="359">
        <f t="shared" si="19"/>
        <v>51.29775668019294</v>
      </c>
    </row>
    <row r="1248" spans="1:9" ht="30" customHeight="1">
      <c r="A1248" s="88"/>
      <c r="B1248" s="84"/>
      <c r="C1248" s="16">
        <v>2480</v>
      </c>
      <c r="D1248" s="290" t="s">
        <v>473</v>
      </c>
      <c r="E1248" s="102">
        <v>2612200</v>
      </c>
      <c r="F1248" s="95"/>
      <c r="G1248" s="102">
        <v>1340000</v>
      </c>
      <c r="H1248" s="95"/>
      <c r="I1248" s="359">
        <f t="shared" si="19"/>
        <v>51.29775668019294</v>
      </c>
    </row>
    <row r="1249" spans="1:9" ht="18" customHeight="1">
      <c r="A1249" s="65">
        <v>926</v>
      </c>
      <c r="B1249" s="62"/>
      <c r="C1249" s="11"/>
      <c r="D1249" s="292" t="s">
        <v>392</v>
      </c>
      <c r="E1249" s="36">
        <f>E1250</f>
        <v>500000</v>
      </c>
      <c r="F1249" s="116"/>
      <c r="G1249" s="36">
        <f>G1250</f>
        <v>0</v>
      </c>
      <c r="H1249" s="116"/>
      <c r="I1249" s="359"/>
    </row>
    <row r="1250" spans="1:9" ht="20.25" customHeight="1">
      <c r="A1250" s="71"/>
      <c r="B1250" s="25">
        <v>92601</v>
      </c>
      <c r="C1250" s="25"/>
      <c r="D1250" s="293" t="s">
        <v>586</v>
      </c>
      <c r="E1250" s="106">
        <f>E1251</f>
        <v>500000</v>
      </c>
      <c r="F1250" s="112"/>
      <c r="G1250" s="106">
        <f>G1251</f>
        <v>0</v>
      </c>
      <c r="H1250" s="112"/>
      <c r="I1250" s="359"/>
    </row>
    <row r="1251" spans="1:9" ht="21.75" customHeight="1">
      <c r="A1251" s="134"/>
      <c r="B1251" s="2"/>
      <c r="C1251" s="9">
        <v>6050</v>
      </c>
      <c r="D1251" s="288" t="s">
        <v>349</v>
      </c>
      <c r="E1251" s="79">
        <f>50000+450000</f>
        <v>500000</v>
      </c>
      <c r="F1251" s="95"/>
      <c r="G1251" s="79">
        <v>0</v>
      </c>
      <c r="H1251" s="95"/>
      <c r="I1251" s="359"/>
    </row>
    <row r="1252" spans="1:15" ht="23.25" customHeight="1">
      <c r="A1252" s="52" t="s">
        <v>474</v>
      </c>
      <c r="B1252" s="87"/>
      <c r="C1252" s="5"/>
      <c r="D1252" s="342"/>
      <c r="E1252" s="80">
        <f>E647+E656+E666+E672+E700+E726+E765+E774+E1022+E1092+E1124+E1246+E1249</f>
        <v>132699226.17</v>
      </c>
      <c r="F1252" s="199">
        <f>F647+F656+F666+F672+F700+F726+F765+F774+F1022+F1092+F1124+F1246+F1249</f>
        <v>11023721</v>
      </c>
      <c r="G1252" s="80">
        <f>G647+G656+G666+G672+G700+G726+G765+G774+G1022+G1092+G1124+G1246+G1249</f>
        <v>57744019.68</v>
      </c>
      <c r="H1252" s="199">
        <f>H647+H656+H666+H672+H700+H726+H765+H774+H1022+H1092+H1124+H1246+H1249</f>
        <v>5621904.210000001</v>
      </c>
      <c r="I1252" s="403">
        <f t="shared" si="19"/>
        <v>43.51496338495943</v>
      </c>
      <c r="J1252" s="257"/>
      <c r="L1252" s="265"/>
      <c r="M1252" s="244"/>
      <c r="O1252" s="257"/>
    </row>
    <row r="1253" spans="1:15" ht="24.75" customHeight="1">
      <c r="A1253" s="155" t="s">
        <v>554</v>
      </c>
      <c r="B1253" s="87"/>
      <c r="C1253" s="5"/>
      <c r="D1253" s="342"/>
      <c r="E1253" s="36">
        <f>E645+E1252</f>
        <v>416900063.22</v>
      </c>
      <c r="F1253" s="178">
        <f>F645+F1252</f>
        <v>32194111.5</v>
      </c>
      <c r="G1253" s="36">
        <f>G645+G1252</f>
        <v>180413468.25</v>
      </c>
      <c r="H1253" s="178">
        <f>H645+H1252</f>
        <v>16646953.190000001</v>
      </c>
      <c r="I1253" s="403">
        <f t="shared" si="19"/>
        <v>43.27499181855365</v>
      </c>
      <c r="K1253" s="244"/>
      <c r="L1253" s="244"/>
      <c r="M1253" s="244"/>
      <c r="N1253" s="244"/>
      <c r="O1253" s="244"/>
    </row>
    <row r="1254" spans="1:15" ht="24.75" customHeight="1">
      <c r="A1254" s="266"/>
      <c r="B1254" s="99"/>
      <c r="C1254" s="10"/>
      <c r="D1254" s="356"/>
      <c r="E1254" s="254"/>
      <c r="F1254" s="362"/>
      <c r="G1254" s="254"/>
      <c r="H1254" s="362"/>
      <c r="I1254" s="238"/>
      <c r="K1254" s="244"/>
      <c r="L1254" s="244"/>
      <c r="M1254" s="244"/>
      <c r="N1254" s="244"/>
      <c r="O1254" s="244"/>
    </row>
    <row r="1255" spans="1:15" ht="24.75" customHeight="1">
      <c r="A1255" s="266"/>
      <c r="B1255" s="99"/>
      <c r="C1255" s="10"/>
      <c r="D1255" s="356"/>
      <c r="E1255" s="254"/>
      <c r="F1255" s="362"/>
      <c r="G1255" s="254"/>
      <c r="H1255" s="362"/>
      <c r="I1255" s="238"/>
      <c r="K1255" s="244"/>
      <c r="L1255" s="244"/>
      <c r="M1255" s="244"/>
      <c r="N1255" s="244"/>
      <c r="O1255" s="244"/>
    </row>
    <row r="1256" spans="1:15" ht="24.75" customHeight="1">
      <c r="A1256" s="266"/>
      <c r="B1256" s="99"/>
      <c r="C1256" s="10"/>
      <c r="D1256" s="356"/>
      <c r="E1256" s="254"/>
      <c r="F1256" s="362"/>
      <c r="G1256" s="254"/>
      <c r="H1256" s="362"/>
      <c r="I1256" s="238"/>
      <c r="K1256" s="244"/>
      <c r="L1256" s="244"/>
      <c r="M1256" s="244"/>
      <c r="N1256" s="244"/>
      <c r="O1256" s="244"/>
    </row>
    <row r="1257" spans="1:15" ht="24.75" customHeight="1">
      <c r="A1257" s="266"/>
      <c r="B1257" s="99"/>
      <c r="C1257" s="10"/>
      <c r="D1257" s="356"/>
      <c r="E1257" s="254"/>
      <c r="F1257" s="362"/>
      <c r="G1257" s="254"/>
      <c r="H1257" s="362"/>
      <c r="I1257" s="238"/>
      <c r="K1257" s="244"/>
      <c r="L1257" s="244"/>
      <c r="M1257" s="244"/>
      <c r="N1257" s="244"/>
      <c r="O1257" s="244"/>
    </row>
    <row r="1258" spans="1:15" ht="24.75" customHeight="1">
      <c r="A1258" s="266"/>
      <c r="B1258" s="99"/>
      <c r="C1258" s="10"/>
      <c r="D1258" s="356"/>
      <c r="E1258" s="254"/>
      <c r="F1258" s="362"/>
      <c r="G1258" s="254"/>
      <c r="H1258" s="362"/>
      <c r="I1258" s="238"/>
      <c r="K1258" s="244"/>
      <c r="L1258" s="244"/>
      <c r="M1258" s="244"/>
      <c r="N1258" s="244"/>
      <c r="O1258" s="244"/>
    </row>
    <row r="1259" spans="1:15" ht="24.75" customHeight="1">
      <c r="A1259" s="266"/>
      <c r="B1259" s="99"/>
      <c r="C1259" s="10"/>
      <c r="D1259" s="356"/>
      <c r="E1259" s="254"/>
      <c r="F1259" s="362"/>
      <c r="G1259" s="254"/>
      <c r="H1259" s="362"/>
      <c r="I1259" s="238"/>
      <c r="K1259" s="244"/>
      <c r="L1259" s="244"/>
      <c r="M1259" s="244"/>
      <c r="N1259" s="244"/>
      <c r="O1259" s="244"/>
    </row>
    <row r="1260" spans="1:15" ht="24.75" customHeight="1">
      <c r="A1260" s="266"/>
      <c r="B1260" s="99"/>
      <c r="C1260" s="10"/>
      <c r="D1260" s="356"/>
      <c r="E1260" s="254"/>
      <c r="F1260" s="362"/>
      <c r="G1260" s="254"/>
      <c r="H1260" s="362"/>
      <c r="I1260" s="238"/>
      <c r="K1260" s="244"/>
      <c r="L1260" s="244"/>
      <c r="M1260" s="244"/>
      <c r="N1260" s="244"/>
      <c r="O1260" s="244"/>
    </row>
    <row r="1261" spans="1:15" ht="24.75" customHeight="1">
      <c r="A1261" s="266"/>
      <c r="B1261" s="99"/>
      <c r="C1261" s="10"/>
      <c r="D1261" s="356"/>
      <c r="E1261" s="254"/>
      <c r="F1261" s="362"/>
      <c r="G1261" s="254"/>
      <c r="H1261" s="362"/>
      <c r="I1261" s="238"/>
      <c r="K1261" s="244"/>
      <c r="L1261" s="244"/>
      <c r="M1261" s="244"/>
      <c r="N1261" s="244"/>
      <c r="O1261" s="244"/>
    </row>
    <row r="1262" spans="1:15" ht="24.75" customHeight="1">
      <c r="A1262" s="266"/>
      <c r="B1262" s="99"/>
      <c r="C1262" s="10"/>
      <c r="D1262" s="356"/>
      <c r="E1262" s="254"/>
      <c r="F1262" s="362"/>
      <c r="G1262" s="254"/>
      <c r="H1262" s="362"/>
      <c r="I1262" s="238"/>
      <c r="K1262" s="244"/>
      <c r="L1262" s="244"/>
      <c r="M1262" s="244"/>
      <c r="N1262" s="244"/>
      <c r="O1262" s="244"/>
    </row>
    <row r="1263" spans="1:15" ht="24.75" customHeight="1">
      <c r="A1263" s="266"/>
      <c r="B1263" s="99"/>
      <c r="C1263" s="10"/>
      <c r="D1263" s="356"/>
      <c r="E1263" s="254"/>
      <c r="F1263" s="362"/>
      <c r="G1263" s="254"/>
      <c r="H1263" s="362"/>
      <c r="I1263" s="238"/>
      <c r="K1263" s="244"/>
      <c r="L1263" s="244"/>
      <c r="M1263" s="244"/>
      <c r="N1263" s="244"/>
      <c r="O1263" s="244"/>
    </row>
    <row r="1264" spans="1:8" ht="12.75">
      <c r="A1264" s="249"/>
      <c r="B1264" s="249"/>
      <c r="C1264" s="253"/>
      <c r="D1264" s="234"/>
      <c r="E1264" s="58"/>
      <c r="F1264" s="59"/>
      <c r="G1264" s="58"/>
      <c r="H1264" s="59"/>
    </row>
    <row r="1265" spans="3:19" s="249" customFormat="1" ht="12.75">
      <c r="C1265" s="253"/>
      <c r="D1265" s="234"/>
      <c r="E1265" s="58"/>
      <c r="F1265" s="59"/>
      <c r="G1265" s="58"/>
      <c r="H1265" s="59"/>
      <c r="I1265" s="58"/>
      <c r="J1265" s="58"/>
      <c r="K1265" s="58"/>
      <c r="L1265" s="260"/>
      <c r="M1265" s="58"/>
      <c r="N1265" s="58"/>
      <c r="O1265" s="58"/>
      <c r="P1265" s="58"/>
      <c r="Q1265" s="58"/>
      <c r="R1265" s="58"/>
      <c r="S1265" s="58"/>
    </row>
    <row r="1266" spans="3:19" s="249" customFormat="1" ht="12.75">
      <c r="C1266" s="253"/>
      <c r="D1266" s="234"/>
      <c r="E1266" s="58"/>
      <c r="F1266" s="59"/>
      <c r="G1266" s="58"/>
      <c r="H1266" s="59"/>
      <c r="I1266" s="58"/>
      <c r="J1266" s="58"/>
      <c r="K1266" s="58"/>
      <c r="L1266" s="260"/>
      <c r="M1266" s="58"/>
      <c r="N1266" s="58"/>
      <c r="O1266" s="58"/>
      <c r="P1266" s="58"/>
      <c r="Q1266" s="58"/>
      <c r="R1266" s="58"/>
      <c r="S1266" s="58"/>
    </row>
    <row r="1267" spans="3:19" s="249" customFormat="1" ht="12.75">
      <c r="C1267" s="253"/>
      <c r="D1267" s="234"/>
      <c r="E1267" s="58"/>
      <c r="F1267" s="59"/>
      <c r="G1267" s="58"/>
      <c r="H1267" s="59"/>
      <c r="I1267" s="58"/>
      <c r="J1267" s="58"/>
      <c r="K1267" s="58"/>
      <c r="L1267" s="260"/>
      <c r="M1267" s="58"/>
      <c r="N1267" s="58"/>
      <c r="O1267" s="58"/>
      <c r="P1267" s="58"/>
      <c r="Q1267" s="58"/>
      <c r="R1267" s="58"/>
      <c r="S1267" s="58"/>
    </row>
    <row r="1268" spans="3:19" s="249" customFormat="1" ht="12.75">
      <c r="C1268" s="253"/>
      <c r="D1268" s="234"/>
      <c r="E1268" s="58"/>
      <c r="F1268" s="59"/>
      <c r="G1268" s="58"/>
      <c r="H1268" s="59"/>
      <c r="I1268" s="58"/>
      <c r="J1268" s="58"/>
      <c r="K1268" s="58"/>
      <c r="L1268" s="260"/>
      <c r="M1268" s="58"/>
      <c r="N1268" s="58"/>
      <c r="O1268" s="58"/>
      <c r="P1268" s="58"/>
      <c r="Q1268" s="58"/>
      <c r="R1268" s="58"/>
      <c r="S1268" s="58"/>
    </row>
    <row r="1269" spans="3:19" s="249" customFormat="1" ht="12.75">
      <c r="C1269" s="253"/>
      <c r="D1269" s="234"/>
      <c r="E1269" s="58"/>
      <c r="F1269" s="59"/>
      <c r="G1269" s="58"/>
      <c r="H1269" s="59"/>
      <c r="I1269" s="58"/>
      <c r="J1269" s="58"/>
      <c r="K1269" s="58"/>
      <c r="L1269" s="260"/>
      <c r="M1269" s="58"/>
      <c r="N1269" s="58"/>
      <c r="O1269" s="58"/>
      <c r="P1269" s="58"/>
      <c r="Q1269" s="58"/>
      <c r="R1269" s="58"/>
      <c r="S1269" s="58"/>
    </row>
    <row r="1270" spans="3:19" s="249" customFormat="1" ht="12.75">
      <c r="C1270" s="253"/>
      <c r="D1270" s="234"/>
      <c r="E1270" s="58"/>
      <c r="F1270" s="59"/>
      <c r="G1270" s="58"/>
      <c r="H1270" s="59"/>
      <c r="I1270" s="58"/>
      <c r="J1270" s="58"/>
      <c r="K1270" s="58"/>
      <c r="L1270" s="260"/>
      <c r="M1270" s="58"/>
      <c r="N1270" s="58"/>
      <c r="O1270" s="58"/>
      <c r="P1270" s="58"/>
      <c r="Q1270" s="58"/>
      <c r="R1270" s="58"/>
      <c r="S1270" s="58"/>
    </row>
    <row r="1271" spans="3:19" s="249" customFormat="1" ht="12.75">
      <c r="C1271" s="253"/>
      <c r="D1271" s="234"/>
      <c r="E1271" s="58"/>
      <c r="F1271" s="59"/>
      <c r="G1271" s="58"/>
      <c r="H1271" s="59"/>
      <c r="I1271" s="58"/>
      <c r="J1271" s="58"/>
      <c r="K1271" s="58"/>
      <c r="L1271" s="260"/>
      <c r="M1271" s="58"/>
      <c r="N1271" s="58"/>
      <c r="O1271" s="58"/>
      <c r="P1271" s="58"/>
      <c r="Q1271" s="58"/>
      <c r="R1271" s="58"/>
      <c r="S1271" s="58"/>
    </row>
    <row r="1272" spans="3:19" s="249" customFormat="1" ht="12.75">
      <c r="C1272" s="253"/>
      <c r="D1272" s="234"/>
      <c r="E1272" s="58"/>
      <c r="F1272" s="59"/>
      <c r="G1272" s="58"/>
      <c r="H1272" s="59"/>
      <c r="I1272" s="58"/>
      <c r="J1272" s="58"/>
      <c r="K1272" s="58"/>
      <c r="L1272" s="260"/>
      <c r="M1272" s="58"/>
      <c r="N1272" s="58"/>
      <c r="O1272" s="58"/>
      <c r="P1272" s="58"/>
      <c r="Q1272" s="58"/>
      <c r="R1272" s="58"/>
      <c r="S1272" s="58"/>
    </row>
    <row r="1273" spans="3:19" s="249" customFormat="1" ht="12.75">
      <c r="C1273" s="253"/>
      <c r="D1273" s="234"/>
      <c r="E1273" s="58"/>
      <c r="F1273" s="59"/>
      <c r="G1273" s="58"/>
      <c r="H1273" s="59"/>
      <c r="I1273" s="58"/>
      <c r="J1273" s="58"/>
      <c r="K1273" s="58"/>
      <c r="L1273" s="260"/>
      <c r="M1273" s="58"/>
      <c r="N1273" s="58"/>
      <c r="O1273" s="58"/>
      <c r="P1273" s="58"/>
      <c r="Q1273" s="58"/>
      <c r="R1273" s="58"/>
      <c r="S1273" s="58"/>
    </row>
    <row r="1274" spans="3:19" s="249" customFormat="1" ht="12.75">
      <c r="C1274" s="253"/>
      <c r="D1274" s="234"/>
      <c r="E1274" s="58"/>
      <c r="F1274" s="59"/>
      <c r="G1274" s="58"/>
      <c r="H1274" s="59"/>
      <c r="I1274" s="58"/>
      <c r="J1274" s="58"/>
      <c r="K1274" s="58"/>
      <c r="L1274" s="260"/>
      <c r="M1274" s="58"/>
      <c r="N1274" s="58"/>
      <c r="O1274" s="58"/>
      <c r="P1274" s="58"/>
      <c r="Q1274" s="58"/>
      <c r="R1274" s="58"/>
      <c r="S1274" s="58"/>
    </row>
    <row r="1275" spans="3:19" s="249" customFormat="1" ht="12.75">
      <c r="C1275" s="253"/>
      <c r="D1275" s="234"/>
      <c r="E1275" s="58"/>
      <c r="F1275" s="59"/>
      <c r="G1275" s="58"/>
      <c r="H1275" s="59"/>
      <c r="I1275" s="58"/>
      <c r="J1275" s="58"/>
      <c r="K1275" s="58"/>
      <c r="L1275" s="260"/>
      <c r="M1275" s="58"/>
      <c r="N1275" s="58"/>
      <c r="O1275" s="58"/>
      <c r="P1275" s="58"/>
      <c r="Q1275" s="58"/>
      <c r="R1275" s="58"/>
      <c r="S1275" s="58"/>
    </row>
    <row r="1276" spans="3:19" s="249" customFormat="1" ht="12.75">
      <c r="C1276" s="253"/>
      <c r="D1276" s="234"/>
      <c r="E1276" s="58"/>
      <c r="F1276" s="59"/>
      <c r="G1276" s="58"/>
      <c r="H1276" s="59"/>
      <c r="I1276" s="58"/>
      <c r="J1276" s="58"/>
      <c r="K1276" s="58"/>
      <c r="L1276" s="260"/>
      <c r="M1276" s="58"/>
      <c r="N1276" s="58"/>
      <c r="O1276" s="58"/>
      <c r="P1276" s="58"/>
      <c r="Q1276" s="58"/>
      <c r="R1276" s="58"/>
      <c r="S1276" s="58"/>
    </row>
    <row r="1277" spans="3:19" s="249" customFormat="1" ht="12.75">
      <c r="C1277" s="253"/>
      <c r="D1277" s="234"/>
      <c r="E1277" s="58"/>
      <c r="F1277" s="59"/>
      <c r="G1277" s="58"/>
      <c r="H1277" s="59"/>
      <c r="I1277" s="58"/>
      <c r="J1277" s="58"/>
      <c r="K1277" s="58"/>
      <c r="L1277" s="260"/>
      <c r="M1277" s="58"/>
      <c r="N1277" s="58"/>
      <c r="O1277" s="58"/>
      <c r="P1277" s="58"/>
      <c r="Q1277" s="58"/>
      <c r="R1277" s="58"/>
      <c r="S1277" s="58"/>
    </row>
    <row r="1278" spans="3:19" s="249" customFormat="1" ht="12.75">
      <c r="C1278" s="253"/>
      <c r="D1278" s="234"/>
      <c r="E1278" s="58"/>
      <c r="F1278" s="59"/>
      <c r="G1278" s="58"/>
      <c r="H1278" s="59"/>
      <c r="I1278" s="58"/>
      <c r="J1278" s="58"/>
      <c r="K1278" s="58"/>
      <c r="L1278" s="260"/>
      <c r="M1278" s="58"/>
      <c r="N1278" s="58"/>
      <c r="O1278" s="58"/>
      <c r="P1278" s="58"/>
      <c r="Q1278" s="58"/>
      <c r="R1278" s="58"/>
      <c r="S1278" s="58"/>
    </row>
    <row r="1279" spans="3:19" s="249" customFormat="1" ht="12.75">
      <c r="C1279" s="253"/>
      <c r="D1279" s="234"/>
      <c r="E1279" s="58"/>
      <c r="F1279" s="59"/>
      <c r="G1279" s="58"/>
      <c r="H1279" s="59"/>
      <c r="I1279" s="58"/>
      <c r="J1279" s="58"/>
      <c r="K1279" s="58"/>
      <c r="L1279" s="260"/>
      <c r="M1279" s="58"/>
      <c r="N1279" s="58"/>
      <c r="O1279" s="58"/>
      <c r="P1279" s="58"/>
      <c r="Q1279" s="58"/>
      <c r="R1279" s="58"/>
      <c r="S1279" s="58"/>
    </row>
    <row r="1280" spans="3:19" s="249" customFormat="1" ht="12.75">
      <c r="C1280" s="253"/>
      <c r="D1280" s="234"/>
      <c r="E1280" s="58"/>
      <c r="F1280" s="59"/>
      <c r="G1280" s="58"/>
      <c r="H1280" s="59"/>
      <c r="I1280" s="58"/>
      <c r="J1280" s="58"/>
      <c r="K1280" s="58"/>
      <c r="L1280" s="260"/>
      <c r="M1280" s="58"/>
      <c r="N1280" s="58"/>
      <c r="O1280" s="58"/>
      <c r="P1280" s="58"/>
      <c r="Q1280" s="58"/>
      <c r="R1280" s="58"/>
      <c r="S1280" s="58"/>
    </row>
    <row r="1281" spans="3:19" s="249" customFormat="1" ht="12.75">
      <c r="C1281" s="253"/>
      <c r="D1281" s="234"/>
      <c r="E1281" s="58"/>
      <c r="F1281" s="59"/>
      <c r="G1281" s="58"/>
      <c r="H1281" s="59"/>
      <c r="I1281" s="58"/>
      <c r="J1281" s="58"/>
      <c r="K1281" s="58"/>
      <c r="L1281" s="260"/>
      <c r="M1281" s="58"/>
      <c r="N1281" s="58"/>
      <c r="O1281" s="58"/>
      <c r="P1281" s="58"/>
      <c r="Q1281" s="58"/>
      <c r="R1281" s="58"/>
      <c r="S1281" s="58"/>
    </row>
    <row r="1282" spans="3:19" s="249" customFormat="1" ht="12.75">
      <c r="C1282" s="253"/>
      <c r="D1282" s="234"/>
      <c r="E1282" s="58"/>
      <c r="F1282" s="59"/>
      <c r="G1282" s="58"/>
      <c r="H1282" s="59"/>
      <c r="I1282" s="58"/>
      <c r="J1282" s="58"/>
      <c r="K1282" s="58"/>
      <c r="L1282" s="260"/>
      <c r="M1282" s="58"/>
      <c r="N1282" s="58"/>
      <c r="O1282" s="58"/>
      <c r="P1282" s="58"/>
      <c r="Q1282" s="58"/>
      <c r="R1282" s="58"/>
      <c r="S1282" s="58"/>
    </row>
    <row r="1283" spans="3:19" s="249" customFormat="1" ht="12.75">
      <c r="C1283" s="253"/>
      <c r="D1283" s="234"/>
      <c r="E1283" s="58"/>
      <c r="F1283" s="59"/>
      <c r="G1283" s="58"/>
      <c r="H1283" s="59"/>
      <c r="I1283" s="58"/>
      <c r="J1283" s="58"/>
      <c r="K1283" s="58"/>
      <c r="L1283" s="260"/>
      <c r="M1283" s="58"/>
      <c r="N1283" s="58"/>
      <c r="O1283" s="58"/>
      <c r="P1283" s="58"/>
      <c r="Q1283" s="58"/>
      <c r="R1283" s="58"/>
      <c r="S1283" s="58"/>
    </row>
    <row r="1284" spans="3:19" s="249" customFormat="1" ht="12.75">
      <c r="C1284" s="253"/>
      <c r="D1284" s="234"/>
      <c r="E1284" s="58"/>
      <c r="F1284" s="59"/>
      <c r="G1284" s="58"/>
      <c r="H1284" s="59"/>
      <c r="I1284" s="58"/>
      <c r="J1284" s="58"/>
      <c r="K1284" s="58"/>
      <c r="L1284" s="260"/>
      <c r="M1284" s="58"/>
      <c r="N1284" s="58"/>
      <c r="O1284" s="58"/>
      <c r="P1284" s="58"/>
      <c r="Q1284" s="58"/>
      <c r="R1284" s="58"/>
      <c r="S1284" s="58"/>
    </row>
    <row r="1285" spans="3:19" s="249" customFormat="1" ht="12.75">
      <c r="C1285" s="253"/>
      <c r="D1285" s="234"/>
      <c r="E1285" s="58"/>
      <c r="F1285" s="59"/>
      <c r="G1285" s="58"/>
      <c r="H1285" s="59"/>
      <c r="I1285" s="58"/>
      <c r="J1285" s="58"/>
      <c r="K1285" s="58"/>
      <c r="L1285" s="260"/>
      <c r="M1285" s="58"/>
      <c r="N1285" s="58"/>
      <c r="O1285" s="58"/>
      <c r="P1285" s="58"/>
      <c r="Q1285" s="58"/>
      <c r="R1285" s="58"/>
      <c r="S1285" s="58"/>
    </row>
    <row r="1286" spans="3:19" s="249" customFormat="1" ht="12.75">
      <c r="C1286" s="253"/>
      <c r="D1286" s="234"/>
      <c r="E1286" s="58"/>
      <c r="F1286" s="59"/>
      <c r="G1286" s="58"/>
      <c r="H1286" s="59"/>
      <c r="I1286" s="58"/>
      <c r="J1286" s="58"/>
      <c r="K1286" s="58"/>
      <c r="L1286" s="260"/>
      <c r="M1286" s="58"/>
      <c r="N1286" s="58"/>
      <c r="O1286" s="58"/>
      <c r="P1286" s="58"/>
      <c r="Q1286" s="58"/>
      <c r="R1286" s="58"/>
      <c r="S1286" s="58"/>
    </row>
    <row r="1287" spans="3:19" s="249" customFormat="1" ht="12.75">
      <c r="C1287" s="253"/>
      <c r="D1287" s="234"/>
      <c r="E1287" s="58"/>
      <c r="F1287" s="59"/>
      <c r="G1287" s="58"/>
      <c r="H1287" s="59"/>
      <c r="I1287" s="58"/>
      <c r="J1287" s="58"/>
      <c r="K1287" s="58"/>
      <c r="L1287" s="260"/>
      <c r="M1287" s="58"/>
      <c r="N1287" s="58"/>
      <c r="O1287" s="58"/>
      <c r="P1287" s="58"/>
      <c r="Q1287" s="58"/>
      <c r="R1287" s="58"/>
      <c r="S1287" s="58"/>
    </row>
    <row r="1288" spans="3:19" s="249" customFormat="1" ht="12.75">
      <c r="C1288" s="253"/>
      <c r="D1288" s="234"/>
      <c r="E1288" s="58"/>
      <c r="F1288" s="59"/>
      <c r="G1288" s="58"/>
      <c r="H1288" s="59"/>
      <c r="I1288" s="58"/>
      <c r="J1288" s="58"/>
      <c r="K1288" s="58"/>
      <c r="L1288" s="260"/>
      <c r="M1288" s="58"/>
      <c r="N1288" s="58"/>
      <c r="O1288" s="58"/>
      <c r="P1288" s="58"/>
      <c r="Q1288" s="58"/>
      <c r="R1288" s="58"/>
      <c r="S1288" s="58"/>
    </row>
    <row r="1289" spans="3:19" s="249" customFormat="1" ht="12.75">
      <c r="C1289" s="253"/>
      <c r="D1289" s="234"/>
      <c r="E1289" s="58"/>
      <c r="F1289" s="59"/>
      <c r="G1289" s="58"/>
      <c r="H1289" s="59"/>
      <c r="I1289" s="58"/>
      <c r="J1289" s="58"/>
      <c r="K1289" s="58"/>
      <c r="L1289" s="260"/>
      <c r="M1289" s="58"/>
      <c r="N1289" s="58"/>
      <c r="O1289" s="58"/>
      <c r="P1289" s="58"/>
      <c r="Q1289" s="58"/>
      <c r="R1289" s="58"/>
      <c r="S1289" s="58"/>
    </row>
    <row r="1290" spans="3:19" s="249" customFormat="1" ht="12.75">
      <c r="C1290" s="253"/>
      <c r="D1290" s="234"/>
      <c r="E1290" s="58"/>
      <c r="F1290" s="59"/>
      <c r="G1290" s="58"/>
      <c r="H1290" s="59"/>
      <c r="I1290" s="58"/>
      <c r="J1290" s="58"/>
      <c r="K1290" s="58"/>
      <c r="L1290" s="260"/>
      <c r="M1290" s="58"/>
      <c r="N1290" s="58"/>
      <c r="O1290" s="58"/>
      <c r="P1290" s="58"/>
      <c r="Q1290" s="58"/>
      <c r="R1290" s="58"/>
      <c r="S1290" s="58"/>
    </row>
    <row r="1291" spans="3:19" s="249" customFormat="1" ht="12.75">
      <c r="C1291" s="253"/>
      <c r="D1291" s="234"/>
      <c r="E1291" s="58"/>
      <c r="F1291" s="59"/>
      <c r="G1291" s="58"/>
      <c r="H1291" s="59"/>
      <c r="I1291" s="58"/>
      <c r="J1291" s="58"/>
      <c r="K1291" s="58"/>
      <c r="L1291" s="260"/>
      <c r="M1291" s="58"/>
      <c r="N1291" s="58"/>
      <c r="O1291" s="58"/>
      <c r="P1291" s="58"/>
      <c r="Q1291" s="58"/>
      <c r="R1291" s="58"/>
      <c r="S1291" s="58"/>
    </row>
    <row r="1292" spans="3:19" s="249" customFormat="1" ht="12.75">
      <c r="C1292" s="253"/>
      <c r="D1292" s="234"/>
      <c r="E1292" s="58"/>
      <c r="F1292" s="59"/>
      <c r="G1292" s="58"/>
      <c r="H1292" s="59"/>
      <c r="I1292" s="58"/>
      <c r="J1292" s="58"/>
      <c r="K1292" s="58"/>
      <c r="L1292" s="260"/>
      <c r="M1292" s="58"/>
      <c r="N1292" s="58"/>
      <c r="O1292" s="58"/>
      <c r="P1292" s="58"/>
      <c r="Q1292" s="58"/>
      <c r="R1292" s="58"/>
      <c r="S1292" s="58"/>
    </row>
    <row r="1293" spans="3:19" s="249" customFormat="1" ht="12.75">
      <c r="C1293" s="253"/>
      <c r="D1293" s="234"/>
      <c r="E1293" s="58"/>
      <c r="F1293" s="59"/>
      <c r="G1293" s="58"/>
      <c r="H1293" s="59"/>
      <c r="I1293" s="58"/>
      <c r="J1293" s="58"/>
      <c r="K1293" s="58"/>
      <c r="L1293" s="260"/>
      <c r="M1293" s="58"/>
      <c r="N1293" s="58"/>
      <c r="O1293" s="58"/>
      <c r="P1293" s="58"/>
      <c r="Q1293" s="58"/>
      <c r="R1293" s="58"/>
      <c r="S1293" s="58"/>
    </row>
    <row r="1294" spans="3:19" s="249" customFormat="1" ht="12.75">
      <c r="C1294" s="253"/>
      <c r="D1294" s="234"/>
      <c r="E1294" s="58"/>
      <c r="F1294" s="59"/>
      <c r="G1294" s="58"/>
      <c r="H1294" s="59"/>
      <c r="I1294" s="58"/>
      <c r="J1294" s="58"/>
      <c r="K1294" s="58"/>
      <c r="L1294" s="260"/>
      <c r="M1294" s="58"/>
      <c r="N1294" s="58"/>
      <c r="O1294" s="58"/>
      <c r="P1294" s="58"/>
      <c r="Q1294" s="58"/>
      <c r="R1294" s="58"/>
      <c r="S1294" s="58"/>
    </row>
    <row r="1295" spans="3:19" s="249" customFormat="1" ht="12.75">
      <c r="C1295" s="253"/>
      <c r="D1295" s="234"/>
      <c r="E1295" s="58"/>
      <c r="F1295" s="59"/>
      <c r="G1295" s="58"/>
      <c r="H1295" s="59"/>
      <c r="I1295" s="58"/>
      <c r="J1295" s="58"/>
      <c r="K1295" s="58"/>
      <c r="L1295" s="260"/>
      <c r="M1295" s="58"/>
      <c r="N1295" s="58"/>
      <c r="O1295" s="58"/>
      <c r="P1295" s="58"/>
      <c r="Q1295" s="58"/>
      <c r="R1295" s="58"/>
      <c r="S1295" s="58"/>
    </row>
    <row r="1296" spans="3:19" s="249" customFormat="1" ht="12.75">
      <c r="C1296" s="253"/>
      <c r="D1296" s="234"/>
      <c r="E1296" s="58"/>
      <c r="F1296" s="59"/>
      <c r="G1296" s="58"/>
      <c r="H1296" s="59"/>
      <c r="I1296" s="58"/>
      <c r="J1296" s="58"/>
      <c r="K1296" s="58"/>
      <c r="L1296" s="260"/>
      <c r="M1296" s="58"/>
      <c r="N1296" s="58"/>
      <c r="O1296" s="58"/>
      <c r="P1296" s="58"/>
      <c r="Q1296" s="58"/>
      <c r="R1296" s="58"/>
      <c r="S1296" s="58"/>
    </row>
    <row r="1297" spans="3:19" s="249" customFormat="1" ht="12.75">
      <c r="C1297" s="253"/>
      <c r="D1297" s="234"/>
      <c r="E1297" s="58"/>
      <c r="F1297" s="59"/>
      <c r="G1297" s="58"/>
      <c r="H1297" s="59"/>
      <c r="I1297" s="58"/>
      <c r="J1297" s="58"/>
      <c r="K1297" s="58"/>
      <c r="L1297" s="260"/>
      <c r="M1297" s="58"/>
      <c r="N1297" s="58"/>
      <c r="O1297" s="58"/>
      <c r="P1297" s="58"/>
      <c r="Q1297" s="58"/>
      <c r="R1297" s="58"/>
      <c r="S1297" s="58"/>
    </row>
    <row r="1298" spans="3:19" s="249" customFormat="1" ht="12.75">
      <c r="C1298" s="253"/>
      <c r="D1298" s="234"/>
      <c r="E1298" s="58"/>
      <c r="F1298" s="59"/>
      <c r="G1298" s="58"/>
      <c r="H1298" s="59"/>
      <c r="I1298" s="58"/>
      <c r="J1298" s="58"/>
      <c r="K1298" s="58"/>
      <c r="L1298" s="260"/>
      <c r="M1298" s="58"/>
      <c r="N1298" s="58"/>
      <c r="O1298" s="58"/>
      <c r="P1298" s="58"/>
      <c r="Q1298" s="58"/>
      <c r="R1298" s="58"/>
      <c r="S1298" s="58"/>
    </row>
    <row r="1299" spans="3:19" s="249" customFormat="1" ht="12.75">
      <c r="C1299" s="253"/>
      <c r="D1299" s="234"/>
      <c r="E1299" s="58"/>
      <c r="F1299" s="59"/>
      <c r="G1299" s="58"/>
      <c r="H1299" s="59"/>
      <c r="I1299" s="58"/>
      <c r="J1299" s="58"/>
      <c r="K1299" s="58"/>
      <c r="L1299" s="260"/>
      <c r="M1299" s="58"/>
      <c r="N1299" s="58"/>
      <c r="O1299" s="58"/>
      <c r="P1299" s="58"/>
      <c r="Q1299" s="58"/>
      <c r="R1299" s="58"/>
      <c r="S1299" s="58"/>
    </row>
    <row r="1300" spans="3:19" s="249" customFormat="1" ht="12.75">
      <c r="C1300" s="253"/>
      <c r="D1300" s="234"/>
      <c r="E1300" s="58"/>
      <c r="F1300" s="59"/>
      <c r="G1300" s="58"/>
      <c r="H1300" s="59"/>
      <c r="I1300" s="58"/>
      <c r="J1300" s="58"/>
      <c r="K1300" s="58"/>
      <c r="L1300" s="260"/>
      <c r="M1300" s="58"/>
      <c r="N1300" s="58"/>
      <c r="O1300" s="58"/>
      <c r="P1300" s="58"/>
      <c r="Q1300" s="58"/>
      <c r="R1300" s="58"/>
      <c r="S1300" s="58"/>
    </row>
    <row r="1301" spans="3:19" s="249" customFormat="1" ht="12.75">
      <c r="C1301" s="253"/>
      <c r="D1301" s="234"/>
      <c r="E1301" s="58"/>
      <c r="F1301" s="59"/>
      <c r="G1301" s="58"/>
      <c r="H1301" s="59"/>
      <c r="I1301" s="58"/>
      <c r="J1301" s="58"/>
      <c r="K1301" s="58"/>
      <c r="L1301" s="260"/>
      <c r="M1301" s="58"/>
      <c r="N1301" s="58"/>
      <c r="O1301" s="58"/>
      <c r="P1301" s="58"/>
      <c r="Q1301" s="58"/>
      <c r="R1301" s="58"/>
      <c r="S1301" s="58"/>
    </row>
    <row r="1302" spans="3:19" s="249" customFormat="1" ht="12.75">
      <c r="C1302" s="253"/>
      <c r="D1302" s="234"/>
      <c r="E1302" s="58"/>
      <c r="F1302" s="59"/>
      <c r="G1302" s="58"/>
      <c r="H1302" s="59"/>
      <c r="I1302" s="58"/>
      <c r="J1302" s="58"/>
      <c r="K1302" s="58"/>
      <c r="L1302" s="260"/>
      <c r="M1302" s="58"/>
      <c r="N1302" s="58"/>
      <c r="O1302" s="58"/>
      <c r="P1302" s="58"/>
      <c r="Q1302" s="58"/>
      <c r="R1302" s="58"/>
      <c r="S1302" s="58"/>
    </row>
    <row r="1303" spans="3:19" s="249" customFormat="1" ht="12.75">
      <c r="C1303" s="253"/>
      <c r="D1303" s="234"/>
      <c r="E1303" s="58"/>
      <c r="F1303" s="59"/>
      <c r="G1303" s="58"/>
      <c r="H1303" s="59"/>
      <c r="I1303" s="58"/>
      <c r="J1303" s="58"/>
      <c r="K1303" s="58"/>
      <c r="L1303" s="260"/>
      <c r="M1303" s="58"/>
      <c r="N1303" s="58"/>
      <c r="O1303" s="58"/>
      <c r="P1303" s="58"/>
      <c r="Q1303" s="58"/>
      <c r="R1303" s="58"/>
      <c r="S1303" s="58"/>
    </row>
    <row r="1304" spans="3:19" s="249" customFormat="1" ht="12.75">
      <c r="C1304" s="253"/>
      <c r="D1304" s="234"/>
      <c r="E1304" s="58"/>
      <c r="F1304" s="59"/>
      <c r="G1304" s="58"/>
      <c r="H1304" s="59"/>
      <c r="I1304" s="58"/>
      <c r="J1304" s="58"/>
      <c r="K1304" s="58"/>
      <c r="L1304" s="260"/>
      <c r="M1304" s="58"/>
      <c r="N1304" s="58"/>
      <c r="O1304" s="58"/>
      <c r="P1304" s="58"/>
      <c r="Q1304" s="58"/>
      <c r="R1304" s="58"/>
      <c r="S1304" s="58"/>
    </row>
    <row r="1305" spans="3:19" s="249" customFormat="1" ht="12.75">
      <c r="C1305" s="253"/>
      <c r="D1305" s="234"/>
      <c r="E1305" s="58"/>
      <c r="F1305" s="59"/>
      <c r="G1305" s="58"/>
      <c r="H1305" s="59"/>
      <c r="I1305" s="58"/>
      <c r="J1305" s="58"/>
      <c r="K1305" s="58"/>
      <c r="L1305" s="260"/>
      <c r="M1305" s="58"/>
      <c r="N1305" s="58"/>
      <c r="O1305" s="58"/>
      <c r="P1305" s="58"/>
      <c r="Q1305" s="58"/>
      <c r="R1305" s="58"/>
      <c r="S1305" s="58"/>
    </row>
    <row r="1306" spans="3:19" s="249" customFormat="1" ht="12.75">
      <c r="C1306" s="253"/>
      <c r="D1306" s="234"/>
      <c r="E1306" s="58"/>
      <c r="F1306" s="59"/>
      <c r="G1306" s="58"/>
      <c r="H1306" s="59"/>
      <c r="I1306" s="58"/>
      <c r="J1306" s="58"/>
      <c r="K1306" s="58"/>
      <c r="L1306" s="260"/>
      <c r="M1306" s="58"/>
      <c r="N1306" s="58"/>
      <c r="O1306" s="58"/>
      <c r="P1306" s="58"/>
      <c r="Q1306" s="58"/>
      <c r="R1306" s="58"/>
      <c r="S1306" s="58"/>
    </row>
    <row r="1307" spans="3:19" s="249" customFormat="1" ht="12.75">
      <c r="C1307" s="253"/>
      <c r="D1307" s="234"/>
      <c r="E1307" s="58"/>
      <c r="F1307" s="59"/>
      <c r="G1307" s="58"/>
      <c r="H1307" s="59"/>
      <c r="I1307" s="58"/>
      <c r="J1307" s="58"/>
      <c r="K1307" s="58"/>
      <c r="L1307" s="260"/>
      <c r="M1307" s="58"/>
      <c r="N1307" s="58"/>
      <c r="O1307" s="58"/>
      <c r="P1307" s="58"/>
      <c r="Q1307" s="58"/>
      <c r="R1307" s="58"/>
      <c r="S1307" s="58"/>
    </row>
    <row r="1308" spans="3:19" s="249" customFormat="1" ht="12.75">
      <c r="C1308" s="253"/>
      <c r="D1308" s="234"/>
      <c r="E1308" s="58"/>
      <c r="F1308" s="59"/>
      <c r="G1308" s="58"/>
      <c r="H1308" s="59"/>
      <c r="I1308" s="58"/>
      <c r="J1308" s="58"/>
      <c r="K1308" s="58"/>
      <c r="L1308" s="260"/>
      <c r="M1308" s="58"/>
      <c r="N1308" s="58"/>
      <c r="O1308" s="58"/>
      <c r="P1308" s="58"/>
      <c r="Q1308" s="58"/>
      <c r="R1308" s="58"/>
      <c r="S1308" s="58"/>
    </row>
    <row r="1309" spans="3:19" s="249" customFormat="1" ht="12.75">
      <c r="C1309" s="253"/>
      <c r="D1309" s="234"/>
      <c r="E1309" s="58"/>
      <c r="F1309" s="59"/>
      <c r="G1309" s="58"/>
      <c r="H1309" s="59"/>
      <c r="I1309" s="58"/>
      <c r="J1309" s="58"/>
      <c r="K1309" s="58"/>
      <c r="L1309" s="260"/>
      <c r="M1309" s="58"/>
      <c r="N1309" s="58"/>
      <c r="O1309" s="58"/>
      <c r="P1309" s="58"/>
      <c r="Q1309" s="58"/>
      <c r="R1309" s="58"/>
      <c r="S1309" s="58"/>
    </row>
    <row r="1310" spans="3:19" s="249" customFormat="1" ht="12.75">
      <c r="C1310" s="253"/>
      <c r="D1310" s="234"/>
      <c r="E1310" s="58"/>
      <c r="F1310" s="59"/>
      <c r="G1310" s="58"/>
      <c r="H1310" s="59"/>
      <c r="I1310" s="58"/>
      <c r="J1310" s="58"/>
      <c r="K1310" s="58"/>
      <c r="L1310" s="260"/>
      <c r="M1310" s="58"/>
      <c r="N1310" s="58"/>
      <c r="O1310" s="58"/>
      <c r="P1310" s="58"/>
      <c r="Q1310" s="58"/>
      <c r="R1310" s="58"/>
      <c r="S1310" s="58"/>
    </row>
    <row r="1311" spans="3:19" s="249" customFormat="1" ht="12.75">
      <c r="C1311" s="253"/>
      <c r="D1311" s="234"/>
      <c r="E1311" s="58"/>
      <c r="F1311" s="59"/>
      <c r="G1311" s="58"/>
      <c r="H1311" s="59"/>
      <c r="I1311" s="58"/>
      <c r="J1311" s="58"/>
      <c r="K1311" s="58"/>
      <c r="L1311" s="260"/>
      <c r="M1311" s="58"/>
      <c r="N1311" s="58"/>
      <c r="O1311" s="58"/>
      <c r="P1311" s="58"/>
      <c r="Q1311" s="58"/>
      <c r="R1311" s="58"/>
      <c r="S1311" s="58"/>
    </row>
    <row r="1312" spans="3:19" s="249" customFormat="1" ht="12.75">
      <c r="C1312" s="253"/>
      <c r="D1312" s="234"/>
      <c r="E1312" s="58"/>
      <c r="F1312" s="59"/>
      <c r="G1312" s="58"/>
      <c r="H1312" s="59"/>
      <c r="I1312" s="58"/>
      <c r="J1312" s="58"/>
      <c r="K1312" s="58"/>
      <c r="L1312" s="260"/>
      <c r="M1312" s="58"/>
      <c r="N1312" s="58"/>
      <c r="O1312" s="58"/>
      <c r="P1312" s="58"/>
      <c r="Q1312" s="58"/>
      <c r="R1312" s="58"/>
      <c r="S1312" s="58"/>
    </row>
    <row r="1313" spans="3:19" s="249" customFormat="1" ht="12.75">
      <c r="C1313" s="253"/>
      <c r="D1313" s="234"/>
      <c r="E1313" s="58"/>
      <c r="F1313" s="59"/>
      <c r="G1313" s="58"/>
      <c r="H1313" s="59"/>
      <c r="I1313" s="58"/>
      <c r="J1313" s="58"/>
      <c r="K1313" s="58"/>
      <c r="L1313" s="260"/>
      <c r="M1313" s="58"/>
      <c r="N1313" s="58"/>
      <c r="O1313" s="58"/>
      <c r="P1313" s="58"/>
      <c r="Q1313" s="58"/>
      <c r="R1313" s="58"/>
      <c r="S1313" s="58"/>
    </row>
    <row r="1314" spans="3:19" s="249" customFormat="1" ht="12.75">
      <c r="C1314" s="253"/>
      <c r="D1314" s="234"/>
      <c r="E1314" s="58"/>
      <c r="F1314" s="59"/>
      <c r="G1314" s="58"/>
      <c r="H1314" s="59"/>
      <c r="I1314" s="58"/>
      <c r="J1314" s="58"/>
      <c r="K1314" s="58"/>
      <c r="L1314" s="260"/>
      <c r="M1314" s="58"/>
      <c r="N1314" s="58"/>
      <c r="O1314" s="58"/>
      <c r="P1314" s="58"/>
      <c r="Q1314" s="58"/>
      <c r="R1314" s="58"/>
      <c r="S1314" s="58"/>
    </row>
    <row r="1315" spans="3:19" s="249" customFormat="1" ht="12.75">
      <c r="C1315" s="253"/>
      <c r="D1315" s="234"/>
      <c r="E1315" s="58"/>
      <c r="F1315" s="59"/>
      <c r="G1315" s="58"/>
      <c r="H1315" s="59"/>
      <c r="I1315" s="58"/>
      <c r="J1315" s="58"/>
      <c r="K1315" s="58"/>
      <c r="L1315" s="260"/>
      <c r="M1315" s="58"/>
      <c r="N1315" s="58"/>
      <c r="O1315" s="58"/>
      <c r="P1315" s="58"/>
      <c r="Q1315" s="58"/>
      <c r="R1315" s="58"/>
      <c r="S1315" s="58"/>
    </row>
    <row r="1316" spans="3:19" s="249" customFormat="1" ht="12.75">
      <c r="C1316" s="253"/>
      <c r="D1316" s="234"/>
      <c r="E1316" s="58"/>
      <c r="F1316" s="59"/>
      <c r="G1316" s="58"/>
      <c r="H1316" s="59"/>
      <c r="I1316" s="58"/>
      <c r="J1316" s="58"/>
      <c r="K1316" s="58"/>
      <c r="L1316" s="260"/>
      <c r="M1316" s="58"/>
      <c r="N1316" s="58"/>
      <c r="O1316" s="58"/>
      <c r="P1316" s="58"/>
      <c r="Q1316" s="58"/>
      <c r="R1316" s="58"/>
      <c r="S1316" s="58"/>
    </row>
    <row r="1317" spans="3:19" s="249" customFormat="1" ht="12.75">
      <c r="C1317" s="253"/>
      <c r="D1317" s="234"/>
      <c r="E1317" s="58"/>
      <c r="F1317" s="59"/>
      <c r="G1317" s="58"/>
      <c r="H1317" s="59"/>
      <c r="I1317" s="58"/>
      <c r="J1317" s="58"/>
      <c r="K1317" s="58"/>
      <c r="L1317" s="260"/>
      <c r="M1317" s="58"/>
      <c r="N1317" s="58"/>
      <c r="O1317" s="58"/>
      <c r="P1317" s="58"/>
      <c r="Q1317" s="58"/>
      <c r="R1317" s="58"/>
      <c r="S1317" s="58"/>
    </row>
    <row r="1318" spans="3:19" s="249" customFormat="1" ht="12.75">
      <c r="C1318" s="253"/>
      <c r="D1318" s="234"/>
      <c r="E1318" s="58"/>
      <c r="F1318" s="59"/>
      <c r="G1318" s="58"/>
      <c r="H1318" s="59"/>
      <c r="I1318" s="58"/>
      <c r="J1318" s="58"/>
      <c r="K1318" s="58"/>
      <c r="L1318" s="260"/>
      <c r="M1318" s="58"/>
      <c r="N1318" s="58"/>
      <c r="O1318" s="58"/>
      <c r="P1318" s="58"/>
      <c r="Q1318" s="58"/>
      <c r="R1318" s="58"/>
      <c r="S1318" s="58"/>
    </row>
    <row r="1319" spans="3:19" s="249" customFormat="1" ht="12.75">
      <c r="C1319" s="253"/>
      <c r="D1319" s="234"/>
      <c r="E1319" s="58"/>
      <c r="F1319" s="59"/>
      <c r="G1319" s="58"/>
      <c r="H1319" s="59"/>
      <c r="I1319" s="58"/>
      <c r="J1319" s="58"/>
      <c r="K1319" s="58"/>
      <c r="L1319" s="260"/>
      <c r="M1319" s="58"/>
      <c r="N1319" s="58"/>
      <c r="O1319" s="58"/>
      <c r="P1319" s="58"/>
      <c r="Q1319" s="58"/>
      <c r="R1319" s="58"/>
      <c r="S1319" s="58"/>
    </row>
    <row r="1320" spans="3:19" s="249" customFormat="1" ht="12.75">
      <c r="C1320" s="253"/>
      <c r="D1320" s="234"/>
      <c r="E1320" s="58"/>
      <c r="F1320" s="59"/>
      <c r="G1320" s="58"/>
      <c r="H1320" s="59"/>
      <c r="I1320" s="58"/>
      <c r="J1320" s="58"/>
      <c r="K1320" s="58"/>
      <c r="L1320" s="260"/>
      <c r="M1320" s="58"/>
      <c r="N1320" s="58"/>
      <c r="O1320" s="58"/>
      <c r="P1320" s="58"/>
      <c r="Q1320" s="58"/>
      <c r="R1320" s="58"/>
      <c r="S1320" s="58"/>
    </row>
    <row r="1321" spans="3:19" s="249" customFormat="1" ht="12.75">
      <c r="C1321" s="253"/>
      <c r="D1321" s="234"/>
      <c r="E1321" s="58"/>
      <c r="F1321" s="59"/>
      <c r="G1321" s="58"/>
      <c r="H1321" s="59"/>
      <c r="I1321" s="58"/>
      <c r="J1321" s="58"/>
      <c r="K1321" s="58"/>
      <c r="L1321" s="260"/>
      <c r="M1321" s="58"/>
      <c r="N1321" s="58"/>
      <c r="O1321" s="58"/>
      <c r="P1321" s="58"/>
      <c r="Q1321" s="58"/>
      <c r="R1321" s="58"/>
      <c r="S1321" s="58"/>
    </row>
    <row r="1322" spans="3:19" s="249" customFormat="1" ht="12.75">
      <c r="C1322" s="253"/>
      <c r="D1322" s="234"/>
      <c r="E1322" s="58"/>
      <c r="F1322" s="59"/>
      <c r="G1322" s="58"/>
      <c r="H1322" s="59"/>
      <c r="I1322" s="58"/>
      <c r="J1322" s="58"/>
      <c r="K1322" s="58"/>
      <c r="L1322" s="260"/>
      <c r="M1322" s="58"/>
      <c r="N1322" s="58"/>
      <c r="O1322" s="58"/>
      <c r="P1322" s="58"/>
      <c r="Q1322" s="58"/>
      <c r="R1322" s="58"/>
      <c r="S1322" s="58"/>
    </row>
    <row r="1323" spans="3:19" s="249" customFormat="1" ht="12.75">
      <c r="C1323" s="253"/>
      <c r="D1323" s="234"/>
      <c r="E1323" s="58"/>
      <c r="F1323" s="59"/>
      <c r="G1323" s="58"/>
      <c r="H1323" s="59"/>
      <c r="I1323" s="58"/>
      <c r="J1323" s="58"/>
      <c r="K1323" s="58"/>
      <c r="L1323" s="260"/>
      <c r="M1323" s="58"/>
      <c r="N1323" s="58"/>
      <c r="O1323" s="58"/>
      <c r="P1323" s="58"/>
      <c r="Q1323" s="58"/>
      <c r="R1323" s="58"/>
      <c r="S1323" s="58"/>
    </row>
    <row r="1324" spans="3:19" s="249" customFormat="1" ht="12.75">
      <c r="C1324" s="253"/>
      <c r="D1324" s="234"/>
      <c r="E1324" s="58"/>
      <c r="F1324" s="59"/>
      <c r="G1324" s="58"/>
      <c r="H1324" s="59"/>
      <c r="I1324" s="58"/>
      <c r="J1324" s="58"/>
      <c r="K1324" s="58"/>
      <c r="L1324" s="260"/>
      <c r="M1324" s="58"/>
      <c r="N1324" s="58"/>
      <c r="O1324" s="58"/>
      <c r="P1324" s="58"/>
      <c r="Q1324" s="58"/>
      <c r="R1324" s="58"/>
      <c r="S1324" s="58"/>
    </row>
    <row r="1325" spans="3:19" s="249" customFormat="1" ht="12.75">
      <c r="C1325" s="253"/>
      <c r="D1325" s="234"/>
      <c r="E1325" s="58"/>
      <c r="F1325" s="59"/>
      <c r="G1325" s="58"/>
      <c r="H1325" s="59"/>
      <c r="I1325" s="58"/>
      <c r="J1325" s="58"/>
      <c r="K1325" s="58"/>
      <c r="L1325" s="260"/>
      <c r="M1325" s="58"/>
      <c r="N1325" s="58"/>
      <c r="O1325" s="58"/>
      <c r="P1325" s="58"/>
      <c r="Q1325" s="58"/>
      <c r="R1325" s="58"/>
      <c r="S1325" s="58"/>
    </row>
    <row r="1326" spans="3:19" s="249" customFormat="1" ht="12.75">
      <c r="C1326" s="253"/>
      <c r="D1326" s="234"/>
      <c r="E1326" s="58"/>
      <c r="F1326" s="59"/>
      <c r="G1326" s="58"/>
      <c r="H1326" s="59"/>
      <c r="I1326" s="58"/>
      <c r="J1326" s="58"/>
      <c r="K1326" s="58"/>
      <c r="L1326" s="260"/>
      <c r="M1326" s="58"/>
      <c r="N1326" s="58"/>
      <c r="O1326" s="58"/>
      <c r="P1326" s="58"/>
      <c r="Q1326" s="58"/>
      <c r="R1326" s="58"/>
      <c r="S1326" s="58"/>
    </row>
    <row r="1327" spans="3:19" s="249" customFormat="1" ht="12.75">
      <c r="C1327" s="253"/>
      <c r="D1327" s="234"/>
      <c r="E1327" s="58"/>
      <c r="F1327" s="59"/>
      <c r="G1327" s="58"/>
      <c r="H1327" s="59"/>
      <c r="I1327" s="58"/>
      <c r="J1327" s="58"/>
      <c r="K1327" s="58"/>
      <c r="L1327" s="260"/>
      <c r="M1327" s="58"/>
      <c r="N1327" s="58"/>
      <c r="O1327" s="58"/>
      <c r="P1327" s="58"/>
      <c r="Q1327" s="58"/>
      <c r="R1327" s="58"/>
      <c r="S1327" s="58"/>
    </row>
    <row r="1328" spans="3:19" s="249" customFormat="1" ht="12.75">
      <c r="C1328" s="253"/>
      <c r="D1328" s="234"/>
      <c r="E1328" s="58"/>
      <c r="F1328" s="59"/>
      <c r="G1328" s="58"/>
      <c r="H1328" s="59"/>
      <c r="I1328" s="58"/>
      <c r="J1328" s="58"/>
      <c r="K1328" s="58"/>
      <c r="L1328" s="260"/>
      <c r="M1328" s="58"/>
      <c r="N1328" s="58"/>
      <c r="O1328" s="58"/>
      <c r="P1328" s="58"/>
      <c r="Q1328" s="58"/>
      <c r="R1328" s="58"/>
      <c r="S1328" s="58"/>
    </row>
    <row r="1329" spans="3:19" s="249" customFormat="1" ht="12.75">
      <c r="C1329" s="253"/>
      <c r="D1329" s="234"/>
      <c r="E1329" s="58"/>
      <c r="F1329" s="59"/>
      <c r="G1329" s="58"/>
      <c r="H1329" s="59"/>
      <c r="I1329" s="58"/>
      <c r="J1329" s="58"/>
      <c r="K1329" s="58"/>
      <c r="L1329" s="260"/>
      <c r="M1329" s="58"/>
      <c r="N1329" s="58"/>
      <c r="O1329" s="58"/>
      <c r="P1329" s="58"/>
      <c r="Q1329" s="58"/>
      <c r="R1329" s="58"/>
      <c r="S1329" s="58"/>
    </row>
    <row r="1330" spans="3:19" s="249" customFormat="1" ht="12.75">
      <c r="C1330" s="253"/>
      <c r="D1330" s="234"/>
      <c r="E1330" s="58"/>
      <c r="F1330" s="59"/>
      <c r="G1330" s="58"/>
      <c r="H1330" s="59"/>
      <c r="I1330" s="58"/>
      <c r="J1330" s="58"/>
      <c r="K1330" s="58"/>
      <c r="L1330" s="260"/>
      <c r="M1330" s="58"/>
      <c r="N1330" s="58"/>
      <c r="O1330" s="58"/>
      <c r="P1330" s="58"/>
      <c r="Q1330" s="58"/>
      <c r="R1330" s="58"/>
      <c r="S1330" s="58"/>
    </row>
    <row r="1331" spans="3:19" s="249" customFormat="1" ht="12.75">
      <c r="C1331" s="253"/>
      <c r="D1331" s="234"/>
      <c r="E1331" s="58"/>
      <c r="F1331" s="59"/>
      <c r="G1331" s="58"/>
      <c r="H1331" s="59"/>
      <c r="I1331" s="58"/>
      <c r="J1331" s="58"/>
      <c r="K1331" s="58"/>
      <c r="L1331" s="260"/>
      <c r="M1331" s="58"/>
      <c r="N1331" s="58"/>
      <c r="O1331" s="58"/>
      <c r="P1331" s="58"/>
      <c r="Q1331" s="58"/>
      <c r="R1331" s="58"/>
      <c r="S1331" s="58"/>
    </row>
    <row r="1332" spans="3:19" s="249" customFormat="1" ht="12.75">
      <c r="C1332" s="253"/>
      <c r="D1332" s="234"/>
      <c r="E1332" s="58"/>
      <c r="F1332" s="59"/>
      <c r="G1332" s="58"/>
      <c r="H1332" s="59"/>
      <c r="I1332" s="58"/>
      <c r="J1332" s="58"/>
      <c r="K1332" s="58"/>
      <c r="L1332" s="260"/>
      <c r="M1332" s="58"/>
      <c r="N1332" s="58"/>
      <c r="O1332" s="58"/>
      <c r="P1332" s="58"/>
      <c r="Q1332" s="58"/>
      <c r="R1332" s="58"/>
      <c r="S1332" s="58"/>
    </row>
    <row r="1333" spans="3:19" s="249" customFormat="1" ht="12.75">
      <c r="C1333" s="253"/>
      <c r="D1333" s="234"/>
      <c r="E1333" s="58"/>
      <c r="F1333" s="59"/>
      <c r="G1333" s="58"/>
      <c r="H1333" s="59"/>
      <c r="I1333" s="58"/>
      <c r="J1333" s="58"/>
      <c r="K1333" s="58"/>
      <c r="L1333" s="260"/>
      <c r="M1333" s="58"/>
      <c r="N1333" s="58"/>
      <c r="O1333" s="58"/>
      <c r="P1333" s="58"/>
      <c r="Q1333" s="58"/>
      <c r="R1333" s="58"/>
      <c r="S1333" s="58"/>
    </row>
    <row r="1334" spans="3:19" s="249" customFormat="1" ht="12.75">
      <c r="C1334" s="253"/>
      <c r="D1334" s="234"/>
      <c r="E1334" s="58"/>
      <c r="F1334" s="59"/>
      <c r="G1334" s="58"/>
      <c r="H1334" s="59"/>
      <c r="I1334" s="58"/>
      <c r="J1334" s="58"/>
      <c r="K1334" s="58"/>
      <c r="L1334" s="260"/>
      <c r="M1334" s="58"/>
      <c r="N1334" s="58"/>
      <c r="O1334" s="58"/>
      <c r="P1334" s="58"/>
      <c r="Q1334" s="58"/>
      <c r="R1334" s="58"/>
      <c r="S1334" s="58"/>
    </row>
    <row r="1335" spans="3:19" s="249" customFormat="1" ht="12.75">
      <c r="C1335" s="253"/>
      <c r="D1335" s="234"/>
      <c r="E1335" s="58"/>
      <c r="F1335" s="59"/>
      <c r="G1335" s="58"/>
      <c r="H1335" s="59"/>
      <c r="I1335" s="58"/>
      <c r="J1335" s="58"/>
      <c r="K1335" s="58"/>
      <c r="L1335" s="260"/>
      <c r="M1335" s="58"/>
      <c r="N1335" s="58"/>
      <c r="O1335" s="58"/>
      <c r="P1335" s="58"/>
      <c r="Q1335" s="58"/>
      <c r="R1335" s="58"/>
      <c r="S1335" s="58"/>
    </row>
    <row r="1336" spans="3:19" s="249" customFormat="1" ht="12.75">
      <c r="C1336" s="253"/>
      <c r="D1336" s="234"/>
      <c r="E1336" s="58"/>
      <c r="F1336" s="59"/>
      <c r="G1336" s="58"/>
      <c r="H1336" s="59"/>
      <c r="I1336" s="58"/>
      <c r="J1336" s="58"/>
      <c r="K1336" s="58"/>
      <c r="L1336" s="260"/>
      <c r="M1336" s="58"/>
      <c r="N1336" s="58"/>
      <c r="O1336" s="58"/>
      <c r="P1336" s="58"/>
      <c r="Q1336" s="58"/>
      <c r="R1336" s="58"/>
      <c r="S1336" s="58"/>
    </row>
    <row r="1337" spans="3:19" s="249" customFormat="1" ht="12.75">
      <c r="C1337" s="253"/>
      <c r="D1337" s="234"/>
      <c r="E1337" s="58"/>
      <c r="F1337" s="59"/>
      <c r="G1337" s="58"/>
      <c r="H1337" s="59"/>
      <c r="I1337" s="58"/>
      <c r="J1337" s="58"/>
      <c r="K1337" s="58"/>
      <c r="L1337" s="260"/>
      <c r="M1337" s="58"/>
      <c r="N1337" s="58"/>
      <c r="O1337" s="58"/>
      <c r="P1337" s="58"/>
      <c r="Q1337" s="58"/>
      <c r="R1337" s="58"/>
      <c r="S1337" s="58"/>
    </row>
    <row r="1338" spans="3:19" s="249" customFormat="1" ht="12.75">
      <c r="C1338" s="253"/>
      <c r="D1338" s="234"/>
      <c r="E1338" s="58"/>
      <c r="F1338" s="59"/>
      <c r="G1338" s="58"/>
      <c r="H1338" s="59"/>
      <c r="I1338" s="58"/>
      <c r="J1338" s="58"/>
      <c r="K1338" s="58"/>
      <c r="L1338" s="260"/>
      <c r="M1338" s="58"/>
      <c r="N1338" s="58"/>
      <c r="O1338" s="58"/>
      <c r="P1338" s="58"/>
      <c r="Q1338" s="58"/>
      <c r="R1338" s="58"/>
      <c r="S1338" s="58"/>
    </row>
    <row r="1339" spans="3:19" s="249" customFormat="1" ht="12.75">
      <c r="C1339" s="253"/>
      <c r="D1339" s="234"/>
      <c r="E1339" s="58"/>
      <c r="F1339" s="59"/>
      <c r="G1339" s="58"/>
      <c r="H1339" s="59"/>
      <c r="I1339" s="58"/>
      <c r="J1339" s="58"/>
      <c r="K1339" s="58"/>
      <c r="L1339" s="260"/>
      <c r="M1339" s="58"/>
      <c r="N1339" s="58"/>
      <c r="O1339" s="58"/>
      <c r="P1339" s="58"/>
      <c r="Q1339" s="58"/>
      <c r="R1339" s="58"/>
      <c r="S1339" s="58"/>
    </row>
    <row r="1340" spans="3:19" s="249" customFormat="1" ht="12.75">
      <c r="C1340" s="253"/>
      <c r="D1340" s="234"/>
      <c r="E1340" s="58"/>
      <c r="F1340" s="59"/>
      <c r="G1340" s="58"/>
      <c r="H1340" s="59"/>
      <c r="I1340" s="58"/>
      <c r="J1340" s="58"/>
      <c r="K1340" s="58"/>
      <c r="L1340" s="260"/>
      <c r="M1340" s="58"/>
      <c r="N1340" s="58"/>
      <c r="O1340" s="58"/>
      <c r="P1340" s="58"/>
      <c r="Q1340" s="58"/>
      <c r="R1340" s="58"/>
      <c r="S1340" s="58"/>
    </row>
    <row r="1341" spans="3:19" s="249" customFormat="1" ht="12.75">
      <c r="C1341" s="253"/>
      <c r="D1341" s="234"/>
      <c r="E1341" s="58"/>
      <c r="F1341" s="59"/>
      <c r="G1341" s="58"/>
      <c r="H1341" s="59"/>
      <c r="I1341" s="58"/>
      <c r="J1341" s="58"/>
      <c r="K1341" s="58"/>
      <c r="L1341" s="260"/>
      <c r="M1341" s="58"/>
      <c r="N1341" s="58"/>
      <c r="O1341" s="58"/>
      <c r="P1341" s="58"/>
      <c r="Q1341" s="58"/>
      <c r="R1341" s="58"/>
      <c r="S1341" s="58"/>
    </row>
    <row r="1342" spans="3:19" s="249" customFormat="1" ht="12.75">
      <c r="C1342" s="253"/>
      <c r="D1342" s="234"/>
      <c r="E1342" s="58"/>
      <c r="F1342" s="59"/>
      <c r="G1342" s="58"/>
      <c r="H1342" s="59"/>
      <c r="I1342" s="58"/>
      <c r="J1342" s="58"/>
      <c r="K1342" s="58"/>
      <c r="L1342" s="260"/>
      <c r="M1342" s="58"/>
      <c r="N1342" s="58"/>
      <c r="O1342" s="58"/>
      <c r="P1342" s="58"/>
      <c r="Q1342" s="58"/>
      <c r="R1342" s="58"/>
      <c r="S1342" s="58"/>
    </row>
    <row r="1343" spans="3:19" s="249" customFormat="1" ht="12.75">
      <c r="C1343" s="253"/>
      <c r="D1343" s="234"/>
      <c r="E1343" s="58"/>
      <c r="F1343" s="59"/>
      <c r="G1343" s="58"/>
      <c r="H1343" s="59"/>
      <c r="I1343" s="58"/>
      <c r="J1343" s="58"/>
      <c r="K1343" s="58"/>
      <c r="L1343" s="260"/>
      <c r="M1343" s="58"/>
      <c r="N1343" s="58"/>
      <c r="O1343" s="58"/>
      <c r="P1343" s="58"/>
      <c r="Q1343" s="58"/>
      <c r="R1343" s="58"/>
      <c r="S1343" s="58"/>
    </row>
    <row r="1344" spans="3:19" s="249" customFormat="1" ht="12.75">
      <c r="C1344" s="253"/>
      <c r="D1344" s="234"/>
      <c r="E1344" s="58"/>
      <c r="F1344" s="59"/>
      <c r="G1344" s="58"/>
      <c r="H1344" s="59"/>
      <c r="I1344" s="58"/>
      <c r="J1344" s="58"/>
      <c r="K1344" s="58"/>
      <c r="L1344" s="260"/>
      <c r="M1344" s="58"/>
      <c r="N1344" s="58"/>
      <c r="O1344" s="58"/>
      <c r="P1344" s="58"/>
      <c r="Q1344" s="58"/>
      <c r="R1344" s="58"/>
      <c r="S1344" s="58"/>
    </row>
    <row r="1345" spans="3:19" s="249" customFormat="1" ht="12.75">
      <c r="C1345" s="253"/>
      <c r="D1345" s="234"/>
      <c r="E1345" s="58"/>
      <c r="F1345" s="59"/>
      <c r="G1345" s="58"/>
      <c r="H1345" s="59"/>
      <c r="I1345" s="58"/>
      <c r="J1345" s="58"/>
      <c r="K1345" s="58"/>
      <c r="L1345" s="260"/>
      <c r="M1345" s="58"/>
      <c r="N1345" s="58"/>
      <c r="O1345" s="58"/>
      <c r="P1345" s="58"/>
      <c r="Q1345" s="58"/>
      <c r="R1345" s="58"/>
      <c r="S1345" s="58"/>
    </row>
    <row r="1346" spans="3:19" s="249" customFormat="1" ht="12.75">
      <c r="C1346" s="253"/>
      <c r="D1346" s="234"/>
      <c r="E1346" s="58"/>
      <c r="F1346" s="59"/>
      <c r="G1346" s="58"/>
      <c r="H1346" s="59"/>
      <c r="I1346" s="58"/>
      <c r="J1346" s="58"/>
      <c r="K1346" s="58"/>
      <c r="L1346" s="260"/>
      <c r="M1346" s="58"/>
      <c r="N1346" s="58"/>
      <c r="O1346" s="58"/>
      <c r="P1346" s="58"/>
      <c r="Q1346" s="58"/>
      <c r="R1346" s="58"/>
      <c r="S1346" s="58"/>
    </row>
    <row r="1347" spans="3:19" s="249" customFormat="1" ht="12.75">
      <c r="C1347" s="253"/>
      <c r="D1347" s="234"/>
      <c r="E1347" s="58"/>
      <c r="F1347" s="59"/>
      <c r="G1347" s="58"/>
      <c r="H1347" s="59"/>
      <c r="I1347" s="58"/>
      <c r="J1347" s="58"/>
      <c r="K1347" s="58"/>
      <c r="L1347" s="260"/>
      <c r="M1347" s="58"/>
      <c r="N1347" s="58"/>
      <c r="O1347" s="58"/>
      <c r="P1347" s="58"/>
      <c r="Q1347" s="58"/>
      <c r="R1347" s="58"/>
      <c r="S1347" s="58"/>
    </row>
    <row r="1348" spans="3:19" s="249" customFormat="1" ht="12.75">
      <c r="C1348" s="253"/>
      <c r="D1348" s="234"/>
      <c r="E1348" s="58"/>
      <c r="F1348" s="59"/>
      <c r="G1348" s="58"/>
      <c r="H1348" s="59"/>
      <c r="I1348" s="58"/>
      <c r="J1348" s="58"/>
      <c r="K1348" s="58"/>
      <c r="L1348" s="260"/>
      <c r="M1348" s="58"/>
      <c r="N1348" s="58"/>
      <c r="O1348" s="58"/>
      <c r="P1348" s="58"/>
      <c r="Q1348" s="58"/>
      <c r="R1348" s="58"/>
      <c r="S1348" s="58"/>
    </row>
    <row r="1349" spans="3:19" s="249" customFormat="1" ht="12.75">
      <c r="C1349" s="253"/>
      <c r="D1349" s="234"/>
      <c r="E1349" s="58"/>
      <c r="F1349" s="59"/>
      <c r="G1349" s="58"/>
      <c r="H1349" s="59"/>
      <c r="I1349" s="58"/>
      <c r="J1349" s="58"/>
      <c r="K1349" s="58"/>
      <c r="L1349" s="260"/>
      <c r="M1349" s="58"/>
      <c r="N1349" s="58"/>
      <c r="O1349" s="58"/>
      <c r="P1349" s="58"/>
      <c r="Q1349" s="58"/>
      <c r="R1349" s="58"/>
      <c r="S1349" s="58"/>
    </row>
    <row r="1350" spans="3:19" s="249" customFormat="1" ht="12.75">
      <c r="C1350" s="253"/>
      <c r="D1350" s="234"/>
      <c r="E1350" s="58"/>
      <c r="F1350" s="59"/>
      <c r="G1350" s="58"/>
      <c r="H1350" s="59"/>
      <c r="I1350" s="58"/>
      <c r="J1350" s="58"/>
      <c r="K1350" s="58"/>
      <c r="L1350" s="260"/>
      <c r="M1350" s="58"/>
      <c r="N1350" s="58"/>
      <c r="O1350" s="58"/>
      <c r="P1350" s="58"/>
      <c r="Q1350" s="58"/>
      <c r="R1350" s="58"/>
      <c r="S1350" s="58"/>
    </row>
    <row r="1351" spans="3:19" s="249" customFormat="1" ht="12.75">
      <c r="C1351" s="253"/>
      <c r="D1351" s="234"/>
      <c r="E1351" s="58"/>
      <c r="F1351" s="59"/>
      <c r="G1351" s="58"/>
      <c r="H1351" s="59"/>
      <c r="I1351" s="58"/>
      <c r="J1351" s="58"/>
      <c r="K1351" s="58"/>
      <c r="L1351" s="260"/>
      <c r="M1351" s="58"/>
      <c r="N1351" s="58"/>
      <c r="O1351" s="58"/>
      <c r="P1351" s="58"/>
      <c r="Q1351" s="58"/>
      <c r="R1351" s="58"/>
      <c r="S1351" s="58"/>
    </row>
    <row r="1352" spans="3:19" s="249" customFormat="1" ht="12.75">
      <c r="C1352" s="253"/>
      <c r="D1352" s="234"/>
      <c r="E1352" s="58"/>
      <c r="F1352" s="59"/>
      <c r="G1352" s="58"/>
      <c r="H1352" s="59"/>
      <c r="I1352" s="58"/>
      <c r="J1352" s="58"/>
      <c r="K1352" s="58"/>
      <c r="L1352" s="260"/>
      <c r="M1352" s="58"/>
      <c r="N1352" s="58"/>
      <c r="O1352" s="58"/>
      <c r="P1352" s="58"/>
      <c r="Q1352" s="58"/>
      <c r="R1352" s="58"/>
      <c r="S1352" s="58"/>
    </row>
    <row r="1353" spans="3:19" s="249" customFormat="1" ht="12.75">
      <c r="C1353" s="253"/>
      <c r="D1353" s="234"/>
      <c r="E1353" s="58"/>
      <c r="F1353" s="59"/>
      <c r="G1353" s="58"/>
      <c r="H1353" s="59"/>
      <c r="I1353" s="58"/>
      <c r="J1353" s="58"/>
      <c r="K1353" s="58"/>
      <c r="L1353" s="260"/>
      <c r="M1353" s="58"/>
      <c r="N1353" s="58"/>
      <c r="O1353" s="58"/>
      <c r="P1353" s="58"/>
      <c r="Q1353" s="58"/>
      <c r="R1353" s="58"/>
      <c r="S1353" s="58"/>
    </row>
    <row r="1354" spans="3:19" s="249" customFormat="1" ht="12.75">
      <c r="C1354" s="253"/>
      <c r="D1354" s="234"/>
      <c r="E1354" s="58"/>
      <c r="F1354" s="59"/>
      <c r="G1354" s="58"/>
      <c r="H1354" s="59"/>
      <c r="I1354" s="58"/>
      <c r="J1354" s="58"/>
      <c r="K1354" s="58"/>
      <c r="L1354" s="260"/>
      <c r="M1354" s="58"/>
      <c r="N1354" s="58"/>
      <c r="O1354" s="58"/>
      <c r="P1354" s="58"/>
      <c r="Q1354" s="58"/>
      <c r="R1354" s="58"/>
      <c r="S1354" s="58"/>
    </row>
    <row r="1355" spans="3:19" s="249" customFormat="1" ht="12.75">
      <c r="C1355" s="253"/>
      <c r="D1355" s="234"/>
      <c r="E1355" s="58"/>
      <c r="F1355" s="59"/>
      <c r="G1355" s="58"/>
      <c r="H1355" s="59"/>
      <c r="I1355" s="58"/>
      <c r="J1355" s="58"/>
      <c r="K1355" s="58"/>
      <c r="L1355" s="260"/>
      <c r="M1355" s="58"/>
      <c r="N1355" s="58"/>
      <c r="O1355" s="58"/>
      <c r="P1355" s="58"/>
      <c r="Q1355" s="58"/>
      <c r="R1355" s="58"/>
      <c r="S1355" s="58"/>
    </row>
    <row r="1356" spans="3:19" s="249" customFormat="1" ht="12.75">
      <c r="C1356" s="253"/>
      <c r="D1356" s="234"/>
      <c r="E1356" s="58"/>
      <c r="F1356" s="59"/>
      <c r="G1356" s="58"/>
      <c r="H1356" s="59"/>
      <c r="I1356" s="58"/>
      <c r="J1356" s="58"/>
      <c r="K1356" s="58"/>
      <c r="L1356" s="260"/>
      <c r="M1356" s="58"/>
      <c r="N1356" s="58"/>
      <c r="O1356" s="58"/>
      <c r="P1356" s="58"/>
      <c r="Q1356" s="58"/>
      <c r="R1356" s="58"/>
      <c r="S1356" s="58"/>
    </row>
    <row r="1357" spans="3:19" s="249" customFormat="1" ht="12.75">
      <c r="C1357" s="253"/>
      <c r="D1357" s="234"/>
      <c r="E1357" s="58"/>
      <c r="F1357" s="59"/>
      <c r="G1357" s="58"/>
      <c r="H1357" s="59"/>
      <c r="I1357" s="58"/>
      <c r="J1357" s="58"/>
      <c r="K1357" s="58"/>
      <c r="L1357" s="260"/>
      <c r="M1357" s="58"/>
      <c r="N1357" s="58"/>
      <c r="O1357" s="58"/>
      <c r="P1357" s="58"/>
      <c r="Q1357" s="58"/>
      <c r="R1357" s="58"/>
      <c r="S1357" s="58"/>
    </row>
    <row r="1358" spans="3:19" s="249" customFormat="1" ht="12.75">
      <c r="C1358" s="253"/>
      <c r="D1358" s="234"/>
      <c r="E1358" s="58"/>
      <c r="F1358" s="59"/>
      <c r="G1358" s="58"/>
      <c r="H1358" s="59"/>
      <c r="I1358" s="58"/>
      <c r="J1358" s="58"/>
      <c r="K1358" s="58"/>
      <c r="L1358" s="260"/>
      <c r="M1358" s="58"/>
      <c r="N1358" s="58"/>
      <c r="O1358" s="58"/>
      <c r="P1358" s="58"/>
      <c r="Q1358" s="58"/>
      <c r="R1358" s="58"/>
      <c r="S1358" s="58"/>
    </row>
    <row r="1359" spans="3:19" s="249" customFormat="1" ht="12.75">
      <c r="C1359" s="253"/>
      <c r="D1359" s="234"/>
      <c r="E1359" s="58"/>
      <c r="F1359" s="59"/>
      <c r="G1359" s="58"/>
      <c r="H1359" s="59"/>
      <c r="I1359" s="58"/>
      <c r="J1359" s="58"/>
      <c r="K1359" s="58"/>
      <c r="L1359" s="260"/>
      <c r="M1359" s="58"/>
      <c r="N1359" s="58"/>
      <c r="O1359" s="58"/>
      <c r="P1359" s="58"/>
      <c r="Q1359" s="58"/>
      <c r="R1359" s="58"/>
      <c r="S1359" s="58"/>
    </row>
    <row r="1360" spans="3:19" s="249" customFormat="1" ht="12.75">
      <c r="C1360" s="253"/>
      <c r="D1360" s="234"/>
      <c r="E1360" s="58"/>
      <c r="F1360" s="59"/>
      <c r="G1360" s="58"/>
      <c r="H1360" s="59"/>
      <c r="I1360" s="58"/>
      <c r="J1360" s="58"/>
      <c r="K1360" s="58"/>
      <c r="L1360" s="260"/>
      <c r="M1360" s="58"/>
      <c r="N1360" s="58"/>
      <c r="O1360" s="58"/>
      <c r="P1360" s="58"/>
      <c r="Q1360" s="58"/>
      <c r="R1360" s="58"/>
      <c r="S1360" s="58"/>
    </row>
    <row r="1361" spans="3:19" s="249" customFormat="1" ht="12.75">
      <c r="C1361" s="253"/>
      <c r="D1361" s="234"/>
      <c r="E1361" s="58"/>
      <c r="F1361" s="59"/>
      <c r="G1361" s="58"/>
      <c r="H1361" s="59"/>
      <c r="I1361" s="58"/>
      <c r="J1361" s="58"/>
      <c r="K1361" s="58"/>
      <c r="L1361" s="260"/>
      <c r="M1361" s="58"/>
      <c r="N1361" s="58"/>
      <c r="O1361" s="58"/>
      <c r="P1361" s="58"/>
      <c r="Q1361" s="58"/>
      <c r="R1361" s="58"/>
      <c r="S1361" s="58"/>
    </row>
    <row r="1362" spans="3:19" s="249" customFormat="1" ht="12.75">
      <c r="C1362" s="253"/>
      <c r="D1362" s="234"/>
      <c r="E1362" s="58"/>
      <c r="F1362" s="59"/>
      <c r="G1362" s="58"/>
      <c r="H1362" s="59"/>
      <c r="I1362" s="58"/>
      <c r="J1362" s="58"/>
      <c r="K1362" s="58"/>
      <c r="L1362" s="260"/>
      <c r="M1362" s="58"/>
      <c r="N1362" s="58"/>
      <c r="O1362" s="58"/>
      <c r="P1362" s="58"/>
      <c r="Q1362" s="58"/>
      <c r="R1362" s="58"/>
      <c r="S1362" s="58"/>
    </row>
    <row r="1363" spans="3:19" s="249" customFormat="1" ht="12.75">
      <c r="C1363" s="253"/>
      <c r="D1363" s="234"/>
      <c r="E1363" s="58"/>
      <c r="F1363" s="59"/>
      <c r="G1363" s="58"/>
      <c r="H1363" s="59"/>
      <c r="I1363" s="58"/>
      <c r="J1363" s="58"/>
      <c r="K1363" s="58"/>
      <c r="L1363" s="260"/>
      <c r="M1363" s="58"/>
      <c r="N1363" s="58"/>
      <c r="O1363" s="58"/>
      <c r="P1363" s="58"/>
      <c r="Q1363" s="58"/>
      <c r="R1363" s="58"/>
      <c r="S1363" s="58"/>
    </row>
    <row r="1364" spans="3:19" s="249" customFormat="1" ht="12.75">
      <c r="C1364" s="253"/>
      <c r="D1364" s="234"/>
      <c r="E1364" s="58"/>
      <c r="F1364" s="59"/>
      <c r="G1364" s="58"/>
      <c r="H1364" s="59"/>
      <c r="I1364" s="58"/>
      <c r="J1364" s="58"/>
      <c r="K1364" s="58"/>
      <c r="L1364" s="260"/>
      <c r="M1364" s="58"/>
      <c r="N1364" s="58"/>
      <c r="O1364" s="58"/>
      <c r="P1364" s="58"/>
      <c r="Q1364" s="58"/>
      <c r="R1364" s="58"/>
      <c r="S1364" s="58"/>
    </row>
    <row r="1365" spans="3:19" s="249" customFormat="1" ht="12.75">
      <c r="C1365" s="253"/>
      <c r="D1365" s="234"/>
      <c r="E1365" s="58"/>
      <c r="F1365" s="59"/>
      <c r="G1365" s="58"/>
      <c r="H1365" s="59"/>
      <c r="I1365" s="58"/>
      <c r="J1365" s="58"/>
      <c r="K1365" s="58"/>
      <c r="L1365" s="260"/>
      <c r="M1365" s="58"/>
      <c r="N1365" s="58"/>
      <c r="O1365" s="58"/>
      <c r="P1365" s="58"/>
      <c r="Q1365" s="58"/>
      <c r="R1365" s="58"/>
      <c r="S1365" s="58"/>
    </row>
    <row r="1366" spans="3:19" s="249" customFormat="1" ht="12.75">
      <c r="C1366" s="253"/>
      <c r="D1366" s="234"/>
      <c r="E1366" s="58"/>
      <c r="F1366" s="59"/>
      <c r="G1366" s="58"/>
      <c r="H1366" s="59"/>
      <c r="I1366" s="58"/>
      <c r="J1366" s="58"/>
      <c r="K1366" s="58"/>
      <c r="L1366" s="260"/>
      <c r="M1366" s="58"/>
      <c r="N1366" s="58"/>
      <c r="O1366" s="58"/>
      <c r="P1366" s="58"/>
      <c r="Q1366" s="58"/>
      <c r="R1366" s="58"/>
      <c r="S1366" s="58"/>
    </row>
    <row r="1367" spans="3:19" s="249" customFormat="1" ht="12.75">
      <c r="C1367" s="253"/>
      <c r="D1367" s="234"/>
      <c r="E1367" s="58"/>
      <c r="F1367" s="59"/>
      <c r="G1367" s="58"/>
      <c r="H1367" s="59"/>
      <c r="I1367" s="58"/>
      <c r="J1367" s="58"/>
      <c r="K1367" s="58"/>
      <c r="L1367" s="260"/>
      <c r="M1367" s="58"/>
      <c r="N1367" s="58"/>
      <c r="O1367" s="58"/>
      <c r="P1367" s="58"/>
      <c r="Q1367" s="58"/>
      <c r="R1367" s="58"/>
      <c r="S1367" s="58"/>
    </row>
    <row r="1368" spans="3:19" s="249" customFormat="1" ht="12.75">
      <c r="C1368" s="253"/>
      <c r="D1368" s="234"/>
      <c r="E1368" s="58"/>
      <c r="F1368" s="59"/>
      <c r="G1368" s="58"/>
      <c r="H1368" s="59"/>
      <c r="I1368" s="58"/>
      <c r="J1368" s="58"/>
      <c r="K1368" s="58"/>
      <c r="L1368" s="260"/>
      <c r="M1368" s="58"/>
      <c r="N1368" s="58"/>
      <c r="O1368" s="58"/>
      <c r="P1368" s="58"/>
      <c r="Q1368" s="58"/>
      <c r="R1368" s="58"/>
      <c r="S1368" s="58"/>
    </row>
    <row r="1369" spans="3:19" s="249" customFormat="1" ht="12.75">
      <c r="C1369" s="253"/>
      <c r="D1369" s="234"/>
      <c r="E1369" s="58"/>
      <c r="F1369" s="59"/>
      <c r="G1369" s="58"/>
      <c r="H1369" s="59"/>
      <c r="I1369" s="58"/>
      <c r="J1369" s="58"/>
      <c r="K1369" s="58"/>
      <c r="L1369" s="260"/>
      <c r="M1369" s="58"/>
      <c r="N1369" s="58"/>
      <c r="O1369" s="58"/>
      <c r="P1369" s="58"/>
      <c r="Q1369" s="58"/>
      <c r="R1369" s="58"/>
      <c r="S1369" s="58"/>
    </row>
    <row r="1370" spans="3:19" s="249" customFormat="1" ht="12.75">
      <c r="C1370" s="253"/>
      <c r="D1370" s="234"/>
      <c r="E1370" s="58"/>
      <c r="F1370" s="59"/>
      <c r="G1370" s="58"/>
      <c r="H1370" s="59"/>
      <c r="I1370" s="58"/>
      <c r="J1370" s="58"/>
      <c r="K1370" s="58"/>
      <c r="L1370" s="260"/>
      <c r="M1370" s="58"/>
      <c r="N1370" s="58"/>
      <c r="O1370" s="58"/>
      <c r="P1370" s="58"/>
      <c r="Q1370" s="58"/>
      <c r="R1370" s="58"/>
      <c r="S1370" s="58"/>
    </row>
    <row r="1371" spans="3:19" s="249" customFormat="1" ht="12.75">
      <c r="C1371" s="253"/>
      <c r="D1371" s="234"/>
      <c r="E1371" s="58"/>
      <c r="F1371" s="59"/>
      <c r="G1371" s="58"/>
      <c r="H1371" s="59"/>
      <c r="I1371" s="58"/>
      <c r="J1371" s="58"/>
      <c r="K1371" s="58"/>
      <c r="L1371" s="260"/>
      <c r="M1371" s="58"/>
      <c r="N1371" s="58"/>
      <c r="O1371" s="58"/>
      <c r="P1371" s="58"/>
      <c r="Q1371" s="58"/>
      <c r="R1371" s="58"/>
      <c r="S1371" s="58"/>
    </row>
    <row r="1372" spans="3:19" s="249" customFormat="1" ht="12.75">
      <c r="C1372" s="253"/>
      <c r="D1372" s="234"/>
      <c r="E1372" s="58"/>
      <c r="F1372" s="59"/>
      <c r="G1372" s="58"/>
      <c r="H1372" s="59"/>
      <c r="I1372" s="58"/>
      <c r="J1372" s="58"/>
      <c r="K1372" s="58"/>
      <c r="L1372" s="260"/>
      <c r="M1372" s="58"/>
      <c r="N1372" s="58"/>
      <c r="O1372" s="58"/>
      <c r="P1372" s="58"/>
      <c r="Q1372" s="58"/>
      <c r="R1372" s="58"/>
      <c r="S1372" s="58"/>
    </row>
    <row r="1373" spans="3:19" s="249" customFormat="1" ht="12.75">
      <c r="C1373" s="253"/>
      <c r="D1373" s="234"/>
      <c r="E1373" s="58"/>
      <c r="F1373" s="59"/>
      <c r="G1373" s="58"/>
      <c r="H1373" s="59"/>
      <c r="I1373" s="58"/>
      <c r="J1373" s="58"/>
      <c r="K1373" s="58"/>
      <c r="L1373" s="260"/>
      <c r="M1373" s="58"/>
      <c r="N1373" s="58"/>
      <c r="O1373" s="58"/>
      <c r="P1373" s="58"/>
      <c r="Q1373" s="58"/>
      <c r="R1373" s="58"/>
      <c r="S1373" s="58"/>
    </row>
    <row r="1374" spans="3:19" s="249" customFormat="1" ht="12.75">
      <c r="C1374" s="253"/>
      <c r="D1374" s="234"/>
      <c r="E1374" s="58"/>
      <c r="F1374" s="59"/>
      <c r="G1374" s="58"/>
      <c r="H1374" s="59"/>
      <c r="I1374" s="58"/>
      <c r="J1374" s="58"/>
      <c r="K1374" s="58"/>
      <c r="L1374" s="260"/>
      <c r="M1374" s="58"/>
      <c r="N1374" s="58"/>
      <c r="O1374" s="58"/>
      <c r="P1374" s="58"/>
      <c r="Q1374" s="58"/>
      <c r="R1374" s="58"/>
      <c r="S1374" s="58"/>
    </row>
    <row r="1375" spans="3:19" s="249" customFormat="1" ht="12.75">
      <c r="C1375" s="253"/>
      <c r="D1375" s="234"/>
      <c r="E1375" s="58"/>
      <c r="F1375" s="59"/>
      <c r="G1375" s="58"/>
      <c r="H1375" s="59"/>
      <c r="I1375" s="58"/>
      <c r="J1375" s="58"/>
      <c r="K1375" s="58"/>
      <c r="L1375" s="260"/>
      <c r="M1375" s="58"/>
      <c r="N1375" s="58"/>
      <c r="O1375" s="58"/>
      <c r="P1375" s="58"/>
      <c r="Q1375" s="58"/>
      <c r="R1375" s="58"/>
      <c r="S1375" s="58"/>
    </row>
    <row r="1376" spans="3:19" s="249" customFormat="1" ht="12.75">
      <c r="C1376" s="253"/>
      <c r="D1376" s="234"/>
      <c r="E1376" s="58"/>
      <c r="F1376" s="59"/>
      <c r="G1376" s="58"/>
      <c r="H1376" s="59"/>
      <c r="I1376" s="58"/>
      <c r="J1376" s="58"/>
      <c r="K1376" s="58"/>
      <c r="L1376" s="260"/>
      <c r="M1376" s="58"/>
      <c r="N1376" s="58"/>
      <c r="O1376" s="58"/>
      <c r="P1376" s="58"/>
      <c r="Q1376" s="58"/>
      <c r="R1376" s="58"/>
      <c r="S1376" s="58"/>
    </row>
    <row r="1377" spans="3:19" s="249" customFormat="1" ht="12.75">
      <c r="C1377" s="253"/>
      <c r="D1377" s="234"/>
      <c r="E1377" s="58"/>
      <c r="F1377" s="59"/>
      <c r="G1377" s="58"/>
      <c r="H1377" s="59"/>
      <c r="I1377" s="58"/>
      <c r="J1377" s="58"/>
      <c r="K1377" s="58"/>
      <c r="L1377" s="260"/>
      <c r="M1377" s="58"/>
      <c r="N1377" s="58"/>
      <c r="O1377" s="58"/>
      <c r="P1377" s="58"/>
      <c r="Q1377" s="58"/>
      <c r="R1377" s="58"/>
      <c r="S1377" s="58"/>
    </row>
    <row r="1378" spans="3:19" s="249" customFormat="1" ht="12.75">
      <c r="C1378" s="253"/>
      <c r="D1378" s="234"/>
      <c r="E1378" s="58"/>
      <c r="F1378" s="59"/>
      <c r="G1378" s="58"/>
      <c r="H1378" s="59"/>
      <c r="I1378" s="58"/>
      <c r="J1378" s="58"/>
      <c r="K1378" s="58"/>
      <c r="L1378" s="260"/>
      <c r="M1378" s="58"/>
      <c r="N1378" s="58"/>
      <c r="O1378" s="58"/>
      <c r="P1378" s="58"/>
      <c r="Q1378" s="58"/>
      <c r="R1378" s="58"/>
      <c r="S1378" s="58"/>
    </row>
    <row r="1379" spans="3:19" s="249" customFormat="1" ht="12.75">
      <c r="C1379" s="253"/>
      <c r="D1379" s="234"/>
      <c r="E1379" s="58"/>
      <c r="F1379" s="59"/>
      <c r="G1379" s="58"/>
      <c r="H1379" s="59"/>
      <c r="I1379" s="58"/>
      <c r="J1379" s="58"/>
      <c r="K1379" s="58"/>
      <c r="L1379" s="260"/>
      <c r="M1379" s="58"/>
      <c r="N1379" s="58"/>
      <c r="O1379" s="58"/>
      <c r="P1379" s="58"/>
      <c r="Q1379" s="58"/>
      <c r="R1379" s="58"/>
      <c r="S1379" s="58"/>
    </row>
    <row r="1380" spans="3:19" s="249" customFormat="1" ht="12.75">
      <c r="C1380" s="253"/>
      <c r="D1380" s="234"/>
      <c r="E1380" s="58"/>
      <c r="F1380" s="59"/>
      <c r="G1380" s="58"/>
      <c r="H1380" s="59"/>
      <c r="I1380" s="58"/>
      <c r="J1380" s="58"/>
      <c r="K1380" s="58"/>
      <c r="L1380" s="260"/>
      <c r="M1380" s="58"/>
      <c r="N1380" s="58"/>
      <c r="O1380" s="58"/>
      <c r="P1380" s="58"/>
      <c r="Q1380" s="58"/>
      <c r="R1380" s="58"/>
      <c r="S1380" s="58"/>
    </row>
    <row r="1381" spans="3:19" s="249" customFormat="1" ht="12.75">
      <c r="C1381" s="253"/>
      <c r="D1381" s="234"/>
      <c r="E1381" s="58"/>
      <c r="F1381" s="59"/>
      <c r="G1381" s="58"/>
      <c r="H1381" s="59"/>
      <c r="I1381" s="58"/>
      <c r="J1381" s="58"/>
      <c r="K1381" s="58"/>
      <c r="L1381" s="260"/>
      <c r="M1381" s="58"/>
      <c r="N1381" s="58"/>
      <c r="O1381" s="58"/>
      <c r="P1381" s="58"/>
      <c r="Q1381" s="58"/>
      <c r="R1381" s="58"/>
      <c r="S1381" s="58"/>
    </row>
    <row r="1382" spans="3:19" s="249" customFormat="1" ht="12.75">
      <c r="C1382" s="253"/>
      <c r="D1382" s="234"/>
      <c r="E1382" s="58"/>
      <c r="F1382" s="59"/>
      <c r="G1382" s="58"/>
      <c r="H1382" s="59"/>
      <c r="I1382" s="58"/>
      <c r="J1382" s="58"/>
      <c r="K1382" s="58"/>
      <c r="L1382" s="260"/>
      <c r="M1382" s="58"/>
      <c r="N1382" s="58"/>
      <c r="O1382" s="58"/>
      <c r="P1382" s="58"/>
      <c r="Q1382" s="58"/>
      <c r="R1382" s="58"/>
      <c r="S1382" s="58"/>
    </row>
    <row r="1383" spans="3:19" s="249" customFormat="1" ht="12.75">
      <c r="C1383" s="253"/>
      <c r="D1383" s="234"/>
      <c r="E1383" s="58"/>
      <c r="F1383" s="59"/>
      <c r="G1383" s="58"/>
      <c r="H1383" s="59"/>
      <c r="I1383" s="58"/>
      <c r="J1383" s="58"/>
      <c r="K1383" s="58"/>
      <c r="L1383" s="260"/>
      <c r="M1383" s="58"/>
      <c r="N1383" s="58"/>
      <c r="O1383" s="58"/>
      <c r="P1383" s="58"/>
      <c r="Q1383" s="58"/>
      <c r="R1383" s="58"/>
      <c r="S1383" s="58"/>
    </row>
    <row r="1384" spans="3:19" s="249" customFormat="1" ht="12.75">
      <c r="C1384" s="253"/>
      <c r="D1384" s="234"/>
      <c r="E1384" s="58"/>
      <c r="F1384" s="59"/>
      <c r="G1384" s="58"/>
      <c r="H1384" s="59"/>
      <c r="I1384" s="58"/>
      <c r="J1384" s="58"/>
      <c r="K1384" s="58"/>
      <c r="L1384" s="260"/>
      <c r="M1384" s="58"/>
      <c r="N1384" s="58"/>
      <c r="O1384" s="58"/>
      <c r="P1384" s="58"/>
      <c r="Q1384" s="58"/>
      <c r="R1384" s="58"/>
      <c r="S1384" s="58"/>
    </row>
    <row r="1385" spans="3:19" s="249" customFormat="1" ht="12.75">
      <c r="C1385" s="253"/>
      <c r="D1385" s="234"/>
      <c r="E1385" s="58"/>
      <c r="F1385" s="59"/>
      <c r="G1385" s="58"/>
      <c r="H1385" s="59"/>
      <c r="I1385" s="58"/>
      <c r="J1385" s="58"/>
      <c r="K1385" s="58"/>
      <c r="L1385" s="260"/>
      <c r="M1385" s="58"/>
      <c r="N1385" s="58"/>
      <c r="O1385" s="58"/>
      <c r="P1385" s="58"/>
      <c r="Q1385" s="58"/>
      <c r="R1385" s="58"/>
      <c r="S1385" s="58"/>
    </row>
    <row r="1386" spans="3:19" s="249" customFormat="1" ht="12.75">
      <c r="C1386" s="253"/>
      <c r="D1386" s="234"/>
      <c r="E1386" s="58"/>
      <c r="F1386" s="59"/>
      <c r="G1386" s="58"/>
      <c r="H1386" s="59"/>
      <c r="I1386" s="58"/>
      <c r="J1386" s="58"/>
      <c r="K1386" s="58"/>
      <c r="L1386" s="260"/>
      <c r="M1386" s="58"/>
      <c r="N1386" s="58"/>
      <c r="O1386" s="58"/>
      <c r="P1386" s="58"/>
      <c r="Q1386" s="58"/>
      <c r="R1386" s="58"/>
      <c r="S1386" s="58"/>
    </row>
    <row r="1387" spans="3:19" s="249" customFormat="1" ht="12.75">
      <c r="C1387" s="253"/>
      <c r="D1387" s="234"/>
      <c r="E1387" s="58"/>
      <c r="F1387" s="59"/>
      <c r="G1387" s="58"/>
      <c r="H1387" s="59"/>
      <c r="I1387" s="58"/>
      <c r="J1387" s="58"/>
      <c r="K1387" s="58"/>
      <c r="L1387" s="260"/>
      <c r="M1387" s="58"/>
      <c r="N1387" s="58"/>
      <c r="O1387" s="58"/>
      <c r="P1387" s="58"/>
      <c r="Q1387" s="58"/>
      <c r="R1387" s="58"/>
      <c r="S1387" s="58"/>
    </row>
    <row r="1388" spans="3:19" s="249" customFormat="1" ht="12.75">
      <c r="C1388" s="253"/>
      <c r="D1388" s="234"/>
      <c r="E1388" s="58"/>
      <c r="F1388" s="59"/>
      <c r="G1388" s="58"/>
      <c r="H1388" s="59"/>
      <c r="I1388" s="58"/>
      <c r="J1388" s="58"/>
      <c r="K1388" s="58"/>
      <c r="L1388" s="260"/>
      <c r="M1388" s="58"/>
      <c r="N1388" s="58"/>
      <c r="O1388" s="58"/>
      <c r="P1388" s="58"/>
      <c r="Q1388" s="58"/>
      <c r="R1388" s="58"/>
      <c r="S1388" s="58"/>
    </row>
    <row r="1389" spans="3:19" s="249" customFormat="1" ht="12.75">
      <c r="C1389" s="253"/>
      <c r="D1389" s="234"/>
      <c r="E1389" s="58"/>
      <c r="F1389" s="59"/>
      <c r="G1389" s="58"/>
      <c r="H1389" s="59"/>
      <c r="I1389" s="58"/>
      <c r="J1389" s="58"/>
      <c r="K1389" s="58"/>
      <c r="L1389" s="260"/>
      <c r="M1389" s="58"/>
      <c r="N1389" s="58"/>
      <c r="O1389" s="58"/>
      <c r="P1389" s="58"/>
      <c r="Q1389" s="58"/>
      <c r="R1389" s="58"/>
      <c r="S1389" s="58"/>
    </row>
    <row r="1390" spans="3:19" s="249" customFormat="1" ht="12.75">
      <c r="C1390" s="253"/>
      <c r="D1390" s="234"/>
      <c r="E1390" s="58"/>
      <c r="F1390" s="59"/>
      <c r="G1390" s="58"/>
      <c r="H1390" s="59"/>
      <c r="I1390" s="58"/>
      <c r="J1390" s="58"/>
      <c r="K1390" s="58"/>
      <c r="L1390" s="260"/>
      <c r="M1390" s="58"/>
      <c r="N1390" s="58"/>
      <c r="O1390" s="58"/>
      <c r="P1390" s="58"/>
      <c r="Q1390" s="58"/>
      <c r="R1390" s="58"/>
      <c r="S1390" s="58"/>
    </row>
    <row r="1391" spans="3:19" s="249" customFormat="1" ht="12.75">
      <c r="C1391" s="253"/>
      <c r="D1391" s="234"/>
      <c r="E1391" s="58"/>
      <c r="F1391" s="59"/>
      <c r="G1391" s="58"/>
      <c r="H1391" s="59"/>
      <c r="I1391" s="58"/>
      <c r="J1391" s="58"/>
      <c r="K1391" s="58"/>
      <c r="L1391" s="260"/>
      <c r="M1391" s="58"/>
      <c r="N1391" s="58"/>
      <c r="O1391" s="58"/>
      <c r="P1391" s="58"/>
      <c r="Q1391" s="58"/>
      <c r="R1391" s="58"/>
      <c r="S1391" s="58"/>
    </row>
    <row r="1392" spans="3:19" s="249" customFormat="1" ht="12.75">
      <c r="C1392" s="253"/>
      <c r="D1392" s="234"/>
      <c r="E1392" s="58"/>
      <c r="F1392" s="59"/>
      <c r="G1392" s="58"/>
      <c r="H1392" s="59"/>
      <c r="I1392" s="58"/>
      <c r="J1392" s="58"/>
      <c r="K1392" s="58"/>
      <c r="L1392" s="260"/>
      <c r="M1392" s="58"/>
      <c r="N1392" s="58"/>
      <c r="O1392" s="58"/>
      <c r="P1392" s="58"/>
      <c r="Q1392" s="58"/>
      <c r="R1392" s="58"/>
      <c r="S1392" s="58"/>
    </row>
    <row r="1393" spans="3:19" s="249" customFormat="1" ht="12.75">
      <c r="C1393" s="253"/>
      <c r="D1393" s="234"/>
      <c r="E1393" s="58"/>
      <c r="F1393" s="59"/>
      <c r="G1393" s="58"/>
      <c r="H1393" s="59"/>
      <c r="I1393" s="58"/>
      <c r="J1393" s="58"/>
      <c r="K1393" s="58"/>
      <c r="L1393" s="260"/>
      <c r="M1393" s="58"/>
      <c r="N1393" s="58"/>
      <c r="O1393" s="58"/>
      <c r="P1393" s="58"/>
      <c r="Q1393" s="58"/>
      <c r="R1393" s="58"/>
      <c r="S1393" s="58"/>
    </row>
    <row r="1394" spans="3:19" s="249" customFormat="1" ht="12.75">
      <c r="C1394" s="253"/>
      <c r="D1394" s="234"/>
      <c r="E1394" s="58"/>
      <c r="F1394" s="59"/>
      <c r="G1394" s="58"/>
      <c r="H1394" s="59"/>
      <c r="I1394" s="58"/>
      <c r="J1394" s="58"/>
      <c r="K1394" s="58"/>
      <c r="L1394" s="260"/>
      <c r="M1394" s="58"/>
      <c r="N1394" s="58"/>
      <c r="O1394" s="58"/>
      <c r="P1394" s="58"/>
      <c r="Q1394" s="58"/>
      <c r="R1394" s="58"/>
      <c r="S1394" s="58"/>
    </row>
    <row r="1395" spans="3:19" s="249" customFormat="1" ht="12.75">
      <c r="C1395" s="253"/>
      <c r="D1395" s="234"/>
      <c r="E1395" s="58"/>
      <c r="F1395" s="59"/>
      <c r="G1395" s="58"/>
      <c r="H1395" s="59"/>
      <c r="I1395" s="58"/>
      <c r="J1395" s="58"/>
      <c r="K1395" s="58"/>
      <c r="L1395" s="260"/>
      <c r="M1395" s="58"/>
      <c r="N1395" s="58"/>
      <c r="O1395" s="58"/>
      <c r="P1395" s="58"/>
      <c r="Q1395" s="58"/>
      <c r="R1395" s="58"/>
      <c r="S1395" s="58"/>
    </row>
    <row r="1396" spans="3:19" s="249" customFormat="1" ht="12.75">
      <c r="C1396" s="253"/>
      <c r="D1396" s="234"/>
      <c r="E1396" s="58"/>
      <c r="F1396" s="59"/>
      <c r="G1396" s="58"/>
      <c r="H1396" s="59"/>
      <c r="I1396" s="58"/>
      <c r="J1396" s="58"/>
      <c r="K1396" s="58"/>
      <c r="L1396" s="260"/>
      <c r="M1396" s="58"/>
      <c r="N1396" s="58"/>
      <c r="O1396" s="58"/>
      <c r="P1396" s="58"/>
      <c r="Q1396" s="58"/>
      <c r="R1396" s="58"/>
      <c r="S1396" s="58"/>
    </row>
    <row r="1397" spans="3:19" s="249" customFormat="1" ht="12.75">
      <c r="C1397" s="253"/>
      <c r="D1397" s="234"/>
      <c r="E1397" s="58"/>
      <c r="F1397" s="59"/>
      <c r="G1397" s="58"/>
      <c r="H1397" s="59"/>
      <c r="I1397" s="58"/>
      <c r="J1397" s="58"/>
      <c r="K1397" s="58"/>
      <c r="L1397" s="260"/>
      <c r="M1397" s="58"/>
      <c r="N1397" s="58"/>
      <c r="O1397" s="58"/>
      <c r="P1397" s="58"/>
      <c r="Q1397" s="58"/>
      <c r="R1397" s="58"/>
      <c r="S1397" s="58"/>
    </row>
    <row r="1398" spans="3:19" s="249" customFormat="1" ht="12.75">
      <c r="C1398" s="253"/>
      <c r="D1398" s="234"/>
      <c r="E1398" s="58"/>
      <c r="F1398" s="59"/>
      <c r="G1398" s="58"/>
      <c r="H1398" s="59"/>
      <c r="I1398" s="58"/>
      <c r="J1398" s="58"/>
      <c r="K1398" s="58"/>
      <c r="L1398" s="260"/>
      <c r="M1398" s="58"/>
      <c r="N1398" s="58"/>
      <c r="O1398" s="58"/>
      <c r="P1398" s="58"/>
      <c r="Q1398" s="58"/>
      <c r="R1398" s="58"/>
      <c r="S1398" s="58"/>
    </row>
    <row r="1399" spans="3:19" s="249" customFormat="1" ht="12.75">
      <c r="C1399" s="253"/>
      <c r="D1399" s="234"/>
      <c r="E1399" s="58"/>
      <c r="F1399" s="59"/>
      <c r="G1399" s="58"/>
      <c r="H1399" s="59"/>
      <c r="I1399" s="58"/>
      <c r="J1399" s="58"/>
      <c r="K1399" s="58"/>
      <c r="L1399" s="260"/>
      <c r="M1399" s="58"/>
      <c r="N1399" s="58"/>
      <c r="O1399" s="58"/>
      <c r="P1399" s="58"/>
      <c r="Q1399" s="58"/>
      <c r="R1399" s="58"/>
      <c r="S1399" s="58"/>
    </row>
    <row r="1400" spans="3:19" s="249" customFormat="1" ht="12.75">
      <c r="C1400" s="253"/>
      <c r="D1400" s="234"/>
      <c r="E1400" s="58"/>
      <c r="F1400" s="59"/>
      <c r="G1400" s="58"/>
      <c r="H1400" s="59"/>
      <c r="I1400" s="58"/>
      <c r="J1400" s="58"/>
      <c r="K1400" s="58"/>
      <c r="L1400" s="260"/>
      <c r="M1400" s="58"/>
      <c r="N1400" s="58"/>
      <c r="O1400" s="58"/>
      <c r="P1400" s="58"/>
      <c r="Q1400" s="58"/>
      <c r="R1400" s="58"/>
      <c r="S1400" s="58"/>
    </row>
    <row r="1401" spans="3:19" s="249" customFormat="1" ht="12.75">
      <c r="C1401" s="253"/>
      <c r="D1401" s="234"/>
      <c r="E1401" s="58"/>
      <c r="F1401" s="59"/>
      <c r="G1401" s="58"/>
      <c r="H1401" s="59"/>
      <c r="I1401" s="58"/>
      <c r="J1401" s="58"/>
      <c r="K1401" s="58"/>
      <c r="L1401" s="260"/>
      <c r="M1401" s="58"/>
      <c r="N1401" s="58"/>
      <c r="O1401" s="58"/>
      <c r="P1401" s="58"/>
      <c r="Q1401" s="58"/>
      <c r="R1401" s="58"/>
      <c r="S1401" s="58"/>
    </row>
    <row r="1402" spans="3:19" s="249" customFormat="1" ht="12.75">
      <c r="C1402" s="253"/>
      <c r="D1402" s="234"/>
      <c r="E1402" s="58"/>
      <c r="F1402" s="59"/>
      <c r="G1402" s="58"/>
      <c r="H1402" s="59"/>
      <c r="I1402" s="58"/>
      <c r="J1402" s="58"/>
      <c r="K1402" s="58"/>
      <c r="L1402" s="260"/>
      <c r="M1402" s="58"/>
      <c r="N1402" s="58"/>
      <c r="O1402" s="58"/>
      <c r="P1402" s="58"/>
      <c r="Q1402" s="58"/>
      <c r="R1402" s="58"/>
      <c r="S1402" s="58"/>
    </row>
    <row r="1403" spans="3:19" s="249" customFormat="1" ht="12.75">
      <c r="C1403" s="253"/>
      <c r="D1403" s="234"/>
      <c r="E1403" s="58"/>
      <c r="F1403" s="59"/>
      <c r="G1403" s="58"/>
      <c r="H1403" s="59"/>
      <c r="I1403" s="58"/>
      <c r="J1403" s="58"/>
      <c r="K1403" s="58"/>
      <c r="L1403" s="260"/>
      <c r="M1403" s="58"/>
      <c r="N1403" s="58"/>
      <c r="O1403" s="58"/>
      <c r="P1403" s="58"/>
      <c r="Q1403" s="58"/>
      <c r="R1403" s="58"/>
      <c r="S1403" s="58"/>
    </row>
    <row r="1404" spans="3:19" s="249" customFormat="1" ht="12.75">
      <c r="C1404" s="253"/>
      <c r="D1404" s="234"/>
      <c r="E1404" s="58"/>
      <c r="F1404" s="59"/>
      <c r="G1404" s="58"/>
      <c r="H1404" s="59"/>
      <c r="I1404" s="58"/>
      <c r="J1404" s="58"/>
      <c r="K1404" s="58"/>
      <c r="L1404" s="260"/>
      <c r="M1404" s="58"/>
      <c r="N1404" s="58"/>
      <c r="O1404" s="58"/>
      <c r="P1404" s="58"/>
      <c r="Q1404" s="58"/>
      <c r="R1404" s="58"/>
      <c r="S1404" s="58"/>
    </row>
    <row r="1405" spans="3:19" s="249" customFormat="1" ht="12.75">
      <c r="C1405" s="253"/>
      <c r="D1405" s="234"/>
      <c r="E1405" s="58"/>
      <c r="F1405" s="59"/>
      <c r="G1405" s="58"/>
      <c r="H1405" s="59"/>
      <c r="I1405" s="58"/>
      <c r="J1405" s="58"/>
      <c r="K1405" s="58"/>
      <c r="L1405" s="260"/>
      <c r="M1405" s="58"/>
      <c r="N1405" s="58"/>
      <c r="O1405" s="58"/>
      <c r="P1405" s="58"/>
      <c r="Q1405" s="58"/>
      <c r="R1405" s="58"/>
      <c r="S1405" s="58"/>
    </row>
    <row r="1406" spans="3:19" s="249" customFormat="1" ht="12.75">
      <c r="C1406" s="253"/>
      <c r="D1406" s="234"/>
      <c r="E1406" s="58"/>
      <c r="F1406" s="59"/>
      <c r="G1406" s="58"/>
      <c r="H1406" s="59"/>
      <c r="I1406" s="58"/>
      <c r="J1406" s="58"/>
      <c r="K1406" s="58"/>
      <c r="L1406" s="260"/>
      <c r="M1406" s="58"/>
      <c r="N1406" s="58"/>
      <c r="O1406" s="58"/>
      <c r="P1406" s="58"/>
      <c r="Q1406" s="58"/>
      <c r="R1406" s="58"/>
      <c r="S1406" s="58"/>
    </row>
    <row r="1407" spans="3:19" s="249" customFormat="1" ht="12.75">
      <c r="C1407" s="253"/>
      <c r="D1407" s="234"/>
      <c r="E1407" s="58"/>
      <c r="F1407" s="59"/>
      <c r="G1407" s="58"/>
      <c r="H1407" s="59"/>
      <c r="I1407" s="58"/>
      <c r="J1407" s="58"/>
      <c r="K1407" s="58"/>
      <c r="L1407" s="260"/>
      <c r="M1407" s="58"/>
      <c r="N1407" s="58"/>
      <c r="O1407" s="58"/>
      <c r="P1407" s="58"/>
      <c r="Q1407" s="58"/>
      <c r="R1407" s="58"/>
      <c r="S1407" s="58"/>
    </row>
    <row r="1408" spans="3:19" s="249" customFormat="1" ht="12.75">
      <c r="C1408" s="253"/>
      <c r="D1408" s="234"/>
      <c r="E1408" s="58"/>
      <c r="F1408" s="59"/>
      <c r="G1408" s="58"/>
      <c r="H1408" s="59"/>
      <c r="I1408" s="58"/>
      <c r="J1408" s="58"/>
      <c r="K1408" s="58"/>
      <c r="L1408" s="260"/>
      <c r="M1408" s="58"/>
      <c r="N1408" s="58"/>
      <c r="O1408" s="58"/>
      <c r="P1408" s="58"/>
      <c r="Q1408" s="58"/>
      <c r="R1408" s="58"/>
      <c r="S1408" s="58"/>
    </row>
    <row r="1409" spans="3:19" s="249" customFormat="1" ht="12.75">
      <c r="C1409" s="253"/>
      <c r="D1409" s="234"/>
      <c r="E1409" s="58"/>
      <c r="F1409" s="59"/>
      <c r="G1409" s="58"/>
      <c r="H1409" s="59"/>
      <c r="I1409" s="58"/>
      <c r="J1409" s="58"/>
      <c r="K1409" s="58"/>
      <c r="L1409" s="260"/>
      <c r="M1409" s="58"/>
      <c r="N1409" s="58"/>
      <c r="O1409" s="58"/>
      <c r="P1409" s="58"/>
      <c r="Q1409" s="58"/>
      <c r="R1409" s="58"/>
      <c r="S1409" s="58"/>
    </row>
    <row r="1410" spans="3:19" s="249" customFormat="1" ht="12.75">
      <c r="C1410" s="253"/>
      <c r="D1410" s="234"/>
      <c r="E1410" s="58"/>
      <c r="F1410" s="59"/>
      <c r="G1410" s="58"/>
      <c r="H1410" s="59"/>
      <c r="I1410" s="58"/>
      <c r="J1410" s="58"/>
      <c r="K1410" s="58"/>
      <c r="L1410" s="260"/>
      <c r="M1410" s="58"/>
      <c r="N1410" s="58"/>
      <c r="O1410" s="58"/>
      <c r="P1410" s="58"/>
      <c r="Q1410" s="58"/>
      <c r="R1410" s="58"/>
      <c r="S1410" s="58"/>
    </row>
    <row r="1411" spans="3:19" s="249" customFormat="1" ht="12.75">
      <c r="C1411" s="253"/>
      <c r="D1411" s="234"/>
      <c r="E1411" s="58"/>
      <c r="F1411" s="59"/>
      <c r="G1411" s="58"/>
      <c r="H1411" s="59"/>
      <c r="I1411" s="58"/>
      <c r="J1411" s="58"/>
      <c r="K1411" s="58"/>
      <c r="L1411" s="260"/>
      <c r="M1411" s="58"/>
      <c r="N1411" s="58"/>
      <c r="O1411" s="58"/>
      <c r="P1411" s="58"/>
      <c r="Q1411" s="58"/>
      <c r="R1411" s="58"/>
      <c r="S1411" s="58"/>
    </row>
    <row r="1412" spans="3:19" s="249" customFormat="1" ht="12.75">
      <c r="C1412" s="253"/>
      <c r="D1412" s="234"/>
      <c r="E1412" s="58"/>
      <c r="F1412" s="59"/>
      <c r="G1412" s="58"/>
      <c r="H1412" s="59"/>
      <c r="I1412" s="58"/>
      <c r="J1412" s="58"/>
      <c r="K1412" s="58"/>
      <c r="L1412" s="260"/>
      <c r="M1412" s="58"/>
      <c r="N1412" s="58"/>
      <c r="O1412" s="58"/>
      <c r="P1412" s="58"/>
      <c r="Q1412" s="58"/>
      <c r="R1412" s="58"/>
      <c r="S1412" s="58"/>
    </row>
    <row r="1413" spans="3:19" s="249" customFormat="1" ht="12.75">
      <c r="C1413" s="253"/>
      <c r="D1413" s="234"/>
      <c r="E1413" s="58"/>
      <c r="F1413" s="59"/>
      <c r="G1413" s="58"/>
      <c r="H1413" s="59"/>
      <c r="I1413" s="58"/>
      <c r="J1413" s="58"/>
      <c r="K1413" s="58"/>
      <c r="L1413" s="260"/>
      <c r="M1413" s="58"/>
      <c r="N1413" s="58"/>
      <c r="O1413" s="58"/>
      <c r="P1413" s="58"/>
      <c r="Q1413" s="58"/>
      <c r="R1413" s="58"/>
      <c r="S1413" s="58"/>
    </row>
    <row r="1414" spans="3:19" s="249" customFormat="1" ht="12.75">
      <c r="C1414" s="253"/>
      <c r="D1414" s="234"/>
      <c r="E1414" s="58"/>
      <c r="F1414" s="59"/>
      <c r="G1414" s="58"/>
      <c r="H1414" s="59"/>
      <c r="I1414" s="58"/>
      <c r="J1414" s="58"/>
      <c r="K1414" s="58"/>
      <c r="L1414" s="260"/>
      <c r="M1414" s="58"/>
      <c r="N1414" s="58"/>
      <c r="O1414" s="58"/>
      <c r="P1414" s="58"/>
      <c r="Q1414" s="58"/>
      <c r="R1414" s="58"/>
      <c r="S1414" s="58"/>
    </row>
    <row r="1415" spans="3:19" s="249" customFormat="1" ht="12.75">
      <c r="C1415" s="253"/>
      <c r="D1415" s="234"/>
      <c r="E1415" s="58"/>
      <c r="F1415" s="59"/>
      <c r="G1415" s="58"/>
      <c r="H1415" s="59"/>
      <c r="I1415" s="58"/>
      <c r="J1415" s="58"/>
      <c r="K1415" s="58"/>
      <c r="L1415" s="260"/>
      <c r="M1415" s="58"/>
      <c r="N1415" s="58"/>
      <c r="O1415" s="58"/>
      <c r="P1415" s="58"/>
      <c r="Q1415" s="58"/>
      <c r="R1415" s="58"/>
      <c r="S1415" s="58"/>
    </row>
    <row r="1416" spans="3:19" s="249" customFormat="1" ht="12.75">
      <c r="C1416" s="253"/>
      <c r="D1416" s="234"/>
      <c r="E1416" s="58"/>
      <c r="F1416" s="59"/>
      <c r="G1416" s="58"/>
      <c r="H1416" s="59"/>
      <c r="I1416" s="58"/>
      <c r="J1416" s="58"/>
      <c r="K1416" s="58"/>
      <c r="L1416" s="260"/>
      <c r="M1416" s="58"/>
      <c r="N1416" s="58"/>
      <c r="O1416" s="58"/>
      <c r="P1416" s="58"/>
      <c r="Q1416" s="58"/>
      <c r="R1416" s="58"/>
      <c r="S1416" s="58"/>
    </row>
    <row r="1417" spans="3:19" s="249" customFormat="1" ht="12.75">
      <c r="C1417" s="253"/>
      <c r="D1417" s="234"/>
      <c r="E1417" s="58"/>
      <c r="F1417" s="59"/>
      <c r="G1417" s="58"/>
      <c r="H1417" s="59"/>
      <c r="I1417" s="58"/>
      <c r="J1417" s="58"/>
      <c r="K1417" s="58"/>
      <c r="L1417" s="260"/>
      <c r="M1417" s="58"/>
      <c r="N1417" s="58"/>
      <c r="O1417" s="58"/>
      <c r="P1417" s="58"/>
      <c r="Q1417" s="58"/>
      <c r="R1417" s="58"/>
      <c r="S1417" s="58"/>
    </row>
    <row r="1418" spans="3:19" s="249" customFormat="1" ht="12.75">
      <c r="C1418" s="253"/>
      <c r="D1418" s="234"/>
      <c r="E1418" s="58"/>
      <c r="F1418" s="59"/>
      <c r="G1418" s="58"/>
      <c r="H1418" s="59"/>
      <c r="I1418" s="58"/>
      <c r="J1418" s="58"/>
      <c r="K1418" s="58"/>
      <c r="L1418" s="260"/>
      <c r="M1418" s="58"/>
      <c r="N1418" s="58"/>
      <c r="O1418" s="58"/>
      <c r="P1418" s="58"/>
      <c r="Q1418" s="58"/>
      <c r="R1418" s="58"/>
      <c r="S1418" s="58"/>
    </row>
    <row r="1419" spans="3:19" s="249" customFormat="1" ht="12.75">
      <c r="C1419" s="253"/>
      <c r="D1419" s="234"/>
      <c r="E1419" s="58"/>
      <c r="F1419" s="59"/>
      <c r="G1419" s="58"/>
      <c r="H1419" s="59"/>
      <c r="I1419" s="58"/>
      <c r="J1419" s="58"/>
      <c r="K1419" s="58"/>
      <c r="L1419" s="260"/>
      <c r="M1419" s="58"/>
      <c r="N1419" s="58"/>
      <c r="O1419" s="58"/>
      <c r="P1419" s="58"/>
      <c r="Q1419" s="58"/>
      <c r="R1419" s="58"/>
      <c r="S1419" s="58"/>
    </row>
    <row r="1420" spans="3:19" s="249" customFormat="1" ht="12.75">
      <c r="C1420" s="253"/>
      <c r="D1420" s="234"/>
      <c r="E1420" s="58"/>
      <c r="F1420" s="59"/>
      <c r="G1420" s="58"/>
      <c r="H1420" s="59"/>
      <c r="I1420" s="58"/>
      <c r="J1420" s="58"/>
      <c r="K1420" s="58"/>
      <c r="L1420" s="260"/>
      <c r="M1420" s="58"/>
      <c r="N1420" s="58"/>
      <c r="O1420" s="58"/>
      <c r="P1420" s="58"/>
      <c r="Q1420" s="58"/>
      <c r="R1420" s="58"/>
      <c r="S1420" s="58"/>
    </row>
    <row r="1421" spans="3:19" s="249" customFormat="1" ht="12.75">
      <c r="C1421" s="253"/>
      <c r="D1421" s="234"/>
      <c r="E1421" s="58"/>
      <c r="F1421" s="59"/>
      <c r="G1421" s="58"/>
      <c r="H1421" s="59"/>
      <c r="I1421" s="58"/>
      <c r="J1421" s="58"/>
      <c r="K1421" s="58"/>
      <c r="L1421" s="260"/>
      <c r="M1421" s="58"/>
      <c r="N1421" s="58"/>
      <c r="O1421" s="58"/>
      <c r="P1421" s="58"/>
      <c r="Q1421" s="58"/>
      <c r="R1421" s="58"/>
      <c r="S1421" s="58"/>
    </row>
    <row r="1422" spans="3:19" s="249" customFormat="1" ht="12.75">
      <c r="C1422" s="253"/>
      <c r="D1422" s="234"/>
      <c r="E1422" s="58"/>
      <c r="F1422" s="59"/>
      <c r="G1422" s="58"/>
      <c r="H1422" s="59"/>
      <c r="I1422" s="58"/>
      <c r="J1422" s="58"/>
      <c r="K1422" s="58"/>
      <c r="L1422" s="260"/>
      <c r="M1422" s="58"/>
      <c r="N1422" s="58"/>
      <c r="O1422" s="58"/>
      <c r="P1422" s="58"/>
      <c r="Q1422" s="58"/>
      <c r="R1422" s="58"/>
      <c r="S1422" s="58"/>
    </row>
    <row r="1423" spans="3:19" s="249" customFormat="1" ht="12.75">
      <c r="C1423" s="253"/>
      <c r="D1423" s="234"/>
      <c r="E1423" s="58"/>
      <c r="F1423" s="59"/>
      <c r="G1423" s="58"/>
      <c r="H1423" s="59"/>
      <c r="I1423" s="58"/>
      <c r="J1423" s="58"/>
      <c r="K1423" s="58"/>
      <c r="L1423" s="260"/>
      <c r="M1423" s="58"/>
      <c r="N1423" s="58"/>
      <c r="O1423" s="58"/>
      <c r="P1423" s="58"/>
      <c r="Q1423" s="58"/>
      <c r="R1423" s="58"/>
      <c r="S1423" s="58"/>
    </row>
    <row r="1424" spans="3:19" s="249" customFormat="1" ht="12.75">
      <c r="C1424" s="253"/>
      <c r="D1424" s="234"/>
      <c r="E1424" s="58"/>
      <c r="F1424" s="59"/>
      <c r="G1424" s="58"/>
      <c r="H1424" s="59"/>
      <c r="I1424" s="58"/>
      <c r="J1424" s="58"/>
      <c r="K1424" s="58"/>
      <c r="L1424" s="260"/>
      <c r="M1424" s="58"/>
      <c r="N1424" s="58"/>
      <c r="O1424" s="58"/>
      <c r="P1424" s="58"/>
      <c r="Q1424" s="58"/>
      <c r="R1424" s="58"/>
      <c r="S1424" s="58"/>
    </row>
    <row r="1425" spans="3:19" s="249" customFormat="1" ht="12.75">
      <c r="C1425" s="253"/>
      <c r="D1425" s="234"/>
      <c r="E1425" s="58"/>
      <c r="F1425" s="59"/>
      <c r="G1425" s="58"/>
      <c r="H1425" s="59"/>
      <c r="I1425" s="58"/>
      <c r="J1425" s="58"/>
      <c r="K1425" s="58"/>
      <c r="L1425" s="260"/>
      <c r="M1425" s="58"/>
      <c r="N1425" s="58"/>
      <c r="O1425" s="58"/>
      <c r="P1425" s="58"/>
      <c r="Q1425" s="58"/>
      <c r="R1425" s="58"/>
      <c r="S1425" s="58"/>
    </row>
    <row r="1426" spans="3:19" s="249" customFormat="1" ht="12.75">
      <c r="C1426" s="253"/>
      <c r="D1426" s="234"/>
      <c r="E1426" s="58"/>
      <c r="F1426" s="59"/>
      <c r="G1426" s="58"/>
      <c r="H1426" s="59"/>
      <c r="I1426" s="58"/>
      <c r="J1426" s="58"/>
      <c r="K1426" s="58"/>
      <c r="L1426" s="260"/>
      <c r="M1426" s="58"/>
      <c r="N1426" s="58"/>
      <c r="O1426" s="58"/>
      <c r="P1426" s="58"/>
      <c r="Q1426" s="58"/>
      <c r="R1426" s="58"/>
      <c r="S1426" s="58"/>
    </row>
    <row r="1427" spans="3:19" s="249" customFormat="1" ht="12.75">
      <c r="C1427" s="253"/>
      <c r="D1427" s="234"/>
      <c r="E1427" s="58"/>
      <c r="F1427" s="59"/>
      <c r="G1427" s="58"/>
      <c r="H1427" s="59"/>
      <c r="I1427" s="58"/>
      <c r="J1427" s="58"/>
      <c r="K1427" s="58"/>
      <c r="L1427" s="260"/>
      <c r="M1427" s="58"/>
      <c r="N1427" s="58"/>
      <c r="O1427" s="58"/>
      <c r="P1427" s="58"/>
      <c r="Q1427" s="58"/>
      <c r="R1427" s="58"/>
      <c r="S1427" s="58"/>
    </row>
    <row r="1428" spans="3:19" s="249" customFormat="1" ht="12.75">
      <c r="C1428" s="253"/>
      <c r="D1428" s="234"/>
      <c r="E1428" s="58"/>
      <c r="F1428" s="59"/>
      <c r="G1428" s="58"/>
      <c r="H1428" s="59"/>
      <c r="I1428" s="58"/>
      <c r="J1428" s="58"/>
      <c r="K1428" s="58"/>
      <c r="L1428" s="260"/>
      <c r="M1428" s="58"/>
      <c r="N1428" s="58"/>
      <c r="O1428" s="58"/>
      <c r="P1428" s="58"/>
      <c r="Q1428" s="58"/>
      <c r="R1428" s="58"/>
      <c r="S1428" s="58"/>
    </row>
    <row r="1429" spans="3:19" s="249" customFormat="1" ht="12.75">
      <c r="C1429" s="253"/>
      <c r="D1429" s="234"/>
      <c r="E1429" s="58"/>
      <c r="F1429" s="59"/>
      <c r="G1429" s="58"/>
      <c r="H1429" s="59"/>
      <c r="I1429" s="58"/>
      <c r="J1429" s="58"/>
      <c r="K1429" s="58"/>
      <c r="L1429" s="260"/>
      <c r="M1429" s="58"/>
      <c r="N1429" s="58"/>
      <c r="O1429" s="58"/>
      <c r="P1429" s="58"/>
      <c r="Q1429" s="58"/>
      <c r="R1429" s="58"/>
      <c r="S1429" s="58"/>
    </row>
    <row r="1430" spans="3:19" s="249" customFormat="1" ht="12.75">
      <c r="C1430" s="253"/>
      <c r="D1430" s="234"/>
      <c r="E1430" s="58"/>
      <c r="F1430" s="59"/>
      <c r="G1430" s="58"/>
      <c r="H1430" s="59"/>
      <c r="I1430" s="58"/>
      <c r="J1430" s="58"/>
      <c r="K1430" s="58"/>
      <c r="L1430" s="260"/>
      <c r="M1430" s="58"/>
      <c r="N1430" s="58"/>
      <c r="O1430" s="58"/>
      <c r="P1430" s="58"/>
      <c r="Q1430" s="58"/>
      <c r="R1430" s="58"/>
      <c r="S1430" s="58"/>
    </row>
    <row r="1431" spans="3:19" s="249" customFormat="1" ht="12.75">
      <c r="C1431" s="253"/>
      <c r="D1431" s="234"/>
      <c r="E1431" s="58"/>
      <c r="F1431" s="59"/>
      <c r="G1431" s="58"/>
      <c r="H1431" s="59"/>
      <c r="I1431" s="58"/>
      <c r="J1431" s="58"/>
      <c r="K1431" s="58"/>
      <c r="L1431" s="260"/>
      <c r="M1431" s="58"/>
      <c r="N1431" s="58"/>
      <c r="O1431" s="58"/>
      <c r="P1431" s="58"/>
      <c r="Q1431" s="58"/>
      <c r="R1431" s="58"/>
      <c r="S1431" s="58"/>
    </row>
    <row r="1432" spans="3:19" s="249" customFormat="1" ht="12.75">
      <c r="C1432" s="253"/>
      <c r="D1432" s="234"/>
      <c r="E1432" s="58"/>
      <c r="F1432" s="59"/>
      <c r="G1432" s="58"/>
      <c r="H1432" s="59"/>
      <c r="I1432" s="58"/>
      <c r="J1432" s="58"/>
      <c r="K1432" s="58"/>
      <c r="L1432" s="260"/>
      <c r="M1432" s="58"/>
      <c r="N1432" s="58"/>
      <c r="O1432" s="58"/>
      <c r="P1432" s="58"/>
      <c r="Q1432" s="58"/>
      <c r="R1432" s="58"/>
      <c r="S1432" s="58"/>
    </row>
    <row r="1433" spans="3:19" s="249" customFormat="1" ht="12.75">
      <c r="C1433" s="253"/>
      <c r="D1433" s="234"/>
      <c r="E1433" s="58"/>
      <c r="F1433" s="59"/>
      <c r="G1433" s="58"/>
      <c r="H1433" s="59"/>
      <c r="I1433" s="58"/>
      <c r="J1433" s="58"/>
      <c r="K1433" s="58"/>
      <c r="L1433" s="260"/>
      <c r="M1433" s="58"/>
      <c r="N1433" s="58"/>
      <c r="O1433" s="58"/>
      <c r="P1433" s="58"/>
      <c r="Q1433" s="58"/>
      <c r="R1433" s="58"/>
      <c r="S1433" s="58"/>
    </row>
    <row r="1434" spans="3:19" s="249" customFormat="1" ht="12.75">
      <c r="C1434" s="253"/>
      <c r="D1434" s="234"/>
      <c r="E1434" s="58"/>
      <c r="F1434" s="59"/>
      <c r="G1434" s="58"/>
      <c r="H1434" s="59"/>
      <c r="I1434" s="58"/>
      <c r="J1434" s="58"/>
      <c r="K1434" s="58"/>
      <c r="L1434" s="260"/>
      <c r="M1434" s="58"/>
      <c r="N1434" s="58"/>
      <c r="O1434" s="58"/>
      <c r="P1434" s="58"/>
      <c r="Q1434" s="58"/>
      <c r="R1434" s="58"/>
      <c r="S1434" s="58"/>
    </row>
    <row r="1435" spans="3:19" s="249" customFormat="1" ht="12.75">
      <c r="C1435" s="253"/>
      <c r="D1435" s="234"/>
      <c r="E1435" s="58"/>
      <c r="F1435" s="59"/>
      <c r="G1435" s="58"/>
      <c r="H1435" s="59"/>
      <c r="I1435" s="58"/>
      <c r="J1435" s="58"/>
      <c r="K1435" s="58"/>
      <c r="L1435" s="260"/>
      <c r="M1435" s="58"/>
      <c r="N1435" s="58"/>
      <c r="O1435" s="58"/>
      <c r="P1435" s="58"/>
      <c r="Q1435" s="58"/>
      <c r="R1435" s="58"/>
      <c r="S1435" s="58"/>
    </row>
    <row r="1436" spans="3:19" s="249" customFormat="1" ht="12.75">
      <c r="C1436" s="253"/>
      <c r="D1436" s="234"/>
      <c r="E1436" s="58"/>
      <c r="F1436" s="59"/>
      <c r="G1436" s="58"/>
      <c r="H1436" s="59"/>
      <c r="I1436" s="58"/>
      <c r="J1436" s="58"/>
      <c r="K1436" s="58"/>
      <c r="L1436" s="260"/>
      <c r="M1436" s="58"/>
      <c r="N1436" s="58"/>
      <c r="O1436" s="58"/>
      <c r="P1436" s="58"/>
      <c r="Q1436" s="58"/>
      <c r="R1436" s="58"/>
      <c r="S1436" s="58"/>
    </row>
    <row r="1437" spans="3:19" s="249" customFormat="1" ht="12.75">
      <c r="C1437" s="253"/>
      <c r="D1437" s="234"/>
      <c r="E1437" s="58"/>
      <c r="F1437" s="59"/>
      <c r="G1437" s="58"/>
      <c r="H1437" s="59"/>
      <c r="I1437" s="58"/>
      <c r="J1437" s="58"/>
      <c r="K1437" s="58"/>
      <c r="L1437" s="260"/>
      <c r="M1437" s="58"/>
      <c r="N1437" s="58"/>
      <c r="O1437" s="58"/>
      <c r="P1437" s="58"/>
      <c r="Q1437" s="58"/>
      <c r="R1437" s="58"/>
      <c r="S1437" s="58"/>
    </row>
    <row r="1438" spans="3:19" s="249" customFormat="1" ht="12.75">
      <c r="C1438" s="253"/>
      <c r="D1438" s="234"/>
      <c r="E1438" s="58"/>
      <c r="F1438" s="59"/>
      <c r="G1438" s="58"/>
      <c r="H1438" s="59"/>
      <c r="I1438" s="58"/>
      <c r="J1438" s="58"/>
      <c r="K1438" s="58"/>
      <c r="L1438" s="260"/>
      <c r="M1438" s="58"/>
      <c r="N1438" s="58"/>
      <c r="O1438" s="58"/>
      <c r="P1438" s="58"/>
      <c r="Q1438" s="58"/>
      <c r="R1438" s="58"/>
      <c r="S1438" s="58"/>
    </row>
    <row r="1439" spans="3:19" s="249" customFormat="1" ht="12.75">
      <c r="C1439" s="253"/>
      <c r="D1439" s="234"/>
      <c r="E1439" s="58"/>
      <c r="F1439" s="59"/>
      <c r="G1439" s="58"/>
      <c r="H1439" s="59"/>
      <c r="I1439" s="58"/>
      <c r="J1439" s="58"/>
      <c r="K1439" s="58"/>
      <c r="L1439" s="260"/>
      <c r="M1439" s="58"/>
      <c r="N1439" s="58"/>
      <c r="O1439" s="58"/>
      <c r="P1439" s="58"/>
      <c r="Q1439" s="58"/>
      <c r="R1439" s="58"/>
      <c r="S1439" s="58"/>
    </row>
    <row r="1440" spans="3:19" s="249" customFormat="1" ht="12.75">
      <c r="C1440" s="253"/>
      <c r="D1440" s="234"/>
      <c r="E1440" s="58"/>
      <c r="F1440" s="59"/>
      <c r="G1440" s="58"/>
      <c r="H1440" s="59"/>
      <c r="I1440" s="58"/>
      <c r="J1440" s="58"/>
      <c r="K1440" s="58"/>
      <c r="L1440" s="260"/>
      <c r="M1440" s="58"/>
      <c r="N1440" s="58"/>
      <c r="O1440" s="58"/>
      <c r="P1440" s="58"/>
      <c r="Q1440" s="58"/>
      <c r="R1440" s="58"/>
      <c r="S1440" s="58"/>
    </row>
    <row r="1441" spans="3:19" s="249" customFormat="1" ht="12.75">
      <c r="C1441" s="253"/>
      <c r="D1441" s="234"/>
      <c r="E1441" s="58"/>
      <c r="F1441" s="59"/>
      <c r="G1441" s="58"/>
      <c r="H1441" s="59"/>
      <c r="I1441" s="58"/>
      <c r="J1441" s="58"/>
      <c r="K1441" s="58"/>
      <c r="L1441" s="260"/>
      <c r="M1441" s="58"/>
      <c r="N1441" s="58"/>
      <c r="O1441" s="58"/>
      <c r="P1441" s="58"/>
      <c r="Q1441" s="58"/>
      <c r="R1441" s="58"/>
      <c r="S1441" s="58"/>
    </row>
    <row r="1442" spans="3:19" s="249" customFormat="1" ht="12.75">
      <c r="C1442" s="253"/>
      <c r="D1442" s="234"/>
      <c r="E1442" s="58"/>
      <c r="F1442" s="59"/>
      <c r="G1442" s="58"/>
      <c r="H1442" s="59"/>
      <c r="I1442" s="58"/>
      <c r="J1442" s="58"/>
      <c r="K1442" s="58"/>
      <c r="L1442" s="260"/>
      <c r="M1442" s="58"/>
      <c r="N1442" s="58"/>
      <c r="O1442" s="58"/>
      <c r="P1442" s="58"/>
      <c r="Q1442" s="58"/>
      <c r="R1442" s="58"/>
      <c r="S1442" s="58"/>
    </row>
    <row r="1443" spans="3:19" s="249" customFormat="1" ht="12.75">
      <c r="C1443" s="253"/>
      <c r="D1443" s="234"/>
      <c r="E1443" s="58"/>
      <c r="F1443" s="59"/>
      <c r="G1443" s="58"/>
      <c r="H1443" s="59"/>
      <c r="I1443" s="58"/>
      <c r="J1443" s="58"/>
      <c r="K1443" s="58"/>
      <c r="L1443" s="260"/>
      <c r="M1443" s="58"/>
      <c r="N1443" s="58"/>
      <c r="O1443" s="58"/>
      <c r="P1443" s="58"/>
      <c r="Q1443" s="58"/>
      <c r="R1443" s="58"/>
      <c r="S1443" s="58"/>
    </row>
    <row r="1444" spans="3:19" s="249" customFormat="1" ht="12.75">
      <c r="C1444" s="253"/>
      <c r="D1444" s="234"/>
      <c r="E1444" s="58"/>
      <c r="F1444" s="59"/>
      <c r="G1444" s="58"/>
      <c r="H1444" s="59"/>
      <c r="I1444" s="58"/>
      <c r="J1444" s="58"/>
      <c r="K1444" s="58"/>
      <c r="L1444" s="260"/>
      <c r="M1444" s="58"/>
      <c r="N1444" s="58"/>
      <c r="O1444" s="58"/>
      <c r="P1444" s="58"/>
      <c r="Q1444" s="58"/>
      <c r="R1444" s="58"/>
      <c r="S1444" s="58"/>
    </row>
    <row r="1445" spans="3:19" s="249" customFormat="1" ht="12.75">
      <c r="C1445" s="253"/>
      <c r="D1445" s="234"/>
      <c r="E1445" s="58"/>
      <c r="F1445" s="59"/>
      <c r="G1445" s="58"/>
      <c r="H1445" s="59"/>
      <c r="I1445" s="58"/>
      <c r="J1445" s="58"/>
      <c r="K1445" s="58"/>
      <c r="L1445" s="260"/>
      <c r="M1445" s="58"/>
      <c r="N1445" s="58"/>
      <c r="O1445" s="58"/>
      <c r="P1445" s="58"/>
      <c r="Q1445" s="58"/>
      <c r="R1445" s="58"/>
      <c r="S1445" s="58"/>
    </row>
    <row r="1446" spans="3:19" s="249" customFormat="1" ht="12.75">
      <c r="C1446" s="253"/>
      <c r="D1446" s="234"/>
      <c r="E1446" s="58"/>
      <c r="F1446" s="59"/>
      <c r="G1446" s="58"/>
      <c r="H1446" s="59"/>
      <c r="I1446" s="58"/>
      <c r="J1446" s="58"/>
      <c r="K1446" s="58"/>
      <c r="L1446" s="260"/>
      <c r="M1446" s="58"/>
      <c r="N1446" s="58"/>
      <c r="O1446" s="58"/>
      <c r="P1446" s="58"/>
      <c r="Q1446" s="58"/>
      <c r="R1446" s="58"/>
      <c r="S1446" s="58"/>
    </row>
    <row r="1447" spans="3:19" s="249" customFormat="1" ht="12.75">
      <c r="C1447" s="253"/>
      <c r="D1447" s="234"/>
      <c r="E1447" s="58"/>
      <c r="F1447" s="59"/>
      <c r="G1447" s="58"/>
      <c r="H1447" s="59"/>
      <c r="I1447" s="58"/>
      <c r="J1447" s="58"/>
      <c r="K1447" s="58"/>
      <c r="L1447" s="260"/>
      <c r="M1447" s="58"/>
      <c r="N1447" s="58"/>
      <c r="O1447" s="58"/>
      <c r="P1447" s="58"/>
      <c r="Q1447" s="58"/>
      <c r="R1447" s="58"/>
      <c r="S1447" s="58"/>
    </row>
    <row r="1448" spans="3:19" s="249" customFormat="1" ht="12.75">
      <c r="C1448" s="253"/>
      <c r="D1448" s="234"/>
      <c r="E1448" s="58"/>
      <c r="F1448" s="59"/>
      <c r="G1448" s="58"/>
      <c r="H1448" s="59"/>
      <c r="I1448" s="58"/>
      <c r="J1448" s="58"/>
      <c r="K1448" s="58"/>
      <c r="L1448" s="260"/>
      <c r="M1448" s="58"/>
      <c r="N1448" s="58"/>
      <c r="O1448" s="58"/>
      <c r="P1448" s="58"/>
      <c r="Q1448" s="58"/>
      <c r="R1448" s="58"/>
      <c r="S1448" s="58"/>
    </row>
    <row r="1449" spans="3:19" s="249" customFormat="1" ht="12.75">
      <c r="C1449" s="253"/>
      <c r="D1449" s="234"/>
      <c r="E1449" s="58"/>
      <c r="F1449" s="59"/>
      <c r="G1449" s="58"/>
      <c r="H1449" s="59"/>
      <c r="I1449" s="58"/>
      <c r="J1449" s="58"/>
      <c r="K1449" s="58"/>
      <c r="L1449" s="260"/>
      <c r="M1449" s="58"/>
      <c r="N1449" s="58"/>
      <c r="O1449" s="58"/>
      <c r="P1449" s="58"/>
      <c r="Q1449" s="58"/>
      <c r="R1449" s="58"/>
      <c r="S1449" s="58"/>
    </row>
    <row r="1450" spans="3:19" s="249" customFormat="1" ht="12.75">
      <c r="C1450" s="253"/>
      <c r="D1450" s="234"/>
      <c r="E1450" s="58"/>
      <c r="F1450" s="59"/>
      <c r="G1450" s="58"/>
      <c r="H1450" s="59"/>
      <c r="I1450" s="58"/>
      <c r="J1450" s="58"/>
      <c r="K1450" s="58"/>
      <c r="L1450" s="260"/>
      <c r="M1450" s="58"/>
      <c r="N1450" s="58"/>
      <c r="O1450" s="58"/>
      <c r="P1450" s="58"/>
      <c r="Q1450" s="58"/>
      <c r="R1450" s="58"/>
      <c r="S1450" s="58"/>
    </row>
    <row r="1451" spans="3:19" s="249" customFormat="1" ht="12.75">
      <c r="C1451" s="253"/>
      <c r="D1451" s="234"/>
      <c r="E1451" s="58"/>
      <c r="F1451" s="59"/>
      <c r="G1451" s="58"/>
      <c r="H1451" s="59"/>
      <c r="I1451" s="58"/>
      <c r="J1451" s="58"/>
      <c r="K1451" s="58"/>
      <c r="L1451" s="260"/>
      <c r="M1451" s="58"/>
      <c r="N1451" s="58"/>
      <c r="O1451" s="58"/>
      <c r="P1451" s="58"/>
      <c r="Q1451" s="58"/>
      <c r="R1451" s="58"/>
      <c r="S1451" s="58"/>
    </row>
    <row r="1452" spans="3:19" s="249" customFormat="1" ht="12.75">
      <c r="C1452" s="253"/>
      <c r="D1452" s="234"/>
      <c r="E1452" s="58"/>
      <c r="F1452" s="59"/>
      <c r="G1452" s="58"/>
      <c r="H1452" s="59"/>
      <c r="I1452" s="58"/>
      <c r="J1452" s="58"/>
      <c r="K1452" s="58"/>
      <c r="L1452" s="260"/>
      <c r="M1452" s="58"/>
      <c r="N1452" s="58"/>
      <c r="O1452" s="58"/>
      <c r="P1452" s="58"/>
      <c r="Q1452" s="58"/>
      <c r="R1452" s="58"/>
      <c r="S1452" s="58"/>
    </row>
    <row r="1453" spans="3:19" s="249" customFormat="1" ht="12.75">
      <c r="C1453" s="253"/>
      <c r="D1453" s="234"/>
      <c r="E1453" s="58"/>
      <c r="F1453" s="59"/>
      <c r="G1453" s="58"/>
      <c r="H1453" s="59"/>
      <c r="I1453" s="58"/>
      <c r="J1453" s="58"/>
      <c r="K1453" s="58"/>
      <c r="L1453" s="260"/>
      <c r="M1453" s="58"/>
      <c r="N1453" s="58"/>
      <c r="O1453" s="58"/>
      <c r="P1453" s="58"/>
      <c r="Q1453" s="58"/>
      <c r="R1453" s="58"/>
      <c r="S1453" s="58"/>
    </row>
    <row r="1454" spans="3:19" s="249" customFormat="1" ht="12.75">
      <c r="C1454" s="253"/>
      <c r="D1454" s="234"/>
      <c r="E1454" s="58"/>
      <c r="F1454" s="59"/>
      <c r="G1454" s="58"/>
      <c r="H1454" s="59"/>
      <c r="I1454" s="58"/>
      <c r="J1454" s="58"/>
      <c r="K1454" s="58"/>
      <c r="L1454" s="260"/>
      <c r="M1454" s="58"/>
      <c r="N1454" s="58"/>
      <c r="O1454" s="58"/>
      <c r="P1454" s="58"/>
      <c r="Q1454" s="58"/>
      <c r="R1454" s="58"/>
      <c r="S1454" s="58"/>
    </row>
    <row r="1455" spans="3:19" s="249" customFormat="1" ht="12.75">
      <c r="C1455" s="253"/>
      <c r="D1455" s="234"/>
      <c r="E1455" s="58"/>
      <c r="F1455" s="59"/>
      <c r="G1455" s="58"/>
      <c r="H1455" s="59"/>
      <c r="I1455" s="58"/>
      <c r="J1455" s="58"/>
      <c r="K1455" s="58"/>
      <c r="L1455" s="260"/>
      <c r="M1455" s="58"/>
      <c r="N1455" s="58"/>
      <c r="O1455" s="58"/>
      <c r="P1455" s="58"/>
      <c r="Q1455" s="58"/>
      <c r="R1455" s="58"/>
      <c r="S1455" s="58"/>
    </row>
    <row r="1456" spans="3:19" s="249" customFormat="1" ht="12.75">
      <c r="C1456" s="253"/>
      <c r="D1456" s="234"/>
      <c r="E1456" s="58"/>
      <c r="F1456" s="59"/>
      <c r="G1456" s="58"/>
      <c r="H1456" s="59"/>
      <c r="I1456" s="58"/>
      <c r="J1456" s="58"/>
      <c r="K1456" s="58"/>
      <c r="L1456" s="260"/>
      <c r="M1456" s="58"/>
      <c r="N1456" s="58"/>
      <c r="O1456" s="58"/>
      <c r="P1456" s="58"/>
      <c r="Q1456" s="58"/>
      <c r="R1456" s="58"/>
      <c r="S1456" s="58"/>
    </row>
    <row r="1457" spans="3:19" s="249" customFormat="1" ht="12.75">
      <c r="C1457" s="253"/>
      <c r="D1457" s="234"/>
      <c r="E1457" s="58"/>
      <c r="F1457" s="59"/>
      <c r="G1457" s="58"/>
      <c r="H1457" s="59"/>
      <c r="I1457" s="58"/>
      <c r="J1457" s="58"/>
      <c r="K1457" s="58"/>
      <c r="L1457" s="260"/>
      <c r="M1457" s="58"/>
      <c r="N1457" s="58"/>
      <c r="O1457" s="58"/>
      <c r="P1457" s="58"/>
      <c r="Q1457" s="58"/>
      <c r="R1457" s="58"/>
      <c r="S1457" s="58"/>
    </row>
    <row r="1458" spans="3:19" s="249" customFormat="1" ht="12.75">
      <c r="C1458" s="253"/>
      <c r="D1458" s="234"/>
      <c r="E1458" s="58"/>
      <c r="F1458" s="59"/>
      <c r="G1458" s="58"/>
      <c r="H1458" s="59"/>
      <c r="I1458" s="58"/>
      <c r="J1458" s="58"/>
      <c r="K1458" s="58"/>
      <c r="L1458" s="260"/>
      <c r="M1458" s="58"/>
      <c r="N1458" s="58"/>
      <c r="O1458" s="58"/>
      <c r="P1458" s="58"/>
      <c r="Q1458" s="58"/>
      <c r="R1458" s="58"/>
      <c r="S1458" s="58"/>
    </row>
    <row r="1459" spans="3:19" s="249" customFormat="1" ht="12.75">
      <c r="C1459" s="253"/>
      <c r="D1459" s="234"/>
      <c r="E1459" s="58"/>
      <c r="F1459" s="59"/>
      <c r="G1459" s="58"/>
      <c r="H1459" s="59"/>
      <c r="I1459" s="58"/>
      <c r="J1459" s="58"/>
      <c r="K1459" s="58"/>
      <c r="L1459" s="260"/>
      <c r="M1459" s="58"/>
      <c r="N1459" s="58"/>
      <c r="O1459" s="58"/>
      <c r="P1459" s="58"/>
      <c r="Q1459" s="58"/>
      <c r="R1459" s="58"/>
      <c r="S1459" s="58"/>
    </row>
    <row r="1460" spans="3:19" s="249" customFormat="1" ht="12.75">
      <c r="C1460" s="253"/>
      <c r="D1460" s="234"/>
      <c r="E1460" s="58"/>
      <c r="F1460" s="59"/>
      <c r="G1460" s="58"/>
      <c r="H1460" s="59"/>
      <c r="I1460" s="58"/>
      <c r="J1460" s="58"/>
      <c r="K1460" s="58"/>
      <c r="L1460" s="260"/>
      <c r="M1460" s="58"/>
      <c r="N1460" s="58"/>
      <c r="O1460" s="58"/>
      <c r="P1460" s="58"/>
      <c r="Q1460" s="58"/>
      <c r="R1460" s="58"/>
      <c r="S1460" s="58"/>
    </row>
    <row r="1461" spans="3:19" s="249" customFormat="1" ht="12.75">
      <c r="C1461" s="253"/>
      <c r="D1461" s="234"/>
      <c r="E1461" s="58"/>
      <c r="F1461" s="59"/>
      <c r="G1461" s="58"/>
      <c r="H1461" s="59"/>
      <c r="I1461" s="58"/>
      <c r="J1461" s="58"/>
      <c r="K1461" s="58"/>
      <c r="L1461" s="260"/>
      <c r="M1461" s="58"/>
      <c r="N1461" s="58"/>
      <c r="O1461" s="58"/>
      <c r="P1461" s="58"/>
      <c r="Q1461" s="58"/>
      <c r="R1461" s="58"/>
      <c r="S1461" s="58"/>
    </row>
    <row r="1462" spans="3:19" s="249" customFormat="1" ht="12.75">
      <c r="C1462" s="253"/>
      <c r="D1462" s="234"/>
      <c r="E1462" s="58"/>
      <c r="F1462" s="59"/>
      <c r="G1462" s="58"/>
      <c r="H1462" s="59"/>
      <c r="I1462" s="58"/>
      <c r="J1462" s="58"/>
      <c r="K1462" s="58"/>
      <c r="L1462" s="260"/>
      <c r="M1462" s="58"/>
      <c r="N1462" s="58"/>
      <c r="O1462" s="58"/>
      <c r="P1462" s="58"/>
      <c r="Q1462" s="58"/>
      <c r="R1462" s="58"/>
      <c r="S1462" s="58"/>
    </row>
    <row r="1463" spans="3:19" s="249" customFormat="1" ht="12.75">
      <c r="C1463" s="253"/>
      <c r="D1463" s="234"/>
      <c r="E1463" s="58"/>
      <c r="F1463" s="59"/>
      <c r="G1463" s="58"/>
      <c r="H1463" s="59"/>
      <c r="I1463" s="58"/>
      <c r="J1463" s="58"/>
      <c r="K1463" s="58"/>
      <c r="L1463" s="260"/>
      <c r="M1463" s="58"/>
      <c r="N1463" s="58"/>
      <c r="O1463" s="58"/>
      <c r="P1463" s="58"/>
      <c r="Q1463" s="58"/>
      <c r="R1463" s="58"/>
      <c r="S1463" s="58"/>
    </row>
    <row r="1464" spans="3:19" s="249" customFormat="1" ht="12.75">
      <c r="C1464" s="253"/>
      <c r="D1464" s="234"/>
      <c r="E1464" s="58"/>
      <c r="F1464" s="59"/>
      <c r="G1464" s="58"/>
      <c r="H1464" s="59"/>
      <c r="I1464" s="58"/>
      <c r="J1464" s="58"/>
      <c r="K1464" s="58"/>
      <c r="L1464" s="260"/>
      <c r="M1464" s="58"/>
      <c r="N1464" s="58"/>
      <c r="O1464" s="58"/>
      <c r="P1464" s="58"/>
      <c r="Q1464" s="58"/>
      <c r="R1464" s="58"/>
      <c r="S1464" s="58"/>
    </row>
    <row r="1465" spans="3:19" s="249" customFormat="1" ht="12.75">
      <c r="C1465" s="253"/>
      <c r="D1465" s="234"/>
      <c r="E1465" s="58"/>
      <c r="F1465" s="59"/>
      <c r="G1465" s="58"/>
      <c r="H1465" s="59"/>
      <c r="I1465" s="58"/>
      <c r="J1465" s="58"/>
      <c r="K1465" s="58"/>
      <c r="L1465" s="260"/>
      <c r="M1465" s="58"/>
      <c r="N1465" s="58"/>
      <c r="O1465" s="58"/>
      <c r="P1465" s="58"/>
      <c r="Q1465" s="58"/>
      <c r="R1465" s="58"/>
      <c r="S1465" s="58"/>
    </row>
    <row r="1466" spans="3:19" s="249" customFormat="1" ht="12.75">
      <c r="C1466" s="253"/>
      <c r="D1466" s="234"/>
      <c r="E1466" s="58"/>
      <c r="F1466" s="59"/>
      <c r="G1466" s="58"/>
      <c r="H1466" s="59"/>
      <c r="I1466" s="58"/>
      <c r="J1466" s="58"/>
      <c r="K1466" s="58"/>
      <c r="L1466" s="260"/>
      <c r="M1466" s="58"/>
      <c r="N1466" s="58"/>
      <c r="O1466" s="58"/>
      <c r="P1466" s="58"/>
      <c r="Q1466" s="58"/>
      <c r="R1466" s="58"/>
      <c r="S1466" s="58"/>
    </row>
    <row r="1467" spans="3:19" s="249" customFormat="1" ht="12.75">
      <c r="C1467" s="253"/>
      <c r="D1467" s="234"/>
      <c r="E1467" s="58"/>
      <c r="F1467" s="59"/>
      <c r="G1467" s="58"/>
      <c r="H1467" s="59"/>
      <c r="I1467" s="58"/>
      <c r="J1467" s="58"/>
      <c r="K1467" s="58"/>
      <c r="L1467" s="260"/>
      <c r="M1467" s="58"/>
      <c r="N1467" s="58"/>
      <c r="O1467" s="58"/>
      <c r="P1467" s="58"/>
      <c r="Q1467" s="58"/>
      <c r="R1467" s="58"/>
      <c r="S1467" s="58"/>
    </row>
    <row r="1468" spans="3:19" s="249" customFormat="1" ht="12.75">
      <c r="C1468" s="253"/>
      <c r="D1468" s="234"/>
      <c r="E1468" s="58"/>
      <c r="F1468" s="59"/>
      <c r="G1468" s="58"/>
      <c r="H1468" s="59"/>
      <c r="I1468" s="58"/>
      <c r="J1468" s="58"/>
      <c r="K1468" s="58"/>
      <c r="L1468" s="260"/>
      <c r="M1468" s="58"/>
      <c r="N1468" s="58"/>
      <c r="O1468" s="58"/>
      <c r="P1468" s="58"/>
      <c r="Q1468" s="58"/>
      <c r="R1468" s="58"/>
      <c r="S1468" s="58"/>
    </row>
    <row r="1469" spans="3:19" s="249" customFormat="1" ht="12.75">
      <c r="C1469" s="253"/>
      <c r="D1469" s="234"/>
      <c r="E1469" s="58"/>
      <c r="F1469" s="59"/>
      <c r="G1469" s="58"/>
      <c r="H1469" s="59"/>
      <c r="I1469" s="58"/>
      <c r="J1469" s="58"/>
      <c r="K1469" s="58"/>
      <c r="L1469" s="260"/>
      <c r="M1469" s="58"/>
      <c r="N1469" s="58"/>
      <c r="O1469" s="58"/>
      <c r="P1469" s="58"/>
      <c r="Q1469" s="58"/>
      <c r="R1469" s="58"/>
      <c r="S1469" s="58"/>
    </row>
    <row r="1470" spans="3:19" s="249" customFormat="1" ht="12.75">
      <c r="C1470" s="253"/>
      <c r="D1470" s="234"/>
      <c r="E1470" s="58"/>
      <c r="F1470" s="59"/>
      <c r="G1470" s="58"/>
      <c r="H1470" s="59"/>
      <c r="I1470" s="58"/>
      <c r="J1470" s="58"/>
      <c r="K1470" s="58"/>
      <c r="L1470" s="260"/>
      <c r="M1470" s="58"/>
      <c r="N1470" s="58"/>
      <c r="O1470" s="58"/>
      <c r="P1470" s="58"/>
      <c r="Q1470" s="58"/>
      <c r="R1470" s="58"/>
      <c r="S1470" s="58"/>
    </row>
    <row r="1471" spans="3:19" s="249" customFormat="1" ht="12.75">
      <c r="C1471" s="253"/>
      <c r="D1471" s="234"/>
      <c r="E1471" s="58"/>
      <c r="F1471" s="59"/>
      <c r="G1471" s="58"/>
      <c r="H1471" s="59"/>
      <c r="I1471" s="58"/>
      <c r="J1471" s="58"/>
      <c r="K1471" s="58"/>
      <c r="L1471" s="260"/>
      <c r="M1471" s="58"/>
      <c r="N1471" s="58"/>
      <c r="O1471" s="58"/>
      <c r="P1471" s="58"/>
      <c r="Q1471" s="58"/>
      <c r="R1471" s="58"/>
      <c r="S1471" s="58"/>
    </row>
    <row r="1472" spans="3:19" s="249" customFormat="1" ht="12.75">
      <c r="C1472" s="253"/>
      <c r="D1472" s="234"/>
      <c r="E1472" s="58"/>
      <c r="F1472" s="59"/>
      <c r="G1472" s="58"/>
      <c r="H1472" s="59"/>
      <c r="I1472" s="58"/>
      <c r="J1472" s="58"/>
      <c r="K1472" s="58"/>
      <c r="L1472" s="260"/>
      <c r="M1472" s="58"/>
      <c r="N1472" s="58"/>
      <c r="O1472" s="58"/>
      <c r="P1472" s="58"/>
      <c r="Q1472" s="58"/>
      <c r="R1472" s="58"/>
      <c r="S1472" s="58"/>
    </row>
    <row r="1473" spans="3:19" s="249" customFormat="1" ht="12.75">
      <c r="C1473" s="253"/>
      <c r="D1473" s="234"/>
      <c r="E1473" s="58"/>
      <c r="F1473" s="59"/>
      <c r="G1473" s="58"/>
      <c r="H1473" s="59"/>
      <c r="I1473" s="58"/>
      <c r="J1473" s="58"/>
      <c r="K1473" s="58"/>
      <c r="L1473" s="260"/>
      <c r="M1473" s="58"/>
      <c r="N1473" s="58"/>
      <c r="O1473" s="58"/>
      <c r="P1473" s="58"/>
      <c r="Q1473" s="58"/>
      <c r="R1473" s="58"/>
      <c r="S1473" s="58"/>
    </row>
    <row r="1474" spans="3:19" s="249" customFormat="1" ht="12.75">
      <c r="C1474" s="253"/>
      <c r="D1474" s="234"/>
      <c r="E1474" s="58"/>
      <c r="F1474" s="59"/>
      <c r="G1474" s="58"/>
      <c r="H1474" s="59"/>
      <c r="I1474" s="58"/>
      <c r="J1474" s="58"/>
      <c r="K1474" s="58"/>
      <c r="L1474" s="260"/>
      <c r="M1474" s="58"/>
      <c r="N1474" s="58"/>
      <c r="O1474" s="58"/>
      <c r="P1474" s="58"/>
      <c r="Q1474" s="58"/>
      <c r="R1474" s="58"/>
      <c r="S1474" s="58"/>
    </row>
    <row r="1475" spans="3:19" s="249" customFormat="1" ht="12.75">
      <c r="C1475" s="253"/>
      <c r="D1475" s="234"/>
      <c r="E1475" s="58"/>
      <c r="F1475" s="59"/>
      <c r="G1475" s="58"/>
      <c r="H1475" s="59"/>
      <c r="I1475" s="58"/>
      <c r="J1475" s="58"/>
      <c r="K1475" s="58"/>
      <c r="L1475" s="260"/>
      <c r="M1475" s="58"/>
      <c r="N1475" s="58"/>
      <c r="O1475" s="58"/>
      <c r="P1475" s="58"/>
      <c r="Q1475" s="58"/>
      <c r="R1475" s="58"/>
      <c r="S1475" s="58"/>
    </row>
    <row r="1476" spans="3:19" s="249" customFormat="1" ht="12.75">
      <c r="C1476" s="253"/>
      <c r="D1476" s="234"/>
      <c r="E1476" s="58"/>
      <c r="F1476" s="59"/>
      <c r="G1476" s="58"/>
      <c r="H1476" s="59"/>
      <c r="I1476" s="58"/>
      <c r="J1476" s="58"/>
      <c r="K1476" s="58"/>
      <c r="L1476" s="260"/>
      <c r="M1476" s="58"/>
      <c r="N1476" s="58"/>
      <c r="O1476" s="58"/>
      <c r="P1476" s="58"/>
      <c r="Q1476" s="58"/>
      <c r="R1476" s="58"/>
      <c r="S1476" s="58"/>
    </row>
    <row r="1477" spans="3:19" s="249" customFormat="1" ht="12.75">
      <c r="C1477" s="253"/>
      <c r="D1477" s="234"/>
      <c r="E1477" s="58"/>
      <c r="F1477" s="59"/>
      <c r="G1477" s="58"/>
      <c r="H1477" s="59"/>
      <c r="I1477" s="58"/>
      <c r="J1477" s="58"/>
      <c r="K1477" s="58"/>
      <c r="L1477" s="260"/>
      <c r="M1477" s="58"/>
      <c r="N1477" s="58"/>
      <c r="O1477" s="58"/>
      <c r="P1477" s="58"/>
      <c r="Q1477" s="58"/>
      <c r="R1477" s="58"/>
      <c r="S1477" s="58"/>
    </row>
    <row r="1478" spans="3:19" s="249" customFormat="1" ht="12.75">
      <c r="C1478" s="253"/>
      <c r="D1478" s="234"/>
      <c r="E1478" s="58"/>
      <c r="F1478" s="59"/>
      <c r="G1478" s="58"/>
      <c r="H1478" s="59"/>
      <c r="I1478" s="58"/>
      <c r="J1478" s="58"/>
      <c r="K1478" s="58"/>
      <c r="L1478" s="260"/>
      <c r="M1478" s="58"/>
      <c r="N1478" s="58"/>
      <c r="O1478" s="58"/>
      <c r="P1478" s="58"/>
      <c r="Q1478" s="58"/>
      <c r="R1478" s="58"/>
      <c r="S1478" s="58"/>
    </row>
    <row r="1479" spans="3:19" s="249" customFormat="1" ht="12.75">
      <c r="C1479" s="253"/>
      <c r="D1479" s="234"/>
      <c r="E1479" s="58"/>
      <c r="F1479" s="59"/>
      <c r="G1479" s="58"/>
      <c r="H1479" s="59"/>
      <c r="I1479" s="58"/>
      <c r="J1479" s="58"/>
      <c r="K1479" s="58"/>
      <c r="L1479" s="260"/>
      <c r="M1479" s="58"/>
      <c r="N1479" s="58"/>
      <c r="O1479" s="58"/>
      <c r="P1479" s="58"/>
      <c r="Q1479" s="58"/>
      <c r="R1479" s="58"/>
      <c r="S1479" s="58"/>
    </row>
    <row r="1480" spans="3:19" s="249" customFormat="1" ht="12.75">
      <c r="C1480" s="253"/>
      <c r="D1480" s="234"/>
      <c r="E1480" s="58"/>
      <c r="F1480" s="59"/>
      <c r="G1480" s="58"/>
      <c r="H1480" s="59"/>
      <c r="I1480" s="58"/>
      <c r="J1480" s="58"/>
      <c r="K1480" s="58"/>
      <c r="L1480" s="260"/>
      <c r="M1480" s="58"/>
      <c r="N1480" s="58"/>
      <c r="O1480" s="58"/>
      <c r="P1480" s="58"/>
      <c r="Q1480" s="58"/>
      <c r="R1480" s="58"/>
      <c r="S1480" s="58"/>
    </row>
    <row r="1481" spans="3:19" s="249" customFormat="1" ht="12.75">
      <c r="C1481" s="253"/>
      <c r="D1481" s="234"/>
      <c r="E1481" s="58"/>
      <c r="F1481" s="59"/>
      <c r="G1481" s="58"/>
      <c r="H1481" s="59"/>
      <c r="I1481" s="58"/>
      <c r="J1481" s="58"/>
      <c r="K1481" s="58"/>
      <c r="L1481" s="260"/>
      <c r="M1481" s="58"/>
      <c r="N1481" s="58"/>
      <c r="O1481" s="58"/>
      <c r="P1481" s="58"/>
      <c r="Q1481" s="58"/>
      <c r="R1481" s="58"/>
      <c r="S1481" s="58"/>
    </row>
    <row r="1482" spans="3:19" s="249" customFormat="1" ht="12.75">
      <c r="C1482" s="253"/>
      <c r="D1482" s="234"/>
      <c r="E1482" s="58"/>
      <c r="F1482" s="59"/>
      <c r="G1482" s="58"/>
      <c r="H1482" s="59"/>
      <c r="I1482" s="58"/>
      <c r="J1482" s="58"/>
      <c r="K1482" s="58"/>
      <c r="L1482" s="260"/>
      <c r="M1482" s="58"/>
      <c r="N1482" s="58"/>
      <c r="O1482" s="58"/>
      <c r="P1482" s="58"/>
      <c r="Q1482" s="58"/>
      <c r="R1482" s="58"/>
      <c r="S1482" s="58"/>
    </row>
    <row r="1483" spans="3:19" s="249" customFormat="1" ht="12.75">
      <c r="C1483" s="253"/>
      <c r="D1483" s="234"/>
      <c r="E1483" s="58"/>
      <c r="F1483" s="59"/>
      <c r="G1483" s="58"/>
      <c r="H1483" s="59"/>
      <c r="I1483" s="58"/>
      <c r="J1483" s="58"/>
      <c r="K1483" s="58"/>
      <c r="L1483" s="260"/>
      <c r="M1483" s="58"/>
      <c r="N1483" s="58"/>
      <c r="O1483" s="58"/>
      <c r="P1483" s="58"/>
      <c r="Q1483" s="58"/>
      <c r="R1483" s="58"/>
      <c r="S1483" s="58"/>
    </row>
    <row r="1484" spans="3:19" s="249" customFormat="1" ht="12.75">
      <c r="C1484" s="253"/>
      <c r="D1484" s="234"/>
      <c r="E1484" s="58"/>
      <c r="F1484" s="59"/>
      <c r="G1484" s="58"/>
      <c r="H1484" s="59"/>
      <c r="I1484" s="58"/>
      <c r="J1484" s="58"/>
      <c r="K1484" s="58"/>
      <c r="L1484" s="260"/>
      <c r="M1484" s="58"/>
      <c r="N1484" s="58"/>
      <c r="O1484" s="58"/>
      <c r="P1484" s="58"/>
      <c r="Q1484" s="58"/>
      <c r="R1484" s="58"/>
      <c r="S1484" s="58"/>
    </row>
    <row r="1485" spans="3:19" s="249" customFormat="1" ht="12.75">
      <c r="C1485" s="253"/>
      <c r="D1485" s="234"/>
      <c r="E1485" s="58"/>
      <c r="F1485" s="59"/>
      <c r="G1485" s="58"/>
      <c r="H1485" s="59"/>
      <c r="I1485" s="58"/>
      <c r="J1485" s="58"/>
      <c r="K1485" s="58"/>
      <c r="L1485" s="260"/>
      <c r="M1485" s="58"/>
      <c r="N1485" s="58"/>
      <c r="O1485" s="58"/>
      <c r="P1485" s="58"/>
      <c r="Q1485" s="58"/>
      <c r="R1485" s="58"/>
      <c r="S1485" s="58"/>
    </row>
    <row r="1486" spans="3:19" s="249" customFormat="1" ht="12.75">
      <c r="C1486" s="253"/>
      <c r="D1486" s="234"/>
      <c r="E1486" s="58"/>
      <c r="F1486" s="59"/>
      <c r="G1486" s="58"/>
      <c r="H1486" s="59"/>
      <c r="I1486" s="58"/>
      <c r="J1486" s="58"/>
      <c r="K1486" s="58"/>
      <c r="L1486" s="260"/>
      <c r="M1486" s="58"/>
      <c r="N1486" s="58"/>
      <c r="O1486" s="58"/>
      <c r="P1486" s="58"/>
      <c r="Q1486" s="58"/>
      <c r="R1486" s="58"/>
      <c r="S1486" s="58"/>
    </row>
    <row r="1487" spans="3:19" s="249" customFormat="1" ht="12.75">
      <c r="C1487" s="253"/>
      <c r="D1487" s="234"/>
      <c r="E1487" s="58"/>
      <c r="F1487" s="59"/>
      <c r="G1487" s="58"/>
      <c r="H1487" s="59"/>
      <c r="I1487" s="58"/>
      <c r="J1487" s="58"/>
      <c r="K1487" s="58"/>
      <c r="L1487" s="260"/>
      <c r="M1487" s="58"/>
      <c r="N1487" s="58"/>
      <c r="O1487" s="58"/>
      <c r="P1487" s="58"/>
      <c r="Q1487" s="58"/>
      <c r="R1487" s="58"/>
      <c r="S1487" s="58"/>
    </row>
    <row r="1488" spans="3:19" s="249" customFormat="1" ht="12.75">
      <c r="C1488" s="253"/>
      <c r="D1488" s="234"/>
      <c r="E1488" s="58"/>
      <c r="F1488" s="59"/>
      <c r="G1488" s="58"/>
      <c r="H1488" s="59"/>
      <c r="I1488" s="58"/>
      <c r="J1488" s="58"/>
      <c r="K1488" s="58"/>
      <c r="L1488" s="260"/>
      <c r="M1488" s="58"/>
      <c r="N1488" s="58"/>
      <c r="O1488" s="58"/>
      <c r="P1488" s="58"/>
      <c r="Q1488" s="58"/>
      <c r="R1488" s="58"/>
      <c r="S1488" s="58"/>
    </row>
    <row r="1489" spans="3:19" s="249" customFormat="1" ht="12.75">
      <c r="C1489" s="253"/>
      <c r="D1489" s="234"/>
      <c r="E1489" s="58"/>
      <c r="F1489" s="59"/>
      <c r="G1489" s="58"/>
      <c r="H1489" s="59"/>
      <c r="I1489" s="58"/>
      <c r="J1489" s="58"/>
      <c r="K1489" s="58"/>
      <c r="L1489" s="260"/>
      <c r="M1489" s="58"/>
      <c r="N1489" s="58"/>
      <c r="O1489" s="58"/>
      <c r="P1489" s="58"/>
      <c r="Q1489" s="58"/>
      <c r="R1489" s="58"/>
      <c r="S1489" s="58"/>
    </row>
    <row r="1490" spans="3:19" s="249" customFormat="1" ht="12.75">
      <c r="C1490" s="253"/>
      <c r="D1490" s="234"/>
      <c r="E1490" s="58"/>
      <c r="F1490" s="59"/>
      <c r="G1490" s="58"/>
      <c r="H1490" s="59"/>
      <c r="I1490" s="58"/>
      <c r="J1490" s="58"/>
      <c r="K1490" s="58"/>
      <c r="L1490" s="260"/>
      <c r="M1490" s="58"/>
      <c r="N1490" s="58"/>
      <c r="O1490" s="58"/>
      <c r="P1490" s="58"/>
      <c r="Q1490" s="58"/>
      <c r="R1490" s="58"/>
      <c r="S1490" s="58"/>
    </row>
    <row r="1491" spans="3:19" s="249" customFormat="1" ht="12.75">
      <c r="C1491" s="253"/>
      <c r="D1491" s="234"/>
      <c r="E1491" s="58"/>
      <c r="F1491" s="59"/>
      <c r="G1491" s="58"/>
      <c r="H1491" s="59"/>
      <c r="I1491" s="58"/>
      <c r="J1491" s="58"/>
      <c r="K1491" s="58"/>
      <c r="L1491" s="260"/>
      <c r="M1491" s="58"/>
      <c r="N1491" s="58"/>
      <c r="O1491" s="58"/>
      <c r="P1491" s="58"/>
      <c r="Q1491" s="58"/>
      <c r="R1491" s="58"/>
      <c r="S1491" s="58"/>
    </row>
    <row r="1492" spans="3:19" s="249" customFormat="1" ht="12.75">
      <c r="C1492" s="253"/>
      <c r="D1492" s="234"/>
      <c r="E1492" s="58"/>
      <c r="F1492" s="59"/>
      <c r="G1492" s="58"/>
      <c r="H1492" s="59"/>
      <c r="I1492" s="58"/>
      <c r="J1492" s="58"/>
      <c r="K1492" s="58"/>
      <c r="L1492" s="260"/>
      <c r="M1492" s="58"/>
      <c r="N1492" s="58"/>
      <c r="O1492" s="58"/>
      <c r="P1492" s="58"/>
      <c r="Q1492" s="58"/>
      <c r="R1492" s="58"/>
      <c r="S1492" s="58"/>
    </row>
    <row r="1493" spans="3:19" s="249" customFormat="1" ht="12.75">
      <c r="C1493" s="253"/>
      <c r="D1493" s="234"/>
      <c r="E1493" s="58"/>
      <c r="F1493" s="59"/>
      <c r="G1493" s="58"/>
      <c r="H1493" s="59"/>
      <c r="I1493" s="58"/>
      <c r="J1493" s="58"/>
      <c r="K1493" s="58"/>
      <c r="L1493" s="260"/>
      <c r="M1493" s="58"/>
      <c r="N1493" s="58"/>
      <c r="O1493" s="58"/>
      <c r="P1493" s="58"/>
      <c r="Q1493" s="58"/>
      <c r="R1493" s="58"/>
      <c r="S1493" s="58"/>
    </row>
    <row r="1494" spans="3:19" s="249" customFormat="1" ht="12.75">
      <c r="C1494" s="253"/>
      <c r="D1494" s="234"/>
      <c r="E1494" s="58"/>
      <c r="F1494" s="59"/>
      <c r="G1494" s="58"/>
      <c r="H1494" s="59"/>
      <c r="I1494" s="58"/>
      <c r="J1494" s="58"/>
      <c r="K1494" s="58"/>
      <c r="L1494" s="260"/>
      <c r="M1494" s="58"/>
      <c r="N1494" s="58"/>
      <c r="O1494" s="58"/>
      <c r="P1494" s="58"/>
      <c r="Q1494" s="58"/>
      <c r="R1494" s="58"/>
      <c r="S1494" s="58"/>
    </row>
    <row r="1495" spans="3:19" s="249" customFormat="1" ht="12.75">
      <c r="C1495" s="253"/>
      <c r="D1495" s="234"/>
      <c r="E1495" s="58"/>
      <c r="F1495" s="59"/>
      <c r="G1495" s="58"/>
      <c r="H1495" s="59"/>
      <c r="I1495" s="58"/>
      <c r="J1495" s="58"/>
      <c r="K1495" s="58"/>
      <c r="L1495" s="260"/>
      <c r="M1495" s="58"/>
      <c r="N1495" s="58"/>
      <c r="O1495" s="58"/>
      <c r="P1495" s="58"/>
      <c r="Q1495" s="58"/>
      <c r="R1495" s="58"/>
      <c r="S1495" s="58"/>
    </row>
    <row r="1496" spans="3:19" s="249" customFormat="1" ht="12.75">
      <c r="C1496" s="253"/>
      <c r="D1496" s="234"/>
      <c r="E1496" s="58"/>
      <c r="F1496" s="59"/>
      <c r="G1496" s="58"/>
      <c r="H1496" s="59"/>
      <c r="I1496" s="58"/>
      <c r="J1496" s="58"/>
      <c r="K1496" s="58"/>
      <c r="L1496" s="260"/>
      <c r="M1496" s="58"/>
      <c r="N1496" s="58"/>
      <c r="O1496" s="58"/>
      <c r="P1496" s="58"/>
      <c r="Q1496" s="58"/>
      <c r="R1496" s="58"/>
      <c r="S1496" s="58"/>
    </row>
    <row r="1497" spans="3:19" s="249" customFormat="1" ht="12.75">
      <c r="C1497" s="253"/>
      <c r="D1497" s="234"/>
      <c r="E1497" s="58"/>
      <c r="F1497" s="59"/>
      <c r="G1497" s="58"/>
      <c r="H1497" s="59"/>
      <c r="I1497" s="58"/>
      <c r="J1497" s="58"/>
      <c r="K1497" s="58"/>
      <c r="L1497" s="260"/>
      <c r="M1497" s="58"/>
      <c r="N1497" s="58"/>
      <c r="O1497" s="58"/>
      <c r="P1497" s="58"/>
      <c r="Q1497" s="58"/>
      <c r="R1497" s="58"/>
      <c r="S1497" s="58"/>
    </row>
    <row r="1498" spans="3:19" s="249" customFormat="1" ht="12.75">
      <c r="C1498" s="253"/>
      <c r="D1498" s="234"/>
      <c r="E1498" s="58"/>
      <c r="F1498" s="59"/>
      <c r="G1498" s="58"/>
      <c r="H1498" s="59"/>
      <c r="I1498" s="58"/>
      <c r="J1498" s="58"/>
      <c r="K1498" s="58"/>
      <c r="L1498" s="260"/>
      <c r="M1498" s="58"/>
      <c r="N1498" s="58"/>
      <c r="O1498" s="58"/>
      <c r="P1498" s="58"/>
      <c r="Q1498" s="58"/>
      <c r="R1498" s="58"/>
      <c r="S1498" s="58"/>
    </row>
    <row r="1499" spans="3:19" s="249" customFormat="1" ht="12.75">
      <c r="C1499" s="253"/>
      <c r="D1499" s="234"/>
      <c r="E1499" s="58"/>
      <c r="F1499" s="59"/>
      <c r="G1499" s="58"/>
      <c r="H1499" s="59"/>
      <c r="I1499" s="58"/>
      <c r="J1499" s="58"/>
      <c r="K1499" s="58"/>
      <c r="L1499" s="260"/>
      <c r="M1499" s="58"/>
      <c r="N1499" s="58"/>
      <c r="O1499" s="58"/>
      <c r="P1499" s="58"/>
      <c r="Q1499" s="58"/>
      <c r="R1499" s="58"/>
      <c r="S1499" s="58"/>
    </row>
    <row r="1500" spans="3:19" s="249" customFormat="1" ht="12.75">
      <c r="C1500" s="253"/>
      <c r="D1500" s="234"/>
      <c r="E1500" s="58"/>
      <c r="F1500" s="59"/>
      <c r="G1500" s="58"/>
      <c r="H1500" s="59"/>
      <c r="I1500" s="58"/>
      <c r="J1500" s="58"/>
      <c r="K1500" s="58"/>
      <c r="L1500" s="260"/>
      <c r="M1500" s="58"/>
      <c r="N1500" s="58"/>
      <c r="O1500" s="58"/>
      <c r="P1500" s="58"/>
      <c r="Q1500" s="58"/>
      <c r="R1500" s="58"/>
      <c r="S1500" s="58"/>
    </row>
    <row r="1501" spans="3:19" s="249" customFormat="1" ht="12.75">
      <c r="C1501" s="253"/>
      <c r="D1501" s="234"/>
      <c r="E1501" s="58"/>
      <c r="F1501" s="59"/>
      <c r="G1501" s="58"/>
      <c r="H1501" s="59"/>
      <c r="I1501" s="58"/>
      <c r="J1501" s="58"/>
      <c r="K1501" s="58"/>
      <c r="L1501" s="260"/>
      <c r="M1501" s="58"/>
      <c r="N1501" s="58"/>
      <c r="O1501" s="58"/>
      <c r="P1501" s="58"/>
      <c r="Q1501" s="58"/>
      <c r="R1501" s="58"/>
      <c r="S1501" s="58"/>
    </row>
    <row r="1502" spans="3:19" s="249" customFormat="1" ht="12.75">
      <c r="C1502" s="253"/>
      <c r="D1502" s="234"/>
      <c r="E1502" s="58"/>
      <c r="F1502" s="59"/>
      <c r="G1502" s="58"/>
      <c r="H1502" s="59"/>
      <c r="I1502" s="58"/>
      <c r="J1502" s="58"/>
      <c r="K1502" s="58"/>
      <c r="L1502" s="260"/>
      <c r="M1502" s="58"/>
      <c r="N1502" s="58"/>
      <c r="O1502" s="58"/>
      <c r="P1502" s="58"/>
      <c r="Q1502" s="58"/>
      <c r="R1502" s="58"/>
      <c r="S1502" s="58"/>
    </row>
    <row r="1503" spans="3:19" s="249" customFormat="1" ht="12.75">
      <c r="C1503" s="253"/>
      <c r="D1503" s="234"/>
      <c r="E1503" s="58"/>
      <c r="F1503" s="59"/>
      <c r="G1503" s="58"/>
      <c r="H1503" s="59"/>
      <c r="I1503" s="58"/>
      <c r="J1503" s="58"/>
      <c r="K1503" s="58"/>
      <c r="L1503" s="260"/>
      <c r="M1503" s="58"/>
      <c r="N1503" s="58"/>
      <c r="O1503" s="58"/>
      <c r="P1503" s="58"/>
      <c r="Q1503" s="58"/>
      <c r="R1503" s="58"/>
      <c r="S1503" s="58"/>
    </row>
    <row r="1504" spans="3:19" s="249" customFormat="1" ht="12.75">
      <c r="C1504" s="253"/>
      <c r="D1504" s="234"/>
      <c r="E1504" s="58"/>
      <c r="F1504" s="59"/>
      <c r="G1504" s="58"/>
      <c r="H1504" s="59"/>
      <c r="I1504" s="58"/>
      <c r="J1504" s="58"/>
      <c r="K1504" s="58"/>
      <c r="L1504" s="260"/>
      <c r="M1504" s="58"/>
      <c r="N1504" s="58"/>
      <c r="O1504" s="58"/>
      <c r="P1504" s="58"/>
      <c r="Q1504" s="58"/>
      <c r="R1504" s="58"/>
      <c r="S1504" s="58"/>
    </row>
    <row r="1505" spans="3:19" s="249" customFormat="1" ht="12.75">
      <c r="C1505" s="253"/>
      <c r="D1505" s="234"/>
      <c r="E1505" s="58"/>
      <c r="F1505" s="59"/>
      <c r="G1505" s="58"/>
      <c r="H1505" s="59"/>
      <c r="I1505" s="58"/>
      <c r="J1505" s="58"/>
      <c r="K1505" s="58"/>
      <c r="L1505" s="260"/>
      <c r="M1505" s="58"/>
      <c r="N1505" s="58"/>
      <c r="O1505" s="58"/>
      <c r="P1505" s="58"/>
      <c r="Q1505" s="58"/>
      <c r="R1505" s="58"/>
      <c r="S1505" s="58"/>
    </row>
    <row r="1506" spans="3:19" s="249" customFormat="1" ht="12.75">
      <c r="C1506" s="253"/>
      <c r="D1506" s="234"/>
      <c r="E1506" s="58"/>
      <c r="F1506" s="59"/>
      <c r="G1506" s="58"/>
      <c r="H1506" s="59"/>
      <c r="I1506" s="58"/>
      <c r="J1506" s="58"/>
      <c r="K1506" s="58"/>
      <c r="L1506" s="260"/>
      <c r="M1506" s="58"/>
      <c r="N1506" s="58"/>
      <c r="O1506" s="58"/>
      <c r="P1506" s="58"/>
      <c r="Q1506" s="58"/>
      <c r="R1506" s="58"/>
      <c r="S1506" s="58"/>
    </row>
    <row r="1507" spans="3:19" s="249" customFormat="1" ht="12.75">
      <c r="C1507" s="253"/>
      <c r="D1507" s="234"/>
      <c r="E1507" s="58"/>
      <c r="F1507" s="59"/>
      <c r="G1507" s="58"/>
      <c r="H1507" s="59"/>
      <c r="I1507" s="58"/>
      <c r="J1507" s="58"/>
      <c r="K1507" s="58"/>
      <c r="L1507" s="260"/>
      <c r="M1507" s="58"/>
      <c r="N1507" s="58"/>
      <c r="O1507" s="58"/>
      <c r="P1507" s="58"/>
      <c r="Q1507" s="58"/>
      <c r="R1507" s="58"/>
      <c r="S1507" s="58"/>
    </row>
    <row r="1508" spans="3:19" s="249" customFormat="1" ht="12.75">
      <c r="C1508" s="253"/>
      <c r="D1508" s="234"/>
      <c r="E1508" s="58"/>
      <c r="F1508" s="59"/>
      <c r="G1508" s="58"/>
      <c r="H1508" s="59"/>
      <c r="I1508" s="58"/>
      <c r="J1508" s="58"/>
      <c r="K1508" s="58"/>
      <c r="L1508" s="260"/>
      <c r="M1508" s="58"/>
      <c r="N1508" s="58"/>
      <c r="O1508" s="58"/>
      <c r="P1508" s="58"/>
      <c r="Q1508" s="58"/>
      <c r="R1508" s="58"/>
      <c r="S1508" s="58"/>
    </row>
    <row r="1509" spans="3:19" s="249" customFormat="1" ht="12.75">
      <c r="C1509" s="253"/>
      <c r="D1509" s="234"/>
      <c r="E1509" s="58"/>
      <c r="F1509" s="59"/>
      <c r="G1509" s="58"/>
      <c r="H1509" s="59"/>
      <c r="I1509" s="58"/>
      <c r="J1509" s="58"/>
      <c r="K1509" s="58"/>
      <c r="L1509" s="260"/>
      <c r="M1509" s="58"/>
      <c r="N1509" s="58"/>
      <c r="O1509" s="58"/>
      <c r="P1509" s="58"/>
      <c r="Q1509" s="58"/>
      <c r="R1509" s="58"/>
      <c r="S1509" s="58"/>
    </row>
    <row r="1510" spans="3:19" s="249" customFormat="1" ht="12.75">
      <c r="C1510" s="253"/>
      <c r="D1510" s="234"/>
      <c r="E1510" s="58"/>
      <c r="F1510" s="59"/>
      <c r="G1510" s="58"/>
      <c r="H1510" s="59"/>
      <c r="I1510" s="58"/>
      <c r="J1510" s="58"/>
      <c r="K1510" s="58"/>
      <c r="L1510" s="260"/>
      <c r="M1510" s="58"/>
      <c r="N1510" s="58"/>
      <c r="O1510" s="58"/>
      <c r="P1510" s="58"/>
      <c r="Q1510" s="58"/>
      <c r="R1510" s="58"/>
      <c r="S1510" s="58"/>
    </row>
    <row r="1511" spans="3:19" s="249" customFormat="1" ht="12.75">
      <c r="C1511" s="253"/>
      <c r="D1511" s="234"/>
      <c r="E1511" s="58"/>
      <c r="F1511" s="59"/>
      <c r="G1511" s="58"/>
      <c r="H1511" s="59"/>
      <c r="I1511" s="58"/>
      <c r="J1511" s="58"/>
      <c r="K1511" s="58"/>
      <c r="L1511" s="260"/>
      <c r="M1511" s="58"/>
      <c r="N1511" s="58"/>
      <c r="O1511" s="58"/>
      <c r="P1511" s="58"/>
      <c r="Q1511" s="58"/>
      <c r="R1511" s="58"/>
      <c r="S1511" s="58"/>
    </row>
    <row r="1512" spans="3:19" s="249" customFormat="1" ht="12.75">
      <c r="C1512" s="253"/>
      <c r="D1512" s="234"/>
      <c r="E1512" s="58"/>
      <c r="F1512" s="59"/>
      <c r="G1512" s="58"/>
      <c r="H1512" s="59"/>
      <c r="I1512" s="58"/>
      <c r="J1512" s="58"/>
      <c r="K1512" s="58"/>
      <c r="L1512" s="260"/>
      <c r="M1512" s="58"/>
      <c r="N1512" s="58"/>
      <c r="O1512" s="58"/>
      <c r="P1512" s="58"/>
      <c r="Q1512" s="58"/>
      <c r="R1512" s="58"/>
      <c r="S1512" s="58"/>
    </row>
    <row r="1513" spans="3:19" s="249" customFormat="1" ht="12.75">
      <c r="C1513" s="253"/>
      <c r="D1513" s="234"/>
      <c r="E1513" s="58"/>
      <c r="F1513" s="59"/>
      <c r="G1513" s="58"/>
      <c r="H1513" s="59"/>
      <c r="I1513" s="58"/>
      <c r="J1513" s="58"/>
      <c r="K1513" s="58"/>
      <c r="L1513" s="260"/>
      <c r="M1513" s="58"/>
      <c r="N1513" s="58"/>
      <c r="O1513" s="58"/>
      <c r="P1513" s="58"/>
      <c r="Q1513" s="58"/>
      <c r="R1513" s="58"/>
      <c r="S1513" s="58"/>
    </row>
    <row r="1514" spans="3:19" s="249" customFormat="1" ht="12.75">
      <c r="C1514" s="253"/>
      <c r="D1514" s="234"/>
      <c r="E1514" s="58"/>
      <c r="F1514" s="59"/>
      <c r="G1514" s="58"/>
      <c r="H1514" s="59"/>
      <c r="I1514" s="58"/>
      <c r="J1514" s="58"/>
      <c r="K1514" s="58"/>
      <c r="L1514" s="260"/>
      <c r="M1514" s="58"/>
      <c r="N1514" s="58"/>
      <c r="O1514" s="58"/>
      <c r="P1514" s="58"/>
      <c r="Q1514" s="58"/>
      <c r="R1514" s="58"/>
      <c r="S1514" s="58"/>
    </row>
    <row r="1515" spans="3:19" s="249" customFormat="1" ht="12.75">
      <c r="C1515" s="253"/>
      <c r="D1515" s="234"/>
      <c r="E1515" s="58"/>
      <c r="F1515" s="59"/>
      <c r="G1515" s="58"/>
      <c r="H1515" s="59"/>
      <c r="I1515" s="58"/>
      <c r="J1515" s="58"/>
      <c r="K1515" s="58"/>
      <c r="L1515" s="260"/>
      <c r="M1515" s="58"/>
      <c r="N1515" s="58"/>
      <c r="O1515" s="58"/>
      <c r="P1515" s="58"/>
      <c r="Q1515" s="58"/>
      <c r="R1515" s="58"/>
      <c r="S1515" s="58"/>
    </row>
    <row r="1516" spans="3:19" s="249" customFormat="1" ht="12.75">
      <c r="C1516" s="253"/>
      <c r="D1516" s="234"/>
      <c r="E1516" s="58"/>
      <c r="F1516" s="59"/>
      <c r="G1516" s="58"/>
      <c r="H1516" s="59"/>
      <c r="I1516" s="58"/>
      <c r="J1516" s="58"/>
      <c r="K1516" s="58"/>
      <c r="L1516" s="260"/>
      <c r="M1516" s="58"/>
      <c r="N1516" s="58"/>
      <c r="O1516" s="58"/>
      <c r="P1516" s="58"/>
      <c r="Q1516" s="58"/>
      <c r="R1516" s="58"/>
      <c r="S1516" s="58"/>
    </row>
    <row r="1517" spans="3:19" s="249" customFormat="1" ht="12.75">
      <c r="C1517" s="253"/>
      <c r="D1517" s="234"/>
      <c r="E1517" s="58"/>
      <c r="F1517" s="59"/>
      <c r="G1517" s="58"/>
      <c r="H1517" s="59"/>
      <c r="I1517" s="58"/>
      <c r="J1517" s="58"/>
      <c r="K1517" s="58"/>
      <c r="L1517" s="260"/>
      <c r="M1517" s="58"/>
      <c r="N1517" s="58"/>
      <c r="O1517" s="58"/>
      <c r="P1517" s="58"/>
      <c r="Q1517" s="58"/>
      <c r="R1517" s="58"/>
      <c r="S1517" s="58"/>
    </row>
    <row r="1518" spans="3:19" s="249" customFormat="1" ht="12.75">
      <c r="C1518" s="253"/>
      <c r="D1518" s="234"/>
      <c r="E1518" s="58"/>
      <c r="F1518" s="59"/>
      <c r="G1518" s="58"/>
      <c r="H1518" s="59"/>
      <c r="I1518" s="58"/>
      <c r="J1518" s="58"/>
      <c r="K1518" s="58"/>
      <c r="L1518" s="260"/>
      <c r="M1518" s="58"/>
      <c r="N1518" s="58"/>
      <c r="O1518" s="58"/>
      <c r="P1518" s="58"/>
      <c r="Q1518" s="58"/>
      <c r="R1518" s="58"/>
      <c r="S1518" s="58"/>
    </row>
    <row r="1519" spans="3:19" s="249" customFormat="1" ht="12.75">
      <c r="C1519" s="253"/>
      <c r="D1519" s="234"/>
      <c r="E1519" s="58"/>
      <c r="F1519" s="59"/>
      <c r="G1519" s="58"/>
      <c r="H1519" s="59"/>
      <c r="I1519" s="58"/>
      <c r="J1519" s="58"/>
      <c r="K1519" s="58"/>
      <c r="L1519" s="260"/>
      <c r="M1519" s="58"/>
      <c r="N1519" s="58"/>
      <c r="O1519" s="58"/>
      <c r="P1519" s="58"/>
      <c r="Q1519" s="58"/>
      <c r="R1519" s="58"/>
      <c r="S1519" s="58"/>
    </row>
    <row r="1520" spans="3:19" s="249" customFormat="1" ht="12.75">
      <c r="C1520" s="253"/>
      <c r="D1520" s="234"/>
      <c r="E1520" s="58"/>
      <c r="F1520" s="59"/>
      <c r="G1520" s="58"/>
      <c r="H1520" s="59"/>
      <c r="I1520" s="58"/>
      <c r="J1520" s="58"/>
      <c r="K1520" s="58"/>
      <c r="L1520" s="260"/>
      <c r="M1520" s="58"/>
      <c r="N1520" s="58"/>
      <c r="O1520" s="58"/>
      <c r="P1520" s="58"/>
      <c r="Q1520" s="58"/>
      <c r="R1520" s="58"/>
      <c r="S1520" s="58"/>
    </row>
    <row r="1521" spans="3:19" s="249" customFormat="1" ht="12.75">
      <c r="C1521" s="253"/>
      <c r="D1521" s="234"/>
      <c r="E1521" s="58"/>
      <c r="F1521" s="59"/>
      <c r="G1521" s="58"/>
      <c r="H1521" s="59"/>
      <c r="I1521" s="58"/>
      <c r="J1521" s="58"/>
      <c r="K1521" s="58"/>
      <c r="L1521" s="260"/>
      <c r="M1521" s="58"/>
      <c r="N1521" s="58"/>
      <c r="O1521" s="58"/>
      <c r="P1521" s="58"/>
      <c r="Q1521" s="58"/>
      <c r="R1521" s="58"/>
      <c r="S1521" s="58"/>
    </row>
    <row r="1522" spans="3:19" s="249" customFormat="1" ht="12.75">
      <c r="C1522" s="253"/>
      <c r="D1522" s="234"/>
      <c r="E1522" s="58"/>
      <c r="F1522" s="59"/>
      <c r="G1522" s="58"/>
      <c r="H1522" s="59"/>
      <c r="I1522" s="58"/>
      <c r="J1522" s="58"/>
      <c r="K1522" s="58"/>
      <c r="L1522" s="260"/>
      <c r="M1522" s="58"/>
      <c r="N1522" s="58"/>
      <c r="O1522" s="58"/>
      <c r="P1522" s="58"/>
      <c r="Q1522" s="58"/>
      <c r="R1522" s="58"/>
      <c r="S1522" s="58"/>
    </row>
    <row r="1523" spans="3:19" s="249" customFormat="1" ht="12.75">
      <c r="C1523" s="253"/>
      <c r="D1523" s="234"/>
      <c r="E1523" s="58"/>
      <c r="F1523" s="59"/>
      <c r="G1523" s="58"/>
      <c r="H1523" s="59"/>
      <c r="I1523" s="58"/>
      <c r="J1523" s="58"/>
      <c r="K1523" s="58"/>
      <c r="L1523" s="260"/>
      <c r="M1523" s="58"/>
      <c r="N1523" s="58"/>
      <c r="O1523" s="58"/>
      <c r="P1523" s="58"/>
      <c r="Q1523" s="58"/>
      <c r="R1523" s="58"/>
      <c r="S1523" s="58"/>
    </row>
    <row r="1524" spans="3:19" s="249" customFormat="1" ht="12.75">
      <c r="C1524" s="253"/>
      <c r="D1524" s="234"/>
      <c r="E1524" s="58"/>
      <c r="F1524" s="59"/>
      <c r="G1524" s="58"/>
      <c r="H1524" s="59"/>
      <c r="I1524" s="58"/>
      <c r="J1524" s="58"/>
      <c r="K1524" s="58"/>
      <c r="L1524" s="260"/>
      <c r="M1524" s="58"/>
      <c r="N1524" s="58"/>
      <c r="O1524" s="58"/>
      <c r="P1524" s="58"/>
      <c r="Q1524" s="58"/>
      <c r="R1524" s="58"/>
      <c r="S1524" s="58"/>
    </row>
    <row r="1525" spans="3:19" s="249" customFormat="1" ht="12.75">
      <c r="C1525" s="253"/>
      <c r="D1525" s="234"/>
      <c r="E1525" s="58"/>
      <c r="F1525" s="59"/>
      <c r="G1525" s="58"/>
      <c r="H1525" s="59"/>
      <c r="I1525" s="58"/>
      <c r="J1525" s="58"/>
      <c r="K1525" s="58"/>
      <c r="L1525" s="260"/>
      <c r="M1525" s="58"/>
      <c r="N1525" s="58"/>
      <c r="O1525" s="58"/>
      <c r="P1525" s="58"/>
      <c r="Q1525" s="58"/>
      <c r="R1525" s="58"/>
      <c r="S1525" s="58"/>
    </row>
    <row r="1526" spans="3:19" s="249" customFormat="1" ht="12.75">
      <c r="C1526" s="253"/>
      <c r="D1526" s="234"/>
      <c r="E1526" s="58"/>
      <c r="F1526" s="59"/>
      <c r="G1526" s="58"/>
      <c r="H1526" s="59"/>
      <c r="I1526" s="58"/>
      <c r="J1526" s="58"/>
      <c r="K1526" s="58"/>
      <c r="L1526" s="260"/>
      <c r="M1526" s="58"/>
      <c r="N1526" s="58"/>
      <c r="O1526" s="58"/>
      <c r="P1526" s="58"/>
      <c r="Q1526" s="58"/>
      <c r="R1526" s="58"/>
      <c r="S1526" s="58"/>
    </row>
    <row r="1527" spans="3:19" s="249" customFormat="1" ht="12.75">
      <c r="C1527" s="253"/>
      <c r="D1527" s="234"/>
      <c r="E1527" s="58"/>
      <c r="F1527" s="59"/>
      <c r="G1527" s="58"/>
      <c r="H1527" s="59"/>
      <c r="I1527" s="58"/>
      <c r="J1527" s="58"/>
      <c r="K1527" s="58"/>
      <c r="L1527" s="260"/>
      <c r="M1527" s="58"/>
      <c r="N1527" s="58"/>
      <c r="O1527" s="58"/>
      <c r="P1527" s="58"/>
      <c r="Q1527" s="58"/>
      <c r="R1527" s="58"/>
      <c r="S1527" s="58"/>
    </row>
    <row r="1528" spans="3:19" s="249" customFormat="1" ht="12.75">
      <c r="C1528" s="253"/>
      <c r="D1528" s="234"/>
      <c r="E1528" s="58"/>
      <c r="F1528" s="59"/>
      <c r="G1528" s="58"/>
      <c r="H1528" s="59"/>
      <c r="I1528" s="58"/>
      <c r="J1528" s="58"/>
      <c r="K1528" s="58"/>
      <c r="L1528" s="260"/>
      <c r="M1528" s="58"/>
      <c r="N1528" s="58"/>
      <c r="O1528" s="58"/>
      <c r="P1528" s="58"/>
      <c r="Q1528" s="58"/>
      <c r="R1528" s="58"/>
      <c r="S1528" s="58"/>
    </row>
    <row r="1529" spans="3:19" s="249" customFormat="1" ht="12.75">
      <c r="C1529" s="253"/>
      <c r="D1529" s="234"/>
      <c r="E1529" s="58"/>
      <c r="F1529" s="59"/>
      <c r="G1529" s="58"/>
      <c r="H1529" s="59"/>
      <c r="I1529" s="58"/>
      <c r="J1529" s="58"/>
      <c r="K1529" s="58"/>
      <c r="L1529" s="260"/>
      <c r="M1529" s="58"/>
      <c r="N1529" s="58"/>
      <c r="O1529" s="58"/>
      <c r="P1529" s="58"/>
      <c r="Q1529" s="58"/>
      <c r="R1529" s="58"/>
      <c r="S1529" s="58"/>
    </row>
    <row r="1530" spans="3:19" s="249" customFormat="1" ht="12.75">
      <c r="C1530" s="253"/>
      <c r="D1530" s="234"/>
      <c r="E1530" s="58"/>
      <c r="F1530" s="59"/>
      <c r="G1530" s="58"/>
      <c r="H1530" s="59"/>
      <c r="I1530" s="58"/>
      <c r="J1530" s="58"/>
      <c r="K1530" s="58"/>
      <c r="L1530" s="260"/>
      <c r="M1530" s="58"/>
      <c r="N1530" s="58"/>
      <c r="O1530" s="58"/>
      <c r="P1530" s="58"/>
      <c r="Q1530" s="58"/>
      <c r="R1530" s="58"/>
      <c r="S1530" s="58"/>
    </row>
    <row r="1531" spans="3:19" s="249" customFormat="1" ht="12.75">
      <c r="C1531" s="253"/>
      <c r="D1531" s="234"/>
      <c r="E1531" s="58"/>
      <c r="F1531" s="59"/>
      <c r="G1531" s="58"/>
      <c r="H1531" s="59"/>
      <c r="I1531" s="58"/>
      <c r="J1531" s="58"/>
      <c r="K1531" s="58"/>
      <c r="L1531" s="260"/>
      <c r="M1531" s="58"/>
      <c r="N1531" s="58"/>
      <c r="O1531" s="58"/>
      <c r="P1531" s="58"/>
      <c r="Q1531" s="58"/>
      <c r="R1531" s="58"/>
      <c r="S1531" s="58"/>
    </row>
    <row r="1532" spans="3:19" s="249" customFormat="1" ht="12.75">
      <c r="C1532" s="253"/>
      <c r="D1532" s="234"/>
      <c r="E1532" s="58"/>
      <c r="F1532" s="59"/>
      <c r="G1532" s="58"/>
      <c r="H1532" s="59"/>
      <c r="I1532" s="58"/>
      <c r="J1532" s="58"/>
      <c r="K1532" s="58"/>
      <c r="L1532" s="260"/>
      <c r="M1532" s="58"/>
      <c r="N1532" s="58"/>
      <c r="O1532" s="58"/>
      <c r="P1532" s="58"/>
      <c r="Q1532" s="58"/>
      <c r="R1532" s="58"/>
      <c r="S1532" s="58"/>
    </row>
    <row r="1533" spans="3:19" s="249" customFormat="1" ht="12.75">
      <c r="C1533" s="253"/>
      <c r="D1533" s="234"/>
      <c r="E1533" s="58"/>
      <c r="F1533" s="59"/>
      <c r="G1533" s="58"/>
      <c r="H1533" s="59"/>
      <c r="I1533" s="58"/>
      <c r="J1533" s="58"/>
      <c r="K1533" s="58"/>
      <c r="L1533" s="260"/>
      <c r="M1533" s="58"/>
      <c r="N1533" s="58"/>
      <c r="O1533" s="58"/>
      <c r="P1533" s="58"/>
      <c r="Q1533" s="58"/>
      <c r="R1533" s="58"/>
      <c r="S1533" s="58"/>
    </row>
    <row r="1534" spans="3:19" s="249" customFormat="1" ht="12.75">
      <c r="C1534" s="253"/>
      <c r="D1534" s="234"/>
      <c r="E1534" s="58"/>
      <c r="F1534" s="59"/>
      <c r="G1534" s="58"/>
      <c r="H1534" s="59"/>
      <c r="I1534" s="58"/>
      <c r="J1534" s="58"/>
      <c r="K1534" s="58"/>
      <c r="L1534" s="260"/>
      <c r="M1534" s="58"/>
      <c r="N1534" s="58"/>
      <c r="O1534" s="58"/>
      <c r="P1534" s="58"/>
      <c r="Q1534" s="58"/>
      <c r="R1534" s="58"/>
      <c r="S1534" s="58"/>
    </row>
    <row r="1535" spans="3:19" s="249" customFormat="1" ht="12.75">
      <c r="C1535" s="253"/>
      <c r="D1535" s="234"/>
      <c r="E1535" s="58"/>
      <c r="F1535" s="59"/>
      <c r="G1535" s="58"/>
      <c r="H1535" s="59"/>
      <c r="I1535" s="58"/>
      <c r="J1535" s="58"/>
      <c r="K1535" s="58"/>
      <c r="L1535" s="260"/>
      <c r="M1535" s="58"/>
      <c r="N1535" s="58"/>
      <c r="O1535" s="58"/>
      <c r="P1535" s="58"/>
      <c r="Q1535" s="58"/>
      <c r="R1535" s="58"/>
      <c r="S1535" s="58"/>
    </row>
    <row r="1536" spans="3:19" s="249" customFormat="1" ht="12.75">
      <c r="C1536" s="253"/>
      <c r="D1536" s="234"/>
      <c r="E1536" s="58"/>
      <c r="F1536" s="59"/>
      <c r="G1536" s="58"/>
      <c r="H1536" s="59"/>
      <c r="I1536" s="58"/>
      <c r="J1536" s="58"/>
      <c r="K1536" s="58"/>
      <c r="L1536" s="260"/>
      <c r="M1536" s="58"/>
      <c r="N1536" s="58"/>
      <c r="O1536" s="58"/>
      <c r="P1536" s="58"/>
      <c r="Q1536" s="58"/>
      <c r="R1536" s="58"/>
      <c r="S1536" s="58"/>
    </row>
    <row r="1537" spans="3:19" s="249" customFormat="1" ht="12.75">
      <c r="C1537" s="253"/>
      <c r="D1537" s="234"/>
      <c r="E1537" s="58"/>
      <c r="F1537" s="59"/>
      <c r="G1537" s="58"/>
      <c r="H1537" s="59"/>
      <c r="I1537" s="58"/>
      <c r="J1537" s="58"/>
      <c r="K1537" s="58"/>
      <c r="L1537" s="260"/>
      <c r="M1537" s="58"/>
      <c r="N1537" s="58"/>
      <c r="O1537" s="58"/>
      <c r="P1537" s="58"/>
      <c r="Q1537" s="58"/>
      <c r="R1537" s="58"/>
      <c r="S1537" s="58"/>
    </row>
    <row r="1538" spans="3:19" s="249" customFormat="1" ht="12.75">
      <c r="C1538" s="253"/>
      <c r="D1538" s="234"/>
      <c r="E1538" s="58"/>
      <c r="F1538" s="59"/>
      <c r="G1538" s="58"/>
      <c r="H1538" s="59"/>
      <c r="I1538" s="58"/>
      <c r="J1538" s="58"/>
      <c r="K1538" s="58"/>
      <c r="L1538" s="260"/>
      <c r="M1538" s="58"/>
      <c r="N1538" s="58"/>
      <c r="O1538" s="58"/>
      <c r="P1538" s="58"/>
      <c r="Q1538" s="58"/>
      <c r="R1538" s="58"/>
      <c r="S1538" s="58"/>
    </row>
    <row r="1539" spans="3:19" s="249" customFormat="1" ht="12.75">
      <c r="C1539" s="253"/>
      <c r="D1539" s="234"/>
      <c r="E1539" s="58"/>
      <c r="F1539" s="59"/>
      <c r="G1539" s="58"/>
      <c r="H1539" s="59"/>
      <c r="I1539" s="58"/>
      <c r="J1539" s="58"/>
      <c r="K1539" s="58"/>
      <c r="L1539" s="260"/>
      <c r="M1539" s="58"/>
      <c r="N1539" s="58"/>
      <c r="O1539" s="58"/>
      <c r="P1539" s="58"/>
      <c r="Q1539" s="58"/>
      <c r="R1539" s="58"/>
      <c r="S1539" s="58"/>
    </row>
    <row r="1540" spans="3:19" s="249" customFormat="1" ht="12.75">
      <c r="C1540" s="253"/>
      <c r="D1540" s="234"/>
      <c r="E1540" s="58"/>
      <c r="F1540" s="59"/>
      <c r="G1540" s="58"/>
      <c r="H1540" s="59"/>
      <c r="I1540" s="58"/>
      <c r="J1540" s="58"/>
      <c r="K1540" s="58"/>
      <c r="L1540" s="260"/>
      <c r="M1540" s="58"/>
      <c r="N1540" s="58"/>
      <c r="O1540" s="58"/>
      <c r="P1540" s="58"/>
      <c r="Q1540" s="58"/>
      <c r="R1540" s="58"/>
      <c r="S1540" s="58"/>
    </row>
    <row r="1541" spans="3:19" s="249" customFormat="1" ht="12.75">
      <c r="C1541" s="253"/>
      <c r="D1541" s="234"/>
      <c r="E1541" s="58"/>
      <c r="F1541" s="59"/>
      <c r="G1541" s="58"/>
      <c r="H1541" s="59"/>
      <c r="I1541" s="58"/>
      <c r="J1541" s="58"/>
      <c r="K1541" s="58"/>
      <c r="L1541" s="260"/>
      <c r="M1541" s="58"/>
      <c r="N1541" s="58"/>
      <c r="O1541" s="58"/>
      <c r="P1541" s="58"/>
      <c r="Q1541" s="58"/>
      <c r="R1541" s="58"/>
      <c r="S1541" s="58"/>
    </row>
    <row r="1542" spans="3:19" s="249" customFormat="1" ht="12.75">
      <c r="C1542" s="253"/>
      <c r="D1542" s="234"/>
      <c r="E1542" s="58"/>
      <c r="F1542" s="59"/>
      <c r="G1542" s="58"/>
      <c r="H1542" s="59"/>
      <c r="I1542" s="58"/>
      <c r="J1542" s="58"/>
      <c r="K1542" s="58"/>
      <c r="L1542" s="260"/>
      <c r="M1542" s="58"/>
      <c r="N1542" s="58"/>
      <c r="O1542" s="58"/>
      <c r="P1542" s="58"/>
      <c r="Q1542" s="58"/>
      <c r="R1542" s="58"/>
      <c r="S1542" s="58"/>
    </row>
    <row r="1543" spans="3:19" s="249" customFormat="1" ht="12.75">
      <c r="C1543" s="253"/>
      <c r="D1543" s="234"/>
      <c r="E1543" s="58"/>
      <c r="F1543" s="59"/>
      <c r="G1543" s="58"/>
      <c r="H1543" s="59"/>
      <c r="I1543" s="58"/>
      <c r="J1543" s="58"/>
      <c r="K1543" s="58"/>
      <c r="L1543" s="260"/>
      <c r="M1543" s="58"/>
      <c r="N1543" s="58"/>
      <c r="O1543" s="58"/>
      <c r="P1543" s="58"/>
      <c r="Q1543" s="58"/>
      <c r="R1543" s="58"/>
      <c r="S1543" s="58"/>
    </row>
    <row r="1544" spans="3:19" s="249" customFormat="1" ht="12.75">
      <c r="C1544" s="253"/>
      <c r="D1544" s="234"/>
      <c r="E1544" s="58"/>
      <c r="F1544" s="59"/>
      <c r="G1544" s="58"/>
      <c r="H1544" s="59"/>
      <c r="I1544" s="58"/>
      <c r="J1544" s="58"/>
      <c r="K1544" s="58"/>
      <c r="L1544" s="260"/>
      <c r="M1544" s="58"/>
      <c r="N1544" s="58"/>
      <c r="O1544" s="58"/>
      <c r="P1544" s="58"/>
      <c r="Q1544" s="58"/>
      <c r="R1544" s="58"/>
      <c r="S1544" s="58"/>
    </row>
    <row r="1545" spans="3:19" s="249" customFormat="1" ht="12.75">
      <c r="C1545" s="253"/>
      <c r="D1545" s="234"/>
      <c r="E1545" s="58"/>
      <c r="F1545" s="59"/>
      <c r="G1545" s="58"/>
      <c r="H1545" s="59"/>
      <c r="I1545" s="58"/>
      <c r="J1545" s="58"/>
      <c r="K1545" s="58"/>
      <c r="L1545" s="260"/>
      <c r="M1545" s="58"/>
      <c r="N1545" s="58"/>
      <c r="O1545" s="58"/>
      <c r="P1545" s="58"/>
      <c r="Q1545" s="58"/>
      <c r="R1545" s="58"/>
      <c r="S1545" s="58"/>
    </row>
    <row r="1546" spans="3:19" s="249" customFormat="1" ht="12.75">
      <c r="C1546" s="253"/>
      <c r="D1546" s="234"/>
      <c r="E1546" s="58"/>
      <c r="F1546" s="59"/>
      <c r="G1546" s="58"/>
      <c r="H1546" s="59"/>
      <c r="I1546" s="58"/>
      <c r="J1546" s="58"/>
      <c r="K1546" s="58"/>
      <c r="L1546" s="260"/>
      <c r="M1546" s="58"/>
      <c r="N1546" s="58"/>
      <c r="O1546" s="58"/>
      <c r="P1546" s="58"/>
      <c r="Q1546" s="58"/>
      <c r="R1546" s="58"/>
      <c r="S1546" s="58"/>
    </row>
    <row r="1547" spans="3:19" s="249" customFormat="1" ht="12.75">
      <c r="C1547" s="253"/>
      <c r="D1547" s="234"/>
      <c r="E1547" s="58"/>
      <c r="F1547" s="59"/>
      <c r="G1547" s="58"/>
      <c r="H1547" s="59"/>
      <c r="I1547" s="58"/>
      <c r="J1547" s="58"/>
      <c r="K1547" s="58"/>
      <c r="L1547" s="260"/>
      <c r="M1547" s="58"/>
      <c r="N1547" s="58"/>
      <c r="O1547" s="58"/>
      <c r="P1547" s="58"/>
      <c r="Q1547" s="58"/>
      <c r="R1547" s="58"/>
      <c r="S1547" s="58"/>
    </row>
    <row r="1548" spans="3:19" s="249" customFormat="1" ht="12.75">
      <c r="C1548" s="253"/>
      <c r="D1548" s="234"/>
      <c r="E1548" s="58"/>
      <c r="F1548" s="59"/>
      <c r="G1548" s="58"/>
      <c r="H1548" s="59"/>
      <c r="I1548" s="58"/>
      <c r="J1548" s="58"/>
      <c r="K1548" s="58"/>
      <c r="L1548" s="260"/>
      <c r="M1548" s="58"/>
      <c r="N1548" s="58"/>
      <c r="O1548" s="58"/>
      <c r="P1548" s="58"/>
      <c r="Q1548" s="58"/>
      <c r="R1548" s="58"/>
      <c r="S1548" s="58"/>
    </row>
    <row r="1549" spans="3:19" s="249" customFormat="1" ht="12.75">
      <c r="C1549" s="253"/>
      <c r="D1549" s="234"/>
      <c r="E1549" s="58"/>
      <c r="F1549" s="59"/>
      <c r="G1549" s="58"/>
      <c r="H1549" s="59"/>
      <c r="I1549" s="58"/>
      <c r="J1549" s="58"/>
      <c r="K1549" s="58"/>
      <c r="L1549" s="260"/>
      <c r="M1549" s="58"/>
      <c r="N1549" s="58"/>
      <c r="O1549" s="58"/>
      <c r="P1549" s="58"/>
      <c r="Q1549" s="58"/>
      <c r="R1549" s="58"/>
      <c r="S1549" s="58"/>
    </row>
    <row r="1550" spans="3:19" s="249" customFormat="1" ht="12.75">
      <c r="C1550" s="253"/>
      <c r="D1550" s="234"/>
      <c r="E1550" s="58"/>
      <c r="F1550" s="59"/>
      <c r="G1550" s="58"/>
      <c r="H1550" s="59"/>
      <c r="I1550" s="58"/>
      <c r="J1550" s="58"/>
      <c r="K1550" s="58"/>
      <c r="L1550" s="260"/>
      <c r="M1550" s="58"/>
      <c r="N1550" s="58"/>
      <c r="O1550" s="58"/>
      <c r="P1550" s="58"/>
      <c r="Q1550" s="58"/>
      <c r="R1550" s="58"/>
      <c r="S1550" s="58"/>
    </row>
    <row r="1551" spans="3:19" s="249" customFormat="1" ht="12.75">
      <c r="C1551" s="253"/>
      <c r="D1551" s="234"/>
      <c r="E1551" s="58"/>
      <c r="F1551" s="59"/>
      <c r="G1551" s="58"/>
      <c r="H1551" s="59"/>
      <c r="I1551" s="58"/>
      <c r="J1551" s="58"/>
      <c r="K1551" s="58"/>
      <c r="L1551" s="260"/>
      <c r="M1551" s="58"/>
      <c r="N1551" s="58"/>
      <c r="O1551" s="58"/>
      <c r="P1551" s="58"/>
      <c r="Q1551" s="58"/>
      <c r="R1551" s="58"/>
      <c r="S1551" s="58"/>
    </row>
    <row r="1552" spans="3:19" s="249" customFormat="1" ht="12.75">
      <c r="C1552" s="253"/>
      <c r="D1552" s="234"/>
      <c r="E1552" s="58"/>
      <c r="F1552" s="59"/>
      <c r="G1552" s="58"/>
      <c r="H1552" s="59"/>
      <c r="I1552" s="58"/>
      <c r="J1552" s="58"/>
      <c r="K1552" s="58"/>
      <c r="L1552" s="260"/>
      <c r="M1552" s="58"/>
      <c r="N1552" s="58"/>
      <c r="O1552" s="58"/>
      <c r="P1552" s="58"/>
      <c r="Q1552" s="58"/>
      <c r="R1552" s="58"/>
      <c r="S1552" s="58"/>
    </row>
    <row r="1553" spans="3:19" s="249" customFormat="1" ht="12.75">
      <c r="C1553" s="253"/>
      <c r="D1553" s="234"/>
      <c r="E1553" s="58"/>
      <c r="F1553" s="59"/>
      <c r="G1553" s="58"/>
      <c r="H1553" s="59"/>
      <c r="I1553" s="58"/>
      <c r="J1553" s="58"/>
      <c r="K1553" s="58"/>
      <c r="L1553" s="260"/>
      <c r="M1553" s="58"/>
      <c r="N1553" s="58"/>
      <c r="O1553" s="58"/>
      <c r="P1553" s="58"/>
      <c r="Q1553" s="58"/>
      <c r="R1553" s="58"/>
      <c r="S1553" s="58"/>
    </row>
    <row r="1554" spans="3:19" s="249" customFormat="1" ht="12.75">
      <c r="C1554" s="253"/>
      <c r="D1554" s="234"/>
      <c r="E1554" s="58"/>
      <c r="F1554" s="59"/>
      <c r="G1554" s="58"/>
      <c r="H1554" s="59"/>
      <c r="I1554" s="58"/>
      <c r="J1554" s="58"/>
      <c r="K1554" s="58"/>
      <c r="L1554" s="260"/>
      <c r="M1554" s="58"/>
      <c r="N1554" s="58"/>
      <c r="O1554" s="58"/>
      <c r="P1554" s="58"/>
      <c r="Q1554" s="58"/>
      <c r="R1554" s="58"/>
      <c r="S1554" s="58"/>
    </row>
    <row r="1555" spans="3:19" s="249" customFormat="1" ht="12.75">
      <c r="C1555" s="253"/>
      <c r="D1555" s="234"/>
      <c r="E1555" s="58"/>
      <c r="F1555" s="59"/>
      <c r="G1555" s="58"/>
      <c r="H1555" s="59"/>
      <c r="I1555" s="58"/>
      <c r="J1555" s="58"/>
      <c r="K1555" s="58"/>
      <c r="L1555" s="260"/>
      <c r="M1555" s="58"/>
      <c r="N1555" s="58"/>
      <c r="O1555" s="58"/>
      <c r="P1555" s="58"/>
      <c r="Q1555" s="58"/>
      <c r="R1555" s="58"/>
      <c r="S1555" s="58"/>
    </row>
    <row r="1556" spans="3:19" s="249" customFormat="1" ht="12.75">
      <c r="C1556" s="253"/>
      <c r="D1556" s="234"/>
      <c r="E1556" s="58"/>
      <c r="F1556" s="59"/>
      <c r="G1556" s="58"/>
      <c r="H1556" s="59"/>
      <c r="I1556" s="58"/>
      <c r="J1556" s="58"/>
      <c r="K1556" s="58"/>
      <c r="L1556" s="260"/>
      <c r="M1556" s="58"/>
      <c r="N1556" s="58"/>
      <c r="O1556" s="58"/>
      <c r="P1556" s="58"/>
      <c r="Q1556" s="58"/>
      <c r="R1556" s="58"/>
      <c r="S1556" s="58"/>
    </row>
    <row r="1557" spans="3:19" s="249" customFormat="1" ht="12.75">
      <c r="C1557" s="253"/>
      <c r="D1557" s="234"/>
      <c r="E1557" s="58"/>
      <c r="F1557" s="59"/>
      <c r="G1557" s="58"/>
      <c r="H1557" s="59"/>
      <c r="I1557" s="58"/>
      <c r="J1557" s="58"/>
      <c r="K1557" s="58"/>
      <c r="L1557" s="260"/>
      <c r="M1557" s="58"/>
      <c r="N1557" s="58"/>
      <c r="O1557" s="58"/>
      <c r="P1557" s="58"/>
      <c r="Q1557" s="58"/>
      <c r="R1557" s="58"/>
      <c r="S1557" s="58"/>
    </row>
    <row r="1558" spans="3:19" s="249" customFormat="1" ht="12.75">
      <c r="C1558" s="253"/>
      <c r="D1558" s="234"/>
      <c r="E1558" s="58"/>
      <c r="F1558" s="59"/>
      <c r="G1558" s="58"/>
      <c r="H1558" s="59"/>
      <c r="I1558" s="58"/>
      <c r="J1558" s="58"/>
      <c r="K1558" s="58"/>
      <c r="L1558" s="260"/>
      <c r="M1558" s="58"/>
      <c r="N1558" s="58"/>
      <c r="O1558" s="58"/>
      <c r="P1558" s="58"/>
      <c r="Q1558" s="58"/>
      <c r="R1558" s="58"/>
      <c r="S1558" s="58"/>
    </row>
    <row r="1559" spans="3:19" s="249" customFormat="1" ht="12.75">
      <c r="C1559" s="253"/>
      <c r="D1559" s="234"/>
      <c r="E1559" s="58"/>
      <c r="F1559" s="59"/>
      <c r="G1559" s="58"/>
      <c r="H1559" s="59"/>
      <c r="I1559" s="58"/>
      <c r="J1559" s="58"/>
      <c r="K1559" s="58"/>
      <c r="L1559" s="260"/>
      <c r="M1559" s="58"/>
      <c r="N1559" s="58"/>
      <c r="O1559" s="58"/>
      <c r="P1559" s="58"/>
      <c r="Q1559" s="58"/>
      <c r="R1559" s="58"/>
      <c r="S1559" s="58"/>
    </row>
    <row r="1560" spans="3:19" s="249" customFormat="1" ht="12.75">
      <c r="C1560" s="253"/>
      <c r="D1560" s="234"/>
      <c r="E1560" s="58"/>
      <c r="F1560" s="59"/>
      <c r="G1560" s="58"/>
      <c r="H1560" s="59"/>
      <c r="I1560" s="58"/>
      <c r="J1560" s="58"/>
      <c r="K1560" s="58"/>
      <c r="L1560" s="260"/>
      <c r="M1560" s="58"/>
      <c r="N1560" s="58"/>
      <c r="O1560" s="58"/>
      <c r="P1560" s="58"/>
      <c r="Q1560" s="58"/>
      <c r="R1560" s="58"/>
      <c r="S1560" s="58"/>
    </row>
    <row r="1561" spans="3:19" s="249" customFormat="1" ht="12.75">
      <c r="C1561" s="253"/>
      <c r="D1561" s="234"/>
      <c r="E1561" s="58"/>
      <c r="F1561" s="59"/>
      <c r="G1561" s="58"/>
      <c r="H1561" s="59"/>
      <c r="I1561" s="58"/>
      <c r="J1561" s="58"/>
      <c r="K1561" s="58"/>
      <c r="L1561" s="260"/>
      <c r="M1561" s="58"/>
      <c r="N1561" s="58"/>
      <c r="O1561" s="58"/>
      <c r="P1561" s="58"/>
      <c r="Q1561" s="58"/>
      <c r="R1561" s="58"/>
      <c r="S1561" s="58"/>
    </row>
    <row r="1562" spans="3:19" s="249" customFormat="1" ht="12.75">
      <c r="C1562" s="253"/>
      <c r="D1562" s="234"/>
      <c r="E1562" s="58"/>
      <c r="F1562" s="59"/>
      <c r="G1562" s="58"/>
      <c r="H1562" s="59"/>
      <c r="I1562" s="58"/>
      <c r="J1562" s="58"/>
      <c r="K1562" s="58"/>
      <c r="L1562" s="260"/>
      <c r="M1562" s="58"/>
      <c r="N1562" s="58"/>
      <c r="O1562" s="58"/>
      <c r="P1562" s="58"/>
      <c r="Q1562" s="58"/>
      <c r="R1562" s="58"/>
      <c r="S1562" s="58"/>
    </row>
    <row r="1563" spans="3:19" s="249" customFormat="1" ht="12.75">
      <c r="C1563" s="253"/>
      <c r="D1563" s="234"/>
      <c r="E1563" s="58"/>
      <c r="F1563" s="59"/>
      <c r="G1563" s="58"/>
      <c r="H1563" s="59"/>
      <c r="I1563" s="58"/>
      <c r="J1563" s="58"/>
      <c r="K1563" s="58"/>
      <c r="L1563" s="260"/>
      <c r="M1563" s="58"/>
      <c r="N1563" s="58"/>
      <c r="O1563" s="58"/>
      <c r="P1563" s="58"/>
      <c r="Q1563" s="58"/>
      <c r="R1563" s="58"/>
      <c r="S1563" s="58"/>
    </row>
    <row r="1564" spans="3:19" s="249" customFormat="1" ht="12.75">
      <c r="C1564" s="253"/>
      <c r="D1564" s="234"/>
      <c r="E1564" s="58"/>
      <c r="F1564" s="59"/>
      <c r="G1564" s="58"/>
      <c r="H1564" s="59"/>
      <c r="I1564" s="58"/>
      <c r="J1564" s="58"/>
      <c r="K1564" s="58"/>
      <c r="L1564" s="260"/>
      <c r="M1564" s="58"/>
      <c r="N1564" s="58"/>
      <c r="O1564" s="58"/>
      <c r="P1564" s="58"/>
      <c r="Q1564" s="58"/>
      <c r="R1564" s="58"/>
      <c r="S1564" s="58"/>
    </row>
    <row r="1565" spans="3:19" s="249" customFormat="1" ht="12.75">
      <c r="C1565" s="253"/>
      <c r="D1565" s="234"/>
      <c r="E1565" s="58"/>
      <c r="F1565" s="59"/>
      <c r="G1565" s="58"/>
      <c r="H1565" s="59"/>
      <c r="I1565" s="58"/>
      <c r="J1565" s="58"/>
      <c r="K1565" s="58"/>
      <c r="L1565" s="260"/>
      <c r="M1565" s="58"/>
      <c r="N1565" s="58"/>
      <c r="O1565" s="58"/>
      <c r="P1565" s="58"/>
      <c r="Q1565" s="58"/>
      <c r="R1565" s="58"/>
      <c r="S1565" s="58"/>
    </row>
    <row r="1566" spans="3:19" s="249" customFormat="1" ht="12.75">
      <c r="C1566" s="253"/>
      <c r="D1566" s="234"/>
      <c r="E1566" s="58"/>
      <c r="F1566" s="59"/>
      <c r="G1566" s="58"/>
      <c r="H1566" s="59"/>
      <c r="I1566" s="58"/>
      <c r="J1566" s="58"/>
      <c r="K1566" s="58"/>
      <c r="L1566" s="260"/>
      <c r="M1566" s="58"/>
      <c r="N1566" s="58"/>
      <c r="O1566" s="58"/>
      <c r="P1566" s="58"/>
      <c r="Q1566" s="58"/>
      <c r="R1566" s="58"/>
      <c r="S1566" s="58"/>
    </row>
    <row r="1567" spans="3:19" s="249" customFormat="1" ht="12.75">
      <c r="C1567" s="253"/>
      <c r="D1567" s="234"/>
      <c r="E1567" s="58"/>
      <c r="F1567" s="59"/>
      <c r="G1567" s="58"/>
      <c r="H1567" s="59"/>
      <c r="I1567" s="58"/>
      <c r="J1567" s="58"/>
      <c r="K1567" s="58"/>
      <c r="L1567" s="260"/>
      <c r="M1567" s="58"/>
      <c r="N1567" s="58"/>
      <c r="O1567" s="58"/>
      <c r="P1567" s="58"/>
      <c r="Q1567" s="58"/>
      <c r="R1567" s="58"/>
      <c r="S1567" s="58"/>
    </row>
    <row r="1568" spans="3:19" s="249" customFormat="1" ht="12.75">
      <c r="C1568" s="253"/>
      <c r="D1568" s="234"/>
      <c r="E1568" s="58"/>
      <c r="F1568" s="59"/>
      <c r="G1568" s="58"/>
      <c r="H1568" s="59"/>
      <c r="I1568" s="58"/>
      <c r="J1568" s="58"/>
      <c r="K1568" s="58"/>
      <c r="L1568" s="260"/>
      <c r="M1568" s="58"/>
      <c r="N1568" s="58"/>
      <c r="O1568" s="58"/>
      <c r="P1568" s="58"/>
      <c r="Q1568" s="58"/>
      <c r="R1568" s="58"/>
      <c r="S1568" s="58"/>
    </row>
    <row r="1569" spans="3:19" s="249" customFormat="1" ht="12.75">
      <c r="C1569" s="253"/>
      <c r="D1569" s="234"/>
      <c r="E1569" s="58"/>
      <c r="F1569" s="59"/>
      <c r="G1569" s="58"/>
      <c r="H1569" s="59"/>
      <c r="I1569" s="58"/>
      <c r="J1569" s="58"/>
      <c r="K1569" s="58"/>
      <c r="L1569" s="260"/>
      <c r="M1569" s="58"/>
      <c r="N1569" s="58"/>
      <c r="O1569" s="58"/>
      <c r="P1569" s="58"/>
      <c r="Q1569" s="58"/>
      <c r="R1569" s="58"/>
      <c r="S1569" s="58"/>
    </row>
    <row r="1570" spans="3:19" s="249" customFormat="1" ht="12.75">
      <c r="C1570" s="253"/>
      <c r="D1570" s="234"/>
      <c r="E1570" s="58"/>
      <c r="F1570" s="59"/>
      <c r="G1570" s="58"/>
      <c r="H1570" s="59"/>
      <c r="I1570" s="58"/>
      <c r="J1570" s="58"/>
      <c r="K1570" s="58"/>
      <c r="L1570" s="260"/>
      <c r="M1570" s="58"/>
      <c r="N1570" s="58"/>
      <c r="O1570" s="58"/>
      <c r="P1570" s="58"/>
      <c r="Q1570" s="58"/>
      <c r="R1570" s="58"/>
      <c r="S1570" s="58"/>
    </row>
    <row r="1571" spans="3:19" s="249" customFormat="1" ht="12.75">
      <c r="C1571" s="253"/>
      <c r="D1571" s="234"/>
      <c r="E1571" s="58"/>
      <c r="F1571" s="59"/>
      <c r="G1571" s="58"/>
      <c r="H1571" s="59"/>
      <c r="I1571" s="58"/>
      <c r="J1571" s="58"/>
      <c r="K1571" s="58"/>
      <c r="L1571" s="260"/>
      <c r="M1571" s="58"/>
      <c r="N1571" s="58"/>
      <c r="O1571" s="58"/>
      <c r="P1571" s="58"/>
      <c r="Q1571" s="58"/>
      <c r="R1571" s="58"/>
      <c r="S1571" s="58"/>
    </row>
    <row r="1572" spans="3:19" s="249" customFormat="1" ht="12.75">
      <c r="C1572" s="253"/>
      <c r="D1572" s="234"/>
      <c r="E1572" s="58"/>
      <c r="F1572" s="59"/>
      <c r="G1572" s="58"/>
      <c r="H1572" s="59"/>
      <c r="I1572" s="58"/>
      <c r="J1572" s="58"/>
      <c r="K1572" s="58"/>
      <c r="L1572" s="260"/>
      <c r="M1572" s="58"/>
      <c r="N1572" s="58"/>
      <c r="O1572" s="58"/>
      <c r="P1572" s="58"/>
      <c r="Q1572" s="58"/>
      <c r="R1572" s="58"/>
      <c r="S1572" s="58"/>
    </row>
    <row r="1573" spans="3:19" s="249" customFormat="1" ht="12.75">
      <c r="C1573" s="253"/>
      <c r="D1573" s="234"/>
      <c r="E1573" s="58"/>
      <c r="F1573" s="59"/>
      <c r="G1573" s="58"/>
      <c r="H1573" s="59"/>
      <c r="I1573" s="58"/>
      <c r="J1573" s="58"/>
      <c r="K1573" s="58"/>
      <c r="L1573" s="260"/>
      <c r="M1573" s="58"/>
      <c r="N1573" s="58"/>
      <c r="O1573" s="58"/>
      <c r="P1573" s="58"/>
      <c r="Q1573" s="58"/>
      <c r="R1573" s="58"/>
      <c r="S1573" s="58"/>
    </row>
    <row r="1574" spans="3:19" s="249" customFormat="1" ht="12.75">
      <c r="C1574" s="253"/>
      <c r="D1574" s="234"/>
      <c r="E1574" s="58"/>
      <c r="F1574" s="59"/>
      <c r="G1574" s="58"/>
      <c r="H1574" s="59"/>
      <c r="I1574" s="58"/>
      <c r="J1574" s="58"/>
      <c r="K1574" s="58"/>
      <c r="L1574" s="260"/>
      <c r="M1574" s="58"/>
      <c r="N1574" s="58"/>
      <c r="O1574" s="58"/>
      <c r="P1574" s="58"/>
      <c r="Q1574" s="58"/>
      <c r="R1574" s="58"/>
      <c r="S1574" s="58"/>
    </row>
    <row r="1575" spans="3:19" s="249" customFormat="1" ht="12.75">
      <c r="C1575" s="253"/>
      <c r="D1575" s="234"/>
      <c r="E1575" s="58"/>
      <c r="F1575" s="59"/>
      <c r="G1575" s="58"/>
      <c r="H1575" s="59"/>
      <c r="I1575" s="58"/>
      <c r="J1575" s="58"/>
      <c r="K1575" s="58"/>
      <c r="L1575" s="260"/>
      <c r="M1575" s="58"/>
      <c r="N1575" s="58"/>
      <c r="O1575" s="58"/>
      <c r="P1575" s="58"/>
      <c r="Q1575" s="58"/>
      <c r="R1575" s="58"/>
      <c r="S1575" s="58"/>
    </row>
    <row r="1576" spans="3:19" s="249" customFormat="1" ht="12.75">
      <c r="C1576" s="253"/>
      <c r="D1576" s="234"/>
      <c r="E1576" s="58"/>
      <c r="F1576" s="59"/>
      <c r="G1576" s="58"/>
      <c r="H1576" s="59"/>
      <c r="I1576" s="58"/>
      <c r="J1576" s="58"/>
      <c r="K1576" s="58"/>
      <c r="L1576" s="260"/>
      <c r="M1576" s="58"/>
      <c r="N1576" s="58"/>
      <c r="O1576" s="58"/>
      <c r="P1576" s="58"/>
      <c r="Q1576" s="58"/>
      <c r="R1576" s="58"/>
      <c r="S1576" s="58"/>
    </row>
    <row r="1577" spans="3:19" s="249" customFormat="1" ht="12.75">
      <c r="C1577" s="253"/>
      <c r="D1577" s="234"/>
      <c r="E1577" s="58"/>
      <c r="F1577" s="59"/>
      <c r="G1577" s="58"/>
      <c r="H1577" s="59"/>
      <c r="I1577" s="58"/>
      <c r="J1577" s="58"/>
      <c r="K1577" s="58"/>
      <c r="L1577" s="260"/>
      <c r="M1577" s="58"/>
      <c r="N1577" s="58"/>
      <c r="O1577" s="58"/>
      <c r="P1577" s="58"/>
      <c r="Q1577" s="58"/>
      <c r="R1577" s="58"/>
      <c r="S1577" s="58"/>
    </row>
    <row r="1578" spans="3:19" s="249" customFormat="1" ht="12.75">
      <c r="C1578" s="253"/>
      <c r="D1578" s="234"/>
      <c r="E1578" s="58"/>
      <c r="F1578" s="59"/>
      <c r="G1578" s="58"/>
      <c r="H1578" s="59"/>
      <c r="I1578" s="58"/>
      <c r="J1578" s="58"/>
      <c r="K1578" s="58"/>
      <c r="L1578" s="260"/>
      <c r="M1578" s="58"/>
      <c r="N1578" s="58"/>
      <c r="O1578" s="58"/>
      <c r="P1578" s="58"/>
      <c r="Q1578" s="58"/>
      <c r="R1578" s="58"/>
      <c r="S1578" s="58"/>
    </row>
    <row r="1579" spans="3:19" s="249" customFormat="1" ht="12.75">
      <c r="C1579" s="253"/>
      <c r="D1579" s="234"/>
      <c r="E1579" s="58"/>
      <c r="F1579" s="59"/>
      <c r="G1579" s="58"/>
      <c r="H1579" s="59"/>
      <c r="I1579" s="58"/>
      <c r="J1579" s="58"/>
      <c r="K1579" s="58"/>
      <c r="L1579" s="260"/>
      <c r="M1579" s="58"/>
      <c r="N1579" s="58"/>
      <c r="O1579" s="58"/>
      <c r="P1579" s="58"/>
      <c r="Q1579" s="58"/>
      <c r="R1579" s="58"/>
      <c r="S1579" s="58"/>
    </row>
    <row r="1580" spans="3:19" s="249" customFormat="1" ht="12.75">
      <c r="C1580" s="253"/>
      <c r="D1580" s="234"/>
      <c r="E1580" s="58"/>
      <c r="F1580" s="59"/>
      <c r="G1580" s="58"/>
      <c r="H1580" s="59"/>
      <c r="I1580" s="58"/>
      <c r="J1580" s="58"/>
      <c r="K1580" s="58"/>
      <c r="L1580" s="260"/>
      <c r="M1580" s="58"/>
      <c r="N1580" s="58"/>
      <c r="O1580" s="58"/>
      <c r="P1580" s="58"/>
      <c r="Q1580" s="58"/>
      <c r="R1580" s="58"/>
      <c r="S1580" s="58"/>
    </row>
    <row r="1581" spans="3:19" s="249" customFormat="1" ht="12.75">
      <c r="C1581" s="253"/>
      <c r="D1581" s="234"/>
      <c r="E1581" s="58"/>
      <c r="F1581" s="59"/>
      <c r="G1581" s="58"/>
      <c r="H1581" s="59"/>
      <c r="I1581" s="58"/>
      <c r="J1581" s="58"/>
      <c r="K1581" s="58"/>
      <c r="L1581" s="260"/>
      <c r="M1581" s="58"/>
      <c r="N1581" s="58"/>
      <c r="O1581" s="58"/>
      <c r="P1581" s="58"/>
      <c r="Q1581" s="58"/>
      <c r="R1581" s="58"/>
      <c r="S1581" s="58"/>
    </row>
    <row r="1582" spans="3:19" s="249" customFormat="1" ht="12.75">
      <c r="C1582" s="253"/>
      <c r="D1582" s="234"/>
      <c r="E1582" s="58"/>
      <c r="F1582" s="59"/>
      <c r="G1582" s="58"/>
      <c r="H1582" s="59"/>
      <c r="I1582" s="58"/>
      <c r="J1582" s="58"/>
      <c r="K1582" s="58"/>
      <c r="L1582" s="260"/>
      <c r="M1582" s="58"/>
      <c r="N1582" s="58"/>
      <c r="O1582" s="58"/>
      <c r="P1582" s="58"/>
      <c r="Q1582" s="58"/>
      <c r="R1582" s="58"/>
      <c r="S1582" s="58"/>
    </row>
    <row r="1583" spans="3:19" s="249" customFormat="1" ht="12.75">
      <c r="C1583" s="253"/>
      <c r="D1583" s="234"/>
      <c r="E1583" s="58"/>
      <c r="F1583" s="59"/>
      <c r="G1583" s="58"/>
      <c r="H1583" s="59"/>
      <c r="I1583" s="58"/>
      <c r="J1583" s="58"/>
      <c r="K1583" s="58"/>
      <c r="L1583" s="260"/>
      <c r="M1583" s="58"/>
      <c r="N1583" s="58"/>
      <c r="O1583" s="58"/>
      <c r="P1583" s="58"/>
      <c r="Q1583" s="58"/>
      <c r="R1583" s="58"/>
      <c r="S1583" s="58"/>
    </row>
    <row r="1584" spans="3:19" s="249" customFormat="1" ht="12.75">
      <c r="C1584" s="253"/>
      <c r="D1584" s="234"/>
      <c r="E1584" s="58"/>
      <c r="F1584" s="59"/>
      <c r="G1584" s="58"/>
      <c r="H1584" s="59"/>
      <c r="I1584" s="58"/>
      <c r="J1584" s="58"/>
      <c r="K1584" s="58"/>
      <c r="L1584" s="260"/>
      <c r="M1584" s="58"/>
      <c r="N1584" s="58"/>
      <c r="O1584" s="58"/>
      <c r="P1584" s="58"/>
      <c r="Q1584" s="58"/>
      <c r="R1584" s="58"/>
      <c r="S1584" s="58"/>
    </row>
    <row r="1585" spans="3:19" s="249" customFormat="1" ht="12.75">
      <c r="C1585" s="253"/>
      <c r="D1585" s="234"/>
      <c r="E1585" s="58"/>
      <c r="F1585" s="59"/>
      <c r="G1585" s="58"/>
      <c r="H1585" s="59"/>
      <c r="I1585" s="58"/>
      <c r="J1585" s="58"/>
      <c r="K1585" s="58"/>
      <c r="L1585" s="260"/>
      <c r="M1585" s="58"/>
      <c r="N1585" s="58"/>
      <c r="O1585" s="58"/>
      <c r="P1585" s="58"/>
      <c r="Q1585" s="58"/>
      <c r="R1585" s="58"/>
      <c r="S1585" s="58"/>
    </row>
    <row r="1586" spans="3:19" s="249" customFormat="1" ht="12.75">
      <c r="C1586" s="253"/>
      <c r="D1586" s="234"/>
      <c r="E1586" s="58"/>
      <c r="F1586" s="59"/>
      <c r="G1586" s="58"/>
      <c r="H1586" s="59"/>
      <c r="I1586" s="58"/>
      <c r="J1586" s="58"/>
      <c r="K1586" s="58"/>
      <c r="L1586" s="260"/>
      <c r="M1586" s="58"/>
      <c r="N1586" s="58"/>
      <c r="O1586" s="58"/>
      <c r="P1586" s="58"/>
      <c r="Q1586" s="58"/>
      <c r="R1586" s="58"/>
      <c r="S1586" s="58"/>
    </row>
    <row r="1587" spans="3:19" s="249" customFormat="1" ht="12.75">
      <c r="C1587" s="253"/>
      <c r="D1587" s="234"/>
      <c r="E1587" s="58"/>
      <c r="F1587" s="59"/>
      <c r="G1587" s="58"/>
      <c r="H1587" s="59"/>
      <c r="I1587" s="58"/>
      <c r="J1587" s="58"/>
      <c r="K1587" s="58"/>
      <c r="L1587" s="260"/>
      <c r="M1587" s="58"/>
      <c r="N1587" s="58"/>
      <c r="O1587" s="58"/>
      <c r="P1587" s="58"/>
      <c r="Q1587" s="58"/>
      <c r="R1587" s="58"/>
      <c r="S1587" s="58"/>
    </row>
    <row r="1588" spans="3:19" s="249" customFormat="1" ht="12.75">
      <c r="C1588" s="253"/>
      <c r="D1588" s="234"/>
      <c r="E1588" s="58"/>
      <c r="F1588" s="59"/>
      <c r="G1588" s="58"/>
      <c r="H1588" s="59"/>
      <c r="I1588" s="58"/>
      <c r="J1588" s="58"/>
      <c r="K1588" s="58"/>
      <c r="L1588" s="260"/>
      <c r="M1588" s="58"/>
      <c r="N1588" s="58"/>
      <c r="O1588" s="58"/>
      <c r="P1588" s="58"/>
      <c r="Q1588" s="58"/>
      <c r="R1588" s="58"/>
      <c r="S1588" s="58"/>
    </row>
    <row r="1589" spans="3:19" s="249" customFormat="1" ht="12.75">
      <c r="C1589" s="253"/>
      <c r="D1589" s="234"/>
      <c r="E1589" s="58"/>
      <c r="F1589" s="59"/>
      <c r="G1589" s="58"/>
      <c r="H1589" s="59"/>
      <c r="I1589" s="58"/>
      <c r="J1589" s="58"/>
      <c r="K1589" s="58"/>
      <c r="L1589" s="260"/>
      <c r="M1589" s="58"/>
      <c r="N1589" s="58"/>
      <c r="O1589" s="58"/>
      <c r="P1589" s="58"/>
      <c r="Q1589" s="58"/>
      <c r="R1589" s="58"/>
      <c r="S1589" s="58"/>
    </row>
    <row r="1590" spans="3:19" s="249" customFormat="1" ht="12.75">
      <c r="C1590" s="253"/>
      <c r="D1590" s="234"/>
      <c r="E1590" s="58"/>
      <c r="F1590" s="59"/>
      <c r="G1590" s="58"/>
      <c r="H1590" s="59"/>
      <c r="I1590" s="58"/>
      <c r="J1590" s="58"/>
      <c r="K1590" s="58"/>
      <c r="L1590" s="260"/>
      <c r="M1590" s="58"/>
      <c r="N1590" s="58"/>
      <c r="O1590" s="58"/>
      <c r="P1590" s="58"/>
      <c r="Q1590" s="58"/>
      <c r="R1590" s="58"/>
      <c r="S1590" s="58"/>
    </row>
    <row r="1591" spans="3:19" s="249" customFormat="1" ht="12.75">
      <c r="C1591" s="253"/>
      <c r="D1591" s="234"/>
      <c r="E1591" s="58"/>
      <c r="F1591" s="59"/>
      <c r="G1591" s="58"/>
      <c r="H1591" s="59"/>
      <c r="I1591" s="58"/>
      <c r="J1591" s="58"/>
      <c r="K1591" s="58"/>
      <c r="L1591" s="260"/>
      <c r="M1591" s="58"/>
      <c r="N1591" s="58"/>
      <c r="O1591" s="58"/>
      <c r="P1591" s="58"/>
      <c r="Q1591" s="58"/>
      <c r="R1591" s="58"/>
      <c r="S1591" s="58"/>
    </row>
    <row r="1592" spans="3:19" s="249" customFormat="1" ht="12.75">
      <c r="C1592" s="253"/>
      <c r="D1592" s="234"/>
      <c r="E1592" s="58"/>
      <c r="F1592" s="59"/>
      <c r="G1592" s="58"/>
      <c r="H1592" s="59"/>
      <c r="I1592" s="58"/>
      <c r="J1592" s="58"/>
      <c r="K1592" s="58"/>
      <c r="L1592" s="260"/>
      <c r="M1592" s="58"/>
      <c r="N1592" s="58"/>
      <c r="O1592" s="58"/>
      <c r="P1592" s="58"/>
      <c r="Q1592" s="58"/>
      <c r="R1592" s="58"/>
      <c r="S1592" s="58"/>
    </row>
    <row r="1593" spans="3:19" s="249" customFormat="1" ht="12.75">
      <c r="C1593" s="253"/>
      <c r="D1593" s="234"/>
      <c r="E1593" s="58"/>
      <c r="F1593" s="59"/>
      <c r="G1593" s="58"/>
      <c r="H1593" s="59"/>
      <c r="I1593" s="58"/>
      <c r="J1593" s="58"/>
      <c r="K1593" s="58"/>
      <c r="L1593" s="260"/>
      <c r="M1593" s="58"/>
      <c r="N1593" s="58"/>
      <c r="O1593" s="58"/>
      <c r="P1593" s="58"/>
      <c r="Q1593" s="58"/>
      <c r="R1593" s="58"/>
      <c r="S1593" s="58"/>
    </row>
    <row r="1594" spans="3:19" s="249" customFormat="1" ht="12.75">
      <c r="C1594" s="253"/>
      <c r="D1594" s="234"/>
      <c r="E1594" s="58"/>
      <c r="F1594" s="59"/>
      <c r="G1594" s="58"/>
      <c r="H1594" s="59"/>
      <c r="I1594" s="58"/>
      <c r="J1594" s="58"/>
      <c r="K1594" s="58"/>
      <c r="L1594" s="260"/>
      <c r="M1594" s="58"/>
      <c r="N1594" s="58"/>
      <c r="O1594" s="58"/>
      <c r="P1594" s="58"/>
      <c r="Q1594" s="58"/>
      <c r="R1594" s="58"/>
      <c r="S1594" s="58"/>
    </row>
    <row r="1595" spans="3:19" s="249" customFormat="1" ht="12.75">
      <c r="C1595" s="253"/>
      <c r="D1595" s="234"/>
      <c r="E1595" s="58"/>
      <c r="F1595" s="59"/>
      <c r="G1595" s="58"/>
      <c r="H1595" s="59"/>
      <c r="I1595" s="58"/>
      <c r="J1595" s="58"/>
      <c r="K1595" s="58"/>
      <c r="L1595" s="260"/>
      <c r="M1595" s="58"/>
      <c r="N1595" s="58"/>
      <c r="O1595" s="58"/>
      <c r="P1595" s="58"/>
      <c r="Q1595" s="58"/>
      <c r="R1595" s="58"/>
      <c r="S1595" s="58"/>
    </row>
    <row r="1596" spans="3:19" s="249" customFormat="1" ht="12.75">
      <c r="C1596" s="253"/>
      <c r="D1596" s="234"/>
      <c r="E1596" s="58"/>
      <c r="F1596" s="59"/>
      <c r="G1596" s="58"/>
      <c r="H1596" s="59"/>
      <c r="I1596" s="58"/>
      <c r="J1596" s="58"/>
      <c r="K1596" s="58"/>
      <c r="L1596" s="260"/>
      <c r="M1596" s="58"/>
      <c r="N1596" s="58"/>
      <c r="O1596" s="58"/>
      <c r="P1596" s="58"/>
      <c r="Q1596" s="58"/>
      <c r="R1596" s="58"/>
      <c r="S1596" s="58"/>
    </row>
    <row r="1597" spans="3:19" s="249" customFormat="1" ht="12.75">
      <c r="C1597" s="253"/>
      <c r="D1597" s="234"/>
      <c r="E1597" s="58"/>
      <c r="F1597" s="59"/>
      <c r="G1597" s="58"/>
      <c r="H1597" s="59"/>
      <c r="I1597" s="58"/>
      <c r="J1597" s="58"/>
      <c r="K1597" s="58"/>
      <c r="L1597" s="260"/>
      <c r="M1597" s="58"/>
      <c r="N1597" s="58"/>
      <c r="O1597" s="58"/>
      <c r="P1597" s="58"/>
      <c r="Q1597" s="58"/>
      <c r="R1597" s="58"/>
      <c r="S1597" s="58"/>
    </row>
    <row r="1598" spans="3:19" s="249" customFormat="1" ht="12.75">
      <c r="C1598" s="253"/>
      <c r="D1598" s="234"/>
      <c r="E1598" s="58"/>
      <c r="F1598" s="59"/>
      <c r="G1598" s="58"/>
      <c r="H1598" s="59"/>
      <c r="I1598" s="58"/>
      <c r="J1598" s="58"/>
      <c r="K1598" s="58"/>
      <c r="L1598" s="260"/>
      <c r="M1598" s="58"/>
      <c r="N1598" s="58"/>
      <c r="O1598" s="58"/>
      <c r="P1598" s="58"/>
      <c r="Q1598" s="58"/>
      <c r="R1598" s="58"/>
      <c r="S1598" s="58"/>
    </row>
    <row r="1599" spans="3:19" s="249" customFormat="1" ht="12.75">
      <c r="C1599" s="253"/>
      <c r="D1599" s="234"/>
      <c r="E1599" s="58"/>
      <c r="F1599" s="59"/>
      <c r="G1599" s="58"/>
      <c r="H1599" s="59"/>
      <c r="I1599" s="58"/>
      <c r="J1599" s="58"/>
      <c r="K1599" s="58"/>
      <c r="L1599" s="260"/>
      <c r="M1599" s="58"/>
      <c r="N1599" s="58"/>
      <c r="O1599" s="58"/>
      <c r="P1599" s="58"/>
      <c r="Q1599" s="58"/>
      <c r="R1599" s="58"/>
      <c r="S1599" s="58"/>
    </row>
    <row r="1600" spans="3:19" s="249" customFormat="1" ht="12.75">
      <c r="C1600" s="253"/>
      <c r="D1600" s="234"/>
      <c r="E1600" s="58"/>
      <c r="F1600" s="59"/>
      <c r="G1600" s="58"/>
      <c r="H1600" s="59"/>
      <c r="I1600" s="58"/>
      <c r="J1600" s="58"/>
      <c r="K1600" s="58"/>
      <c r="L1600" s="260"/>
      <c r="M1600" s="58"/>
      <c r="N1600" s="58"/>
      <c r="O1600" s="58"/>
      <c r="P1600" s="58"/>
      <c r="Q1600" s="58"/>
      <c r="R1600" s="58"/>
      <c r="S1600" s="58"/>
    </row>
    <row r="1601" spans="3:19" s="249" customFormat="1" ht="12.75">
      <c r="C1601" s="253"/>
      <c r="D1601" s="234"/>
      <c r="E1601" s="58"/>
      <c r="F1601" s="59"/>
      <c r="G1601" s="58"/>
      <c r="H1601" s="59"/>
      <c r="I1601" s="58"/>
      <c r="J1601" s="58"/>
      <c r="K1601" s="58"/>
      <c r="L1601" s="260"/>
      <c r="M1601" s="58"/>
      <c r="N1601" s="58"/>
      <c r="O1601" s="58"/>
      <c r="P1601" s="58"/>
      <c r="Q1601" s="58"/>
      <c r="R1601" s="58"/>
      <c r="S1601" s="58"/>
    </row>
    <row r="1602" spans="3:19" s="249" customFormat="1" ht="12.75">
      <c r="C1602" s="253"/>
      <c r="D1602" s="234"/>
      <c r="E1602" s="58"/>
      <c r="F1602" s="59"/>
      <c r="G1602" s="58"/>
      <c r="H1602" s="59"/>
      <c r="I1602" s="58"/>
      <c r="J1602" s="58"/>
      <c r="K1602" s="58"/>
      <c r="L1602" s="260"/>
      <c r="M1602" s="58"/>
      <c r="N1602" s="58"/>
      <c r="O1602" s="58"/>
      <c r="P1602" s="58"/>
      <c r="Q1602" s="58"/>
      <c r="R1602" s="58"/>
      <c r="S1602" s="58"/>
    </row>
    <row r="1603" spans="3:19" s="249" customFormat="1" ht="12.75">
      <c r="C1603" s="253"/>
      <c r="D1603" s="234"/>
      <c r="E1603" s="58"/>
      <c r="F1603" s="59"/>
      <c r="G1603" s="58"/>
      <c r="H1603" s="59"/>
      <c r="I1603" s="58"/>
      <c r="J1603" s="58"/>
      <c r="K1603" s="58"/>
      <c r="L1603" s="260"/>
      <c r="M1603" s="58"/>
      <c r="N1603" s="58"/>
      <c r="O1603" s="58"/>
      <c r="P1603" s="58"/>
      <c r="Q1603" s="58"/>
      <c r="R1603" s="58"/>
      <c r="S1603" s="58"/>
    </row>
    <row r="1604" spans="3:19" s="249" customFormat="1" ht="12.75">
      <c r="C1604" s="253"/>
      <c r="D1604" s="234"/>
      <c r="E1604" s="58"/>
      <c r="F1604" s="59"/>
      <c r="G1604" s="58"/>
      <c r="H1604" s="59"/>
      <c r="I1604" s="58"/>
      <c r="J1604" s="58"/>
      <c r="K1604" s="58"/>
      <c r="L1604" s="260"/>
      <c r="M1604" s="58"/>
      <c r="N1604" s="58"/>
      <c r="O1604" s="58"/>
      <c r="P1604" s="58"/>
      <c r="Q1604" s="58"/>
      <c r="R1604" s="58"/>
      <c r="S1604" s="58"/>
    </row>
    <row r="1605" spans="3:19" s="249" customFormat="1" ht="12.75">
      <c r="C1605" s="253"/>
      <c r="D1605" s="234"/>
      <c r="E1605" s="58"/>
      <c r="F1605" s="59"/>
      <c r="G1605" s="58"/>
      <c r="H1605" s="59"/>
      <c r="I1605" s="58"/>
      <c r="J1605" s="58"/>
      <c r="K1605" s="58"/>
      <c r="L1605" s="260"/>
      <c r="M1605" s="58"/>
      <c r="N1605" s="58"/>
      <c r="O1605" s="58"/>
      <c r="P1605" s="58"/>
      <c r="Q1605" s="58"/>
      <c r="R1605" s="58"/>
      <c r="S1605" s="58"/>
    </row>
  </sheetData>
  <sheetProtection/>
  <mergeCells count="2">
    <mergeCell ref="E9:F9"/>
    <mergeCell ref="G9:H9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PageLayoutView="0" workbookViewId="0" topLeftCell="A25">
      <selection activeCell="O33" sqref="O33"/>
    </sheetView>
  </sheetViews>
  <sheetFormatPr defaultColWidth="9.140625" defaultRowHeight="12.75"/>
  <cols>
    <col min="1" max="1" width="3.8515625" style="455" customWidth="1"/>
    <col min="2" max="2" width="5.28125" style="0" customWidth="1"/>
    <col min="3" max="3" width="6.7109375" style="0" customWidth="1"/>
    <col min="4" max="4" width="6.00390625" style="455" customWidth="1"/>
    <col min="5" max="5" width="22.28125" style="406" customWidth="1"/>
    <col min="6" max="6" width="19.57421875" style="0" customWidth="1"/>
    <col min="7" max="7" width="12.57421875" style="0" customWidth="1"/>
    <col min="8" max="8" width="11.7109375" style="0" customWidth="1"/>
    <col min="9" max="9" width="22.7109375" style="410" customWidth="1"/>
    <col min="10" max="10" width="11.00390625" style="0" customWidth="1"/>
    <col min="11" max="11" width="10.00390625" style="0" customWidth="1"/>
    <col min="12" max="12" width="6.140625" style="662" customWidth="1"/>
    <col min="13" max="13" width="7.8515625" style="0" customWidth="1"/>
    <col min="14" max="14" width="11.28125" style="0" customWidth="1"/>
    <col min="15" max="15" width="12.140625" style="0" customWidth="1"/>
  </cols>
  <sheetData>
    <row r="1" ht="20.25">
      <c r="J1" s="282" t="s">
        <v>233</v>
      </c>
    </row>
    <row r="2" spans="4:12" ht="18.75">
      <c r="D2" s="279"/>
      <c r="E2" s="456"/>
      <c r="F2" s="93"/>
      <c r="G2" s="458"/>
      <c r="H2" s="43"/>
      <c r="I2" s="459"/>
      <c r="J2" s="460"/>
      <c r="K2" s="460"/>
      <c r="L2" s="663"/>
    </row>
    <row r="3" spans="1:12" ht="20.25">
      <c r="A3" s="1123" t="s">
        <v>675</v>
      </c>
      <c r="B3" s="1125"/>
      <c r="C3" s="1123"/>
      <c r="D3" s="462"/>
      <c r="E3" s="463"/>
      <c r="F3" s="286"/>
      <c r="G3" s="464"/>
      <c r="H3" s="464"/>
      <c r="I3" s="457"/>
      <c r="J3" s="464"/>
      <c r="K3" s="464"/>
      <c r="L3" s="457"/>
    </row>
    <row r="4" spans="1:12" ht="20.25">
      <c r="A4" s="1123" t="s">
        <v>676</v>
      </c>
      <c r="B4" s="1125"/>
      <c r="C4" s="1123"/>
      <c r="D4" s="462"/>
      <c r="E4" s="463"/>
      <c r="F4" s="286"/>
      <c r="G4" s="464"/>
      <c r="H4" s="464"/>
      <c r="I4" s="457"/>
      <c r="J4" s="464"/>
      <c r="K4" s="464"/>
      <c r="L4" s="457"/>
    </row>
    <row r="5" spans="1:12" ht="20.25">
      <c r="A5" s="461"/>
      <c r="B5" s="1124"/>
      <c r="C5" s="1123"/>
      <c r="D5" s="462"/>
      <c r="E5" s="463"/>
      <c r="F5" s="286"/>
      <c r="G5" s="464"/>
      <c r="H5" s="464"/>
      <c r="I5" s="457"/>
      <c r="J5" s="464"/>
      <c r="K5" s="464"/>
      <c r="L5" s="457"/>
    </row>
    <row r="6" spans="4:12" ht="12.75">
      <c r="D6" s="465"/>
      <c r="E6" s="466"/>
      <c r="F6" s="463"/>
      <c r="G6" s="286"/>
      <c r="H6" s="464"/>
      <c r="I6" s="457"/>
      <c r="J6" s="464"/>
      <c r="K6" s="464"/>
      <c r="L6" s="457"/>
    </row>
    <row r="7" spans="2:15" ht="15" customHeight="1">
      <c r="B7" s="467" t="s">
        <v>410</v>
      </c>
      <c r="C7" s="468"/>
      <c r="D7" s="469"/>
      <c r="E7" s="463"/>
      <c r="F7" s="470"/>
      <c r="G7" s="23"/>
      <c r="H7" s="471"/>
      <c r="I7" s="472"/>
      <c r="J7" s="471"/>
      <c r="K7" s="471" t="s">
        <v>411</v>
      </c>
      <c r="L7" s="472"/>
      <c r="M7" s="473"/>
      <c r="N7" s="23"/>
      <c r="O7" s="23"/>
    </row>
    <row r="8" spans="1:15" ht="20.25" customHeight="1">
      <c r="A8" s="14"/>
      <c r="B8" s="474"/>
      <c r="C8" s="475"/>
      <c r="D8" s="476"/>
      <c r="E8" s="477"/>
      <c r="F8" s="1143" t="s">
        <v>835</v>
      </c>
      <c r="G8" s="1144"/>
      <c r="H8" s="1145"/>
      <c r="I8" s="1143" t="s">
        <v>836</v>
      </c>
      <c r="J8" s="1144"/>
      <c r="K8" s="1145"/>
      <c r="L8" s="337"/>
      <c r="M8" s="479"/>
      <c r="N8" s="23"/>
      <c r="O8" s="23"/>
    </row>
    <row r="9" spans="1:15" ht="33.75">
      <c r="A9" s="66" t="s">
        <v>52</v>
      </c>
      <c r="B9" s="480" t="s">
        <v>412</v>
      </c>
      <c r="C9" s="481" t="s">
        <v>413</v>
      </c>
      <c r="D9" s="481" t="s">
        <v>491</v>
      </c>
      <c r="E9" s="482" t="s">
        <v>837</v>
      </c>
      <c r="F9" s="482" t="s">
        <v>838</v>
      </c>
      <c r="G9" s="483"/>
      <c r="H9" s="484" t="s">
        <v>320</v>
      </c>
      <c r="I9" s="482" t="s">
        <v>839</v>
      </c>
      <c r="J9" s="483"/>
      <c r="K9" s="484" t="s">
        <v>320</v>
      </c>
      <c r="L9" s="287" t="s">
        <v>832</v>
      </c>
      <c r="M9" s="661" t="s">
        <v>840</v>
      </c>
      <c r="N9" s="23"/>
      <c r="O9" s="23"/>
    </row>
    <row r="10" spans="1:15" ht="43.5" customHeight="1">
      <c r="A10" s="2"/>
      <c r="B10" s="485"/>
      <c r="C10" s="486"/>
      <c r="D10" s="487"/>
      <c r="E10" s="488"/>
      <c r="F10" s="489"/>
      <c r="G10" s="490" t="s">
        <v>441</v>
      </c>
      <c r="H10" s="389" t="s">
        <v>841</v>
      </c>
      <c r="I10" s="491"/>
      <c r="J10" s="490" t="s">
        <v>441</v>
      </c>
      <c r="K10" s="389" t="s">
        <v>841</v>
      </c>
      <c r="L10" s="664"/>
      <c r="M10" s="492"/>
      <c r="N10" s="23"/>
      <c r="O10" s="493"/>
    </row>
    <row r="11" spans="1:15" ht="24.75" customHeight="1">
      <c r="A11" s="14"/>
      <c r="B11" s="494" t="s">
        <v>842</v>
      </c>
      <c r="C11" s="495"/>
      <c r="D11" s="496"/>
      <c r="E11" s="497"/>
      <c r="F11" s="163"/>
      <c r="G11" s="163">
        <f>G12+G43+G57+G54+G67+G74+G77+G106+G111+G125+G152+G156</f>
        <v>33451392.16</v>
      </c>
      <c r="H11" s="163">
        <f>H12+H43+H57+H54+H67+H74+H77+H106+H111+H125+H152+H156</f>
        <v>4349997.48</v>
      </c>
      <c r="I11" s="498"/>
      <c r="J11" s="163">
        <f>J12+J43+J57+J54+J67+J74+J77+J106+J111+J125+J152+J156</f>
        <v>3457380.69</v>
      </c>
      <c r="K11" s="163">
        <f>K12+K43+K57+K54+K67+K74+K77+K106+K111+K125+K152+K156</f>
        <v>100036.45</v>
      </c>
      <c r="L11" s="665">
        <f>J11/G11*100</f>
        <v>10.335536032291698</v>
      </c>
      <c r="M11" s="390"/>
      <c r="N11" s="23"/>
      <c r="O11" s="499"/>
    </row>
    <row r="12" spans="1:15" ht="18.75" customHeight="1">
      <c r="A12" s="3"/>
      <c r="B12" s="500">
        <v>600</v>
      </c>
      <c r="C12" s="62"/>
      <c r="D12" s="122"/>
      <c r="E12" s="501" t="s">
        <v>414</v>
      </c>
      <c r="F12" s="502"/>
      <c r="G12" s="502">
        <f>G13+G15</f>
        <v>14077989.95</v>
      </c>
      <c r="H12" s="502">
        <f>H13+H15</f>
        <v>3096997.48</v>
      </c>
      <c r="I12" s="503"/>
      <c r="J12" s="502">
        <f>J13+J15</f>
        <v>57592.9</v>
      </c>
      <c r="K12" s="502">
        <f>K13+K15</f>
        <v>11805.54</v>
      </c>
      <c r="L12" s="665">
        <f>J12/G12*100</f>
        <v>0.409098885597656</v>
      </c>
      <c r="M12" s="390"/>
      <c r="N12" s="23"/>
      <c r="O12" s="408"/>
    </row>
    <row r="13" spans="1:15" ht="21" customHeight="1">
      <c r="A13" s="35"/>
      <c r="B13" s="110"/>
      <c r="C13" s="504">
        <v>60004</v>
      </c>
      <c r="D13" s="505"/>
      <c r="E13" s="506" t="s">
        <v>415</v>
      </c>
      <c r="F13" s="150"/>
      <c r="G13" s="150">
        <f>G14</f>
        <v>20000</v>
      </c>
      <c r="H13" s="150">
        <f>H14</f>
        <v>0</v>
      </c>
      <c r="I13" s="507"/>
      <c r="J13" s="150">
        <f>J14</f>
        <v>0</v>
      </c>
      <c r="K13" s="150">
        <f>K14</f>
        <v>0</v>
      </c>
      <c r="L13" s="665"/>
      <c r="M13" s="388"/>
      <c r="N13" s="508"/>
      <c r="O13" s="509"/>
    </row>
    <row r="14" spans="1:15" ht="28.5" customHeight="1">
      <c r="A14" s="8">
        <v>1</v>
      </c>
      <c r="B14" s="510"/>
      <c r="C14" s="75"/>
      <c r="D14" s="5">
        <v>6050</v>
      </c>
      <c r="E14" s="511" t="s">
        <v>843</v>
      </c>
      <c r="F14" s="146" t="s">
        <v>844</v>
      </c>
      <c r="G14" s="146">
        <v>20000</v>
      </c>
      <c r="H14" s="146"/>
      <c r="I14" s="512" t="s">
        <v>845</v>
      </c>
      <c r="J14" s="146">
        <v>0</v>
      </c>
      <c r="K14" s="146">
        <v>0</v>
      </c>
      <c r="L14" s="665"/>
      <c r="M14" s="390">
        <v>2013</v>
      </c>
      <c r="N14" s="298"/>
      <c r="O14" s="513"/>
    </row>
    <row r="15" spans="1:15" ht="24" customHeight="1">
      <c r="A15" s="2"/>
      <c r="B15" s="514"/>
      <c r="C15" s="504">
        <v>60016</v>
      </c>
      <c r="D15" s="505"/>
      <c r="E15" s="394" t="s">
        <v>846</v>
      </c>
      <c r="F15" s="515"/>
      <c r="G15" s="515">
        <f>SUM(G16:G42)</f>
        <v>14057989.95</v>
      </c>
      <c r="H15" s="515">
        <f>SUM(H16:H42)</f>
        <v>3096997.48</v>
      </c>
      <c r="I15" s="507"/>
      <c r="J15" s="515">
        <f>SUM(J16:J42)</f>
        <v>57592.9</v>
      </c>
      <c r="K15" s="515">
        <f>SUM(K16:K42)</f>
        <v>11805.54</v>
      </c>
      <c r="L15" s="665">
        <f>J15/G15*100</f>
        <v>0.4096809017849668</v>
      </c>
      <c r="M15" s="388"/>
      <c r="N15" s="23"/>
      <c r="O15" s="23"/>
    </row>
    <row r="16" spans="1:15" ht="117.75" customHeight="1">
      <c r="A16" s="3">
        <v>2</v>
      </c>
      <c r="B16" s="30"/>
      <c r="C16" s="35"/>
      <c r="D16" s="5">
        <v>6050</v>
      </c>
      <c r="E16" s="1" t="s">
        <v>847</v>
      </c>
      <c r="F16" s="288" t="s">
        <v>850</v>
      </c>
      <c r="G16" s="116">
        <v>1310000</v>
      </c>
      <c r="H16" s="116">
        <f>585000-288000-88150</f>
        <v>208850</v>
      </c>
      <c r="I16" s="516" t="s">
        <v>679</v>
      </c>
      <c r="J16" s="517">
        <v>5669.98</v>
      </c>
      <c r="K16" s="517">
        <v>5669.98</v>
      </c>
      <c r="L16" s="665">
        <f>J16/G16*100</f>
        <v>0.4328229007633588</v>
      </c>
      <c r="M16" s="390" t="s">
        <v>848</v>
      </c>
      <c r="N16" s="518"/>
      <c r="O16" s="519"/>
    </row>
    <row r="17" spans="1:15" ht="132" customHeight="1">
      <c r="A17" s="3">
        <v>3</v>
      </c>
      <c r="B17" s="30"/>
      <c r="C17" s="35"/>
      <c r="D17" s="5">
        <v>6050</v>
      </c>
      <c r="E17" s="1" t="s">
        <v>849</v>
      </c>
      <c r="F17" s="288" t="s">
        <v>850</v>
      </c>
      <c r="G17" s="116">
        <f>500000-100000+163032.03+359457.92</f>
        <v>922489.95</v>
      </c>
      <c r="H17" s="116">
        <f>480000-100000-314456.05</f>
        <v>65543.95000000001</v>
      </c>
      <c r="I17" s="516" t="s">
        <v>680</v>
      </c>
      <c r="J17" s="517">
        <v>0</v>
      </c>
      <c r="K17" s="517">
        <v>0</v>
      </c>
      <c r="L17" s="665"/>
      <c r="M17" s="390" t="s">
        <v>848</v>
      </c>
      <c r="N17" s="518"/>
      <c r="O17" s="518"/>
    </row>
    <row r="18" spans="1:15" ht="54.75" customHeight="1">
      <c r="A18" s="3">
        <v>4</v>
      </c>
      <c r="B18" s="30"/>
      <c r="C18" s="35"/>
      <c r="D18" s="5">
        <v>6050</v>
      </c>
      <c r="E18" s="1" t="s">
        <v>851</v>
      </c>
      <c r="F18" s="288" t="s">
        <v>852</v>
      </c>
      <c r="G18" s="116">
        <f>601000+1500000</f>
        <v>2101000</v>
      </c>
      <c r="H18" s="116">
        <f>120000+119110</f>
        <v>239110</v>
      </c>
      <c r="I18" s="516" t="s">
        <v>853</v>
      </c>
      <c r="J18" s="517">
        <v>0</v>
      </c>
      <c r="K18" s="517">
        <v>0</v>
      </c>
      <c r="L18" s="665"/>
      <c r="M18" s="390" t="s">
        <v>848</v>
      </c>
      <c r="N18" s="518"/>
      <c r="O18" s="519"/>
    </row>
    <row r="19" spans="1:15" ht="42.75" customHeight="1">
      <c r="A19" s="3">
        <v>5</v>
      </c>
      <c r="B19" s="30"/>
      <c r="C19" s="35"/>
      <c r="D19" s="5">
        <v>6050</v>
      </c>
      <c r="E19" s="1" t="s">
        <v>854</v>
      </c>
      <c r="F19" s="288" t="s">
        <v>852</v>
      </c>
      <c r="G19" s="116">
        <f>1500000-1400000-13000+1400000</f>
        <v>1487000</v>
      </c>
      <c r="H19" s="116">
        <f>200000+683800-6500-23500-753800-13000+753800-182000</f>
        <v>658800</v>
      </c>
      <c r="I19" s="516" t="s">
        <v>855</v>
      </c>
      <c r="J19" s="517">
        <v>6135.56</v>
      </c>
      <c r="K19" s="517">
        <v>6135.56</v>
      </c>
      <c r="L19" s="665">
        <f>J19/G19*100</f>
        <v>0.4126133154001345</v>
      </c>
      <c r="M19" s="390" t="s">
        <v>856</v>
      </c>
      <c r="N19" s="518"/>
      <c r="O19" s="518"/>
    </row>
    <row r="20" spans="1:15" ht="48" customHeight="1">
      <c r="A20" s="3">
        <v>6</v>
      </c>
      <c r="B20" s="30"/>
      <c r="C20" s="35"/>
      <c r="D20" s="5">
        <v>6050</v>
      </c>
      <c r="E20" s="1" t="s">
        <v>857</v>
      </c>
      <c r="F20" s="288" t="s">
        <v>858</v>
      </c>
      <c r="G20" s="116">
        <v>123500</v>
      </c>
      <c r="H20" s="116">
        <v>23500</v>
      </c>
      <c r="I20" s="516" t="s">
        <v>859</v>
      </c>
      <c r="J20" s="517">
        <v>0</v>
      </c>
      <c r="K20" s="517">
        <v>0</v>
      </c>
      <c r="L20" s="665"/>
      <c r="M20" s="390" t="s">
        <v>848</v>
      </c>
      <c r="N20" s="518"/>
      <c r="O20" s="519"/>
    </row>
    <row r="21" spans="1:15" ht="47.25" customHeight="1">
      <c r="A21" s="3">
        <v>7</v>
      </c>
      <c r="B21" s="30"/>
      <c r="C21" s="35"/>
      <c r="D21" s="5">
        <v>6050</v>
      </c>
      <c r="E21" s="1" t="s">
        <v>860</v>
      </c>
      <c r="F21" s="288" t="s">
        <v>861</v>
      </c>
      <c r="G21" s="116">
        <f>90000-3000</f>
        <v>87000</v>
      </c>
      <c r="H21" s="116">
        <v>0</v>
      </c>
      <c r="I21" s="516" t="s">
        <v>862</v>
      </c>
      <c r="J21" s="517">
        <v>0</v>
      </c>
      <c r="K21" s="517">
        <v>0</v>
      </c>
      <c r="L21" s="665"/>
      <c r="M21" s="390" t="s">
        <v>848</v>
      </c>
      <c r="N21" s="518"/>
      <c r="O21" s="519"/>
    </row>
    <row r="22" spans="1:15" ht="66.75" customHeight="1">
      <c r="A22" s="3">
        <v>8</v>
      </c>
      <c r="B22" s="30"/>
      <c r="C22" s="35"/>
      <c r="D22" s="5">
        <v>6050</v>
      </c>
      <c r="E22" s="31" t="s">
        <v>863</v>
      </c>
      <c r="F22" s="288" t="s">
        <v>864</v>
      </c>
      <c r="G22" s="116">
        <f>25000+3000</f>
        <v>28000</v>
      </c>
      <c r="H22" s="116">
        <v>0</v>
      </c>
      <c r="I22" s="516" t="s">
        <v>865</v>
      </c>
      <c r="J22" s="517">
        <v>0</v>
      </c>
      <c r="K22" s="517">
        <v>0</v>
      </c>
      <c r="L22" s="665"/>
      <c r="M22" s="390" t="s">
        <v>848</v>
      </c>
      <c r="N22" s="518"/>
      <c r="O22" s="519"/>
    </row>
    <row r="23" spans="1:15" ht="68.25" customHeight="1">
      <c r="A23" s="3">
        <v>9</v>
      </c>
      <c r="B23" s="30"/>
      <c r="C23" s="35"/>
      <c r="D23" s="5">
        <v>6050</v>
      </c>
      <c r="E23" s="520" t="s">
        <v>866</v>
      </c>
      <c r="F23" s="276" t="s">
        <v>867</v>
      </c>
      <c r="G23" s="146">
        <f>570000-106000-1291</f>
        <v>462709</v>
      </c>
      <c r="H23" s="146">
        <f>100000-30960</f>
        <v>69040</v>
      </c>
      <c r="I23" s="516" t="s">
        <v>289</v>
      </c>
      <c r="J23" s="517">
        <v>1149.61</v>
      </c>
      <c r="K23" s="517">
        <v>0</v>
      </c>
      <c r="L23" s="665">
        <f>J23/G23*100</f>
        <v>0.24845205085701813</v>
      </c>
      <c r="M23" s="390">
        <v>2013</v>
      </c>
      <c r="N23" s="518"/>
      <c r="O23" s="519"/>
    </row>
    <row r="24" spans="1:15" ht="69" customHeight="1">
      <c r="A24" s="3">
        <v>10</v>
      </c>
      <c r="B24" s="30"/>
      <c r="C24" s="35"/>
      <c r="D24" s="5">
        <v>6050</v>
      </c>
      <c r="E24" s="520" t="s">
        <v>868</v>
      </c>
      <c r="F24" s="276" t="s">
        <v>869</v>
      </c>
      <c r="G24" s="146">
        <f>1500000-600000+600000</f>
        <v>1500000</v>
      </c>
      <c r="H24" s="146">
        <v>200000</v>
      </c>
      <c r="I24" s="521" t="s">
        <v>870</v>
      </c>
      <c r="J24" s="517">
        <v>14760</v>
      </c>
      <c r="K24" s="517">
        <v>0</v>
      </c>
      <c r="L24" s="665">
        <f>J24/G24*100</f>
        <v>0.984</v>
      </c>
      <c r="M24" s="390" t="s">
        <v>871</v>
      </c>
      <c r="N24" s="518"/>
      <c r="O24" s="519"/>
    </row>
    <row r="25" spans="1:15" ht="39" customHeight="1">
      <c r="A25" s="3">
        <v>11</v>
      </c>
      <c r="B25" s="10"/>
      <c r="C25" s="8"/>
      <c r="D25" s="5">
        <v>6050</v>
      </c>
      <c r="E25" s="393" t="s">
        <v>872</v>
      </c>
      <c r="F25" s="276" t="s">
        <v>873</v>
      </c>
      <c r="G25" s="146">
        <v>100000</v>
      </c>
      <c r="H25" s="146">
        <v>0</v>
      </c>
      <c r="I25" s="521" t="s">
        <v>874</v>
      </c>
      <c r="J25" s="517">
        <v>0</v>
      </c>
      <c r="K25" s="517">
        <v>0</v>
      </c>
      <c r="L25" s="665"/>
      <c r="M25" s="390">
        <v>2013</v>
      </c>
      <c r="N25" s="518"/>
      <c r="O25" s="519"/>
    </row>
    <row r="26" spans="1:15" ht="60" customHeight="1">
      <c r="A26" s="3">
        <v>12</v>
      </c>
      <c r="B26" s="10"/>
      <c r="C26" s="8"/>
      <c r="D26" s="5">
        <v>6050</v>
      </c>
      <c r="E26" s="393" t="s">
        <v>875</v>
      </c>
      <c r="F26" s="276" t="s">
        <v>876</v>
      </c>
      <c r="G26" s="146">
        <v>800000</v>
      </c>
      <c r="H26" s="146">
        <f>500000-300000</f>
        <v>200000</v>
      </c>
      <c r="I26" s="521" t="s">
        <v>877</v>
      </c>
      <c r="J26" s="517">
        <v>0</v>
      </c>
      <c r="K26" s="517">
        <v>0</v>
      </c>
      <c r="L26" s="665"/>
      <c r="M26" s="390">
        <v>2013</v>
      </c>
      <c r="N26" s="518"/>
      <c r="O26" s="519"/>
    </row>
    <row r="27" spans="1:15" ht="43.5" customHeight="1">
      <c r="A27" s="3">
        <v>13</v>
      </c>
      <c r="B27" s="10"/>
      <c r="C27" s="8"/>
      <c r="D27" s="5">
        <v>6050</v>
      </c>
      <c r="E27" s="393" t="s">
        <v>878</v>
      </c>
      <c r="F27" s="276" t="s">
        <v>879</v>
      </c>
      <c r="G27" s="146">
        <f>100000-50000</f>
        <v>50000</v>
      </c>
      <c r="H27" s="146">
        <v>0</v>
      </c>
      <c r="I27" s="521" t="s">
        <v>880</v>
      </c>
      <c r="J27" s="517">
        <v>0</v>
      </c>
      <c r="K27" s="517">
        <v>0</v>
      </c>
      <c r="L27" s="665"/>
      <c r="M27" s="390">
        <v>2013</v>
      </c>
      <c r="N27" s="519"/>
      <c r="O27" s="519"/>
    </row>
    <row r="28" spans="1:15" ht="51.75" customHeight="1">
      <c r="A28" s="3">
        <v>14</v>
      </c>
      <c r="B28" s="10"/>
      <c r="C28" s="8"/>
      <c r="D28" s="5">
        <v>6050</v>
      </c>
      <c r="E28" s="393" t="s">
        <v>881</v>
      </c>
      <c r="F28" s="276" t="s">
        <v>879</v>
      </c>
      <c r="G28" s="146">
        <f>1291+50000</f>
        <v>51291</v>
      </c>
      <c r="H28" s="146">
        <v>0</v>
      </c>
      <c r="I28" s="276" t="s">
        <v>882</v>
      </c>
      <c r="J28" s="517">
        <v>0</v>
      </c>
      <c r="K28" s="517">
        <v>0</v>
      </c>
      <c r="L28" s="665"/>
      <c r="M28" s="390">
        <v>2013</v>
      </c>
      <c r="N28" s="519"/>
      <c r="O28" s="519"/>
    </row>
    <row r="29" spans="1:15" ht="54" customHeight="1">
      <c r="A29" s="3">
        <v>15</v>
      </c>
      <c r="B29" s="10"/>
      <c r="C29" s="8"/>
      <c r="D29" s="5">
        <v>6050</v>
      </c>
      <c r="E29" s="393" t="s">
        <v>883</v>
      </c>
      <c r="F29" s="276"/>
      <c r="G29" s="146">
        <v>1000000</v>
      </c>
      <c r="H29" s="146">
        <v>500000</v>
      </c>
      <c r="I29" s="521" t="s">
        <v>870</v>
      </c>
      <c r="J29" s="517">
        <v>6507.75</v>
      </c>
      <c r="K29" s="517">
        <v>0</v>
      </c>
      <c r="L29" s="665">
        <f>J29/G29*100</f>
        <v>0.650775</v>
      </c>
      <c r="M29" s="390" t="s">
        <v>871</v>
      </c>
      <c r="N29" s="519"/>
      <c r="O29" s="519"/>
    </row>
    <row r="30" spans="1:15" ht="36">
      <c r="A30" s="3">
        <v>16</v>
      </c>
      <c r="B30" s="10"/>
      <c r="C30" s="8"/>
      <c r="D30" s="5">
        <v>6050</v>
      </c>
      <c r="E30" s="393" t="s">
        <v>884</v>
      </c>
      <c r="F30" s="276"/>
      <c r="G30" s="146">
        <v>100000</v>
      </c>
      <c r="H30" s="146">
        <v>0</v>
      </c>
      <c r="I30" s="521" t="s">
        <v>885</v>
      </c>
      <c r="J30" s="517">
        <v>0</v>
      </c>
      <c r="K30" s="517">
        <v>0</v>
      </c>
      <c r="L30" s="665"/>
      <c r="M30" s="390">
        <v>2013</v>
      </c>
      <c r="N30" s="519"/>
      <c r="O30" s="519"/>
    </row>
    <row r="31" spans="1:15" ht="52.5" customHeight="1">
      <c r="A31" s="3">
        <v>17</v>
      </c>
      <c r="B31" s="10"/>
      <c r="C31" s="8"/>
      <c r="D31" s="5">
        <v>6050</v>
      </c>
      <c r="E31" s="393" t="s">
        <v>886</v>
      </c>
      <c r="F31" s="276"/>
      <c r="G31" s="146">
        <v>50000</v>
      </c>
      <c r="H31" s="146">
        <v>0</v>
      </c>
      <c r="I31" s="521" t="s">
        <v>887</v>
      </c>
      <c r="J31" s="517">
        <v>0</v>
      </c>
      <c r="K31" s="517">
        <v>0</v>
      </c>
      <c r="L31" s="665"/>
      <c r="M31" s="390">
        <v>2013</v>
      </c>
      <c r="N31" s="519"/>
      <c r="O31" s="519"/>
    </row>
    <row r="32" spans="1:15" ht="41.25" customHeight="1">
      <c r="A32" s="3">
        <v>18</v>
      </c>
      <c r="B32" s="10"/>
      <c r="C32" s="8"/>
      <c r="D32" s="5">
        <v>6050</v>
      </c>
      <c r="E32" s="393" t="s">
        <v>888</v>
      </c>
      <c r="F32" s="276"/>
      <c r="G32" s="146">
        <v>900000</v>
      </c>
      <c r="H32" s="146">
        <v>500000</v>
      </c>
      <c r="I32" s="521"/>
      <c r="J32" s="517">
        <v>0</v>
      </c>
      <c r="K32" s="517">
        <v>0</v>
      </c>
      <c r="L32" s="665"/>
      <c r="M32" s="390" t="s">
        <v>871</v>
      </c>
      <c r="N32" s="519"/>
      <c r="O32" s="519"/>
    </row>
    <row r="33" spans="1:15" ht="70.5" customHeight="1">
      <c r="A33" s="3">
        <v>19</v>
      </c>
      <c r="B33" s="10"/>
      <c r="C33" s="8"/>
      <c r="D33" s="5">
        <v>6050</v>
      </c>
      <c r="E33" s="393" t="s">
        <v>889</v>
      </c>
      <c r="F33" s="276" t="s">
        <v>890</v>
      </c>
      <c r="G33" s="146">
        <v>20000</v>
      </c>
      <c r="H33" s="146">
        <v>0</v>
      </c>
      <c r="I33" s="521" t="s">
        <v>891</v>
      </c>
      <c r="J33" s="517">
        <v>0</v>
      </c>
      <c r="K33" s="517">
        <v>0</v>
      </c>
      <c r="L33" s="665"/>
      <c r="M33" s="390">
        <v>2013</v>
      </c>
      <c r="N33" s="519"/>
      <c r="O33" s="519"/>
    </row>
    <row r="34" spans="1:15" ht="66" customHeight="1">
      <c r="A34" s="3">
        <v>20</v>
      </c>
      <c r="B34" s="10"/>
      <c r="C34" s="8"/>
      <c r="D34" s="5">
        <v>6050</v>
      </c>
      <c r="E34" s="393" t="s">
        <v>892</v>
      </c>
      <c r="F34" s="276" t="s">
        <v>890</v>
      </c>
      <c r="G34" s="146">
        <v>85000</v>
      </c>
      <c r="H34" s="146">
        <v>0</v>
      </c>
      <c r="I34" s="516" t="s">
        <v>862</v>
      </c>
      <c r="J34" s="517">
        <v>0</v>
      </c>
      <c r="K34" s="517">
        <v>0</v>
      </c>
      <c r="L34" s="665"/>
      <c r="M34" s="390">
        <v>2013</v>
      </c>
      <c r="N34" s="519"/>
      <c r="O34" s="519"/>
    </row>
    <row r="35" spans="1:15" ht="29.25" customHeight="1">
      <c r="A35" s="3">
        <v>21</v>
      </c>
      <c r="B35" s="10"/>
      <c r="C35" s="8"/>
      <c r="D35" s="5">
        <v>6050</v>
      </c>
      <c r="E35" s="393" t="s">
        <v>893</v>
      </c>
      <c r="F35" s="276"/>
      <c r="G35" s="146">
        <v>900000</v>
      </c>
      <c r="H35" s="146">
        <f>432154.48-0.95</f>
        <v>432153.52999999997</v>
      </c>
      <c r="I35" s="521" t="s">
        <v>894</v>
      </c>
      <c r="J35" s="517">
        <v>23370</v>
      </c>
      <c r="K35" s="517">
        <v>0</v>
      </c>
      <c r="L35" s="665">
        <f>J35/G35*100</f>
        <v>2.5966666666666667</v>
      </c>
      <c r="M35" s="390">
        <v>2013</v>
      </c>
      <c r="N35" s="519"/>
      <c r="O35" s="519"/>
    </row>
    <row r="36" spans="1:15" ht="60" customHeight="1">
      <c r="A36" s="3">
        <v>22</v>
      </c>
      <c r="B36" s="10"/>
      <c r="C36" s="8"/>
      <c r="D36" s="5">
        <v>6050</v>
      </c>
      <c r="E36" s="393" t="s">
        <v>895</v>
      </c>
      <c r="F36" s="276" t="s">
        <v>890</v>
      </c>
      <c r="G36" s="146">
        <v>50000</v>
      </c>
      <c r="H36" s="146">
        <v>0</v>
      </c>
      <c r="I36" s="521" t="s">
        <v>896</v>
      </c>
      <c r="J36" s="517">
        <v>0</v>
      </c>
      <c r="K36" s="517">
        <v>0</v>
      </c>
      <c r="L36" s="665"/>
      <c r="M36" s="390">
        <v>2013</v>
      </c>
      <c r="N36" s="519"/>
      <c r="O36" s="519"/>
    </row>
    <row r="37" spans="1:15" ht="71.25" customHeight="1">
      <c r="A37" s="3">
        <v>23</v>
      </c>
      <c r="B37" s="10"/>
      <c r="C37" s="8"/>
      <c r="D37" s="5">
        <v>6050</v>
      </c>
      <c r="E37" s="393" t="s">
        <v>897</v>
      </c>
      <c r="F37" s="276" t="s">
        <v>890</v>
      </c>
      <c r="G37" s="146">
        <v>350000</v>
      </c>
      <c r="H37" s="146">
        <v>0</v>
      </c>
      <c r="I37" s="521" t="s">
        <v>891</v>
      </c>
      <c r="J37" s="517">
        <v>0</v>
      </c>
      <c r="K37" s="517">
        <v>0</v>
      </c>
      <c r="L37" s="665"/>
      <c r="M37" s="390">
        <v>2013</v>
      </c>
      <c r="N37" s="519"/>
      <c r="O37" s="519"/>
    </row>
    <row r="38" spans="1:15" ht="40.5" customHeight="1">
      <c r="A38" s="3">
        <v>24</v>
      </c>
      <c r="B38" s="10"/>
      <c r="C38" s="8"/>
      <c r="D38" s="5">
        <v>6050</v>
      </c>
      <c r="E38" s="393" t="s">
        <v>898</v>
      </c>
      <c r="F38" s="276"/>
      <c r="G38" s="146">
        <v>1000000</v>
      </c>
      <c r="H38" s="146">
        <v>0</v>
      </c>
      <c r="I38" s="521" t="s">
        <v>899</v>
      </c>
      <c r="J38" s="517">
        <v>0</v>
      </c>
      <c r="K38" s="517">
        <v>0</v>
      </c>
      <c r="L38" s="665"/>
      <c r="M38" s="390" t="s">
        <v>871</v>
      </c>
      <c r="N38" s="519"/>
      <c r="O38" s="519"/>
    </row>
    <row r="39" spans="1:15" ht="76.5" customHeight="1">
      <c r="A39" s="3">
        <v>25</v>
      </c>
      <c r="B39" s="10"/>
      <c r="C39" s="8"/>
      <c r="D39" s="5">
        <v>6050</v>
      </c>
      <c r="E39" s="393" t="s">
        <v>900</v>
      </c>
      <c r="F39" s="276" t="s">
        <v>890</v>
      </c>
      <c r="G39" s="146">
        <v>100000</v>
      </c>
      <c r="H39" s="146">
        <v>0</v>
      </c>
      <c r="I39" s="521" t="s">
        <v>899</v>
      </c>
      <c r="J39" s="517">
        <v>0</v>
      </c>
      <c r="K39" s="517">
        <v>0</v>
      </c>
      <c r="L39" s="665"/>
      <c r="M39" s="390">
        <v>2013</v>
      </c>
      <c r="N39" s="519"/>
      <c r="O39" s="519"/>
    </row>
    <row r="40" spans="1:15" ht="27.75" customHeight="1">
      <c r="A40" s="3">
        <v>26</v>
      </c>
      <c r="B40" s="10"/>
      <c r="C40" s="8"/>
      <c r="D40" s="5">
        <v>6050</v>
      </c>
      <c r="E40" s="393" t="s">
        <v>901</v>
      </c>
      <c r="F40" s="276" t="s">
        <v>902</v>
      </c>
      <c r="G40" s="146">
        <v>300000</v>
      </c>
      <c r="H40" s="146">
        <v>0</v>
      </c>
      <c r="I40" s="516" t="s">
        <v>862</v>
      </c>
      <c r="J40" s="517">
        <v>0</v>
      </c>
      <c r="K40" s="517">
        <v>0</v>
      </c>
      <c r="L40" s="665"/>
      <c r="M40" s="390">
        <v>2013</v>
      </c>
      <c r="N40" s="519"/>
      <c r="O40" s="519"/>
    </row>
    <row r="41" spans="1:15" ht="48.75" customHeight="1">
      <c r="A41" s="3">
        <v>27</v>
      </c>
      <c r="B41" s="10"/>
      <c r="C41" s="8"/>
      <c r="D41" s="5">
        <v>6050</v>
      </c>
      <c r="E41" s="393" t="s">
        <v>903</v>
      </c>
      <c r="F41" s="276" t="s">
        <v>890</v>
      </c>
      <c r="G41" s="146">
        <v>30000</v>
      </c>
      <c r="H41" s="146">
        <v>0</v>
      </c>
      <c r="I41" s="521" t="s">
        <v>899</v>
      </c>
      <c r="J41" s="517">
        <v>0</v>
      </c>
      <c r="K41" s="517">
        <v>0</v>
      </c>
      <c r="L41" s="665"/>
      <c r="M41" s="390">
        <v>2013</v>
      </c>
      <c r="N41" s="519"/>
      <c r="O41" s="519"/>
    </row>
    <row r="42" spans="1:15" ht="45.75" customHeight="1">
      <c r="A42" s="3">
        <v>28</v>
      </c>
      <c r="B42" s="522"/>
      <c r="C42" s="66"/>
      <c r="D42" s="5">
        <v>6050</v>
      </c>
      <c r="E42" s="393" t="s">
        <v>904</v>
      </c>
      <c r="F42" s="276" t="s">
        <v>905</v>
      </c>
      <c r="G42" s="27">
        <f>65000+85000</f>
        <v>150000</v>
      </c>
      <c r="H42" s="27">
        <v>0</v>
      </c>
      <c r="I42" s="521" t="s">
        <v>681</v>
      </c>
      <c r="J42" s="517">
        <v>0</v>
      </c>
      <c r="K42" s="517">
        <v>0</v>
      </c>
      <c r="L42" s="665"/>
      <c r="M42" s="390">
        <v>2013</v>
      </c>
      <c r="N42" s="23"/>
      <c r="O42" s="23"/>
    </row>
    <row r="43" spans="1:15" ht="24.75" customHeight="1">
      <c r="A43" s="6"/>
      <c r="B43" s="62">
        <v>700</v>
      </c>
      <c r="C43" s="62"/>
      <c r="D43" s="122"/>
      <c r="E43" s="523" t="s">
        <v>416</v>
      </c>
      <c r="F43" s="524"/>
      <c r="G43" s="524">
        <f>G44+G47</f>
        <v>2308249.05</v>
      </c>
      <c r="H43" s="524">
        <f>H44+H47</f>
        <v>155000</v>
      </c>
      <c r="I43" s="503"/>
      <c r="J43" s="524">
        <f>J44+J47</f>
        <v>589828.8600000001</v>
      </c>
      <c r="K43" s="524">
        <f>K44+K47</f>
        <v>13090.55</v>
      </c>
      <c r="L43" s="665">
        <f>J43/G43*100</f>
        <v>25.55308579028767</v>
      </c>
      <c r="M43" s="390"/>
      <c r="N43" s="23"/>
      <c r="O43" s="23"/>
    </row>
    <row r="44" spans="1:15" ht="24">
      <c r="A44" s="3"/>
      <c r="B44" s="123"/>
      <c r="C44" s="525">
        <v>70005</v>
      </c>
      <c r="D44" s="505"/>
      <c r="E44" s="394" t="s">
        <v>543</v>
      </c>
      <c r="F44" s="515"/>
      <c r="G44" s="515">
        <f>SUM(G45:G46)</f>
        <v>1160549.05</v>
      </c>
      <c r="H44" s="515">
        <f>SUM(H45:H46)</f>
        <v>0</v>
      </c>
      <c r="I44" s="507"/>
      <c r="J44" s="515">
        <f>SUM(J45:J46)</f>
        <v>570895.81</v>
      </c>
      <c r="K44" s="515">
        <f>SUM(K45:K46)</f>
        <v>0</v>
      </c>
      <c r="L44" s="665">
        <f>J44/G44*100</f>
        <v>49.19187258823744</v>
      </c>
      <c r="M44" s="388"/>
      <c r="N44" s="23"/>
      <c r="O44" s="23"/>
    </row>
    <row r="45" spans="1:15" ht="43.5" customHeight="1">
      <c r="A45" s="3">
        <v>29</v>
      </c>
      <c r="B45" s="66"/>
      <c r="C45" s="510"/>
      <c r="D45" s="5">
        <v>6050</v>
      </c>
      <c r="E45" s="393" t="s">
        <v>906</v>
      </c>
      <c r="F45" s="517" t="s">
        <v>907</v>
      </c>
      <c r="G45" s="517">
        <v>15000</v>
      </c>
      <c r="H45" s="517">
        <v>0</v>
      </c>
      <c r="I45" s="521" t="s">
        <v>845</v>
      </c>
      <c r="J45" s="517">
        <v>0</v>
      </c>
      <c r="K45" s="517">
        <v>0</v>
      </c>
      <c r="L45" s="665"/>
      <c r="M45" s="390">
        <v>2013</v>
      </c>
      <c r="N45" s="298"/>
      <c r="O45" s="298"/>
    </row>
    <row r="46" spans="1:15" ht="125.25" customHeight="1">
      <c r="A46" s="3">
        <v>30</v>
      </c>
      <c r="B46" s="66"/>
      <c r="C46" s="510"/>
      <c r="D46" s="5">
        <v>6060</v>
      </c>
      <c r="E46" s="393" t="s">
        <v>908</v>
      </c>
      <c r="F46" s="288" t="s">
        <v>909</v>
      </c>
      <c r="G46" s="69">
        <f>1091549.05+550000+4000-500000</f>
        <v>1145549.05</v>
      </c>
      <c r="H46" s="69">
        <v>0</v>
      </c>
      <c r="I46" s="516" t="s">
        <v>910</v>
      </c>
      <c r="J46" s="517">
        <v>570895.81</v>
      </c>
      <c r="K46" s="517">
        <v>0</v>
      </c>
      <c r="L46" s="665">
        <f>J46/G46*100</f>
        <v>49.835998729168345</v>
      </c>
      <c r="M46" s="526" t="s">
        <v>911</v>
      </c>
      <c r="N46" s="23"/>
      <c r="O46" s="23"/>
    </row>
    <row r="47" spans="1:15" ht="21.75" customHeight="1">
      <c r="A47" s="3"/>
      <c r="B47" s="109"/>
      <c r="C47" s="110">
        <v>70095</v>
      </c>
      <c r="D47" s="111"/>
      <c r="E47" s="394" t="s">
        <v>544</v>
      </c>
      <c r="F47" s="515"/>
      <c r="G47" s="515">
        <f>SUM(G48:G53)</f>
        <v>1147700</v>
      </c>
      <c r="H47" s="515">
        <f>SUM(H48:H53)</f>
        <v>155000</v>
      </c>
      <c r="I47" s="507"/>
      <c r="J47" s="515">
        <f>SUM(J48:J53)</f>
        <v>18933.05</v>
      </c>
      <c r="K47" s="515">
        <f>SUM(K48:K53)</f>
        <v>13090.55</v>
      </c>
      <c r="L47" s="665">
        <f>J47/G47*100</f>
        <v>1.649651476866777</v>
      </c>
      <c r="M47" s="388"/>
      <c r="N47" s="23"/>
      <c r="O47" s="23"/>
    </row>
    <row r="48" spans="1:15" ht="55.5" customHeight="1">
      <c r="A48" s="3">
        <v>31</v>
      </c>
      <c r="B48" s="66"/>
      <c r="C48" s="510"/>
      <c r="D48" s="3">
        <v>6050</v>
      </c>
      <c r="E48" s="1" t="s">
        <v>912</v>
      </c>
      <c r="F48" s="288" t="s">
        <v>913</v>
      </c>
      <c r="G48" s="69">
        <v>65000</v>
      </c>
      <c r="H48" s="69">
        <v>0</v>
      </c>
      <c r="I48" s="516" t="s">
        <v>914</v>
      </c>
      <c r="J48" s="517">
        <v>5842.5</v>
      </c>
      <c r="K48" s="517">
        <v>0</v>
      </c>
      <c r="L48" s="665">
        <f>J48/G48*100</f>
        <v>8.988461538461538</v>
      </c>
      <c r="M48" s="526">
        <v>2013</v>
      </c>
      <c r="N48" s="267"/>
      <c r="O48" s="267"/>
    </row>
    <row r="49" spans="1:15" ht="67.5" customHeight="1">
      <c r="A49" s="2">
        <v>32</v>
      </c>
      <c r="B49" s="66"/>
      <c r="C49" s="510"/>
      <c r="D49" s="3">
        <v>6050</v>
      </c>
      <c r="E49" s="527" t="s">
        <v>915</v>
      </c>
      <c r="F49" s="527" t="s">
        <v>916</v>
      </c>
      <c r="G49" s="528">
        <v>155000</v>
      </c>
      <c r="H49" s="528">
        <v>155000</v>
      </c>
      <c r="I49" s="529" t="s">
        <v>917</v>
      </c>
      <c r="J49" s="517">
        <v>13090.55</v>
      </c>
      <c r="K49" s="517">
        <v>13090.55</v>
      </c>
      <c r="L49" s="665">
        <f>J49/G49*100</f>
        <v>8.445516129032256</v>
      </c>
      <c r="M49" s="526">
        <v>2013</v>
      </c>
      <c r="N49" s="267"/>
      <c r="O49" s="267"/>
    </row>
    <row r="50" spans="1:15" ht="63" customHeight="1">
      <c r="A50" s="2">
        <v>33</v>
      </c>
      <c r="B50" s="66"/>
      <c r="C50" s="510"/>
      <c r="D50" s="3">
        <v>6050</v>
      </c>
      <c r="E50" s="527" t="s">
        <v>918</v>
      </c>
      <c r="F50" s="527" t="s">
        <v>919</v>
      </c>
      <c r="G50" s="528">
        <v>550000</v>
      </c>
      <c r="H50" s="528">
        <v>0</v>
      </c>
      <c r="I50" s="529" t="s">
        <v>290</v>
      </c>
      <c r="J50" s="517">
        <v>0</v>
      </c>
      <c r="K50" s="517">
        <v>0</v>
      </c>
      <c r="L50" s="665"/>
      <c r="M50" s="526">
        <v>2013</v>
      </c>
      <c r="N50" s="267"/>
      <c r="O50" s="267"/>
    </row>
    <row r="51" spans="1:15" ht="67.5" customHeight="1">
      <c r="A51" s="3">
        <v>34</v>
      </c>
      <c r="B51" s="66"/>
      <c r="C51" s="510"/>
      <c r="D51" s="3">
        <v>6050</v>
      </c>
      <c r="E51" s="1" t="s">
        <v>920</v>
      </c>
      <c r="F51" s="291" t="s">
        <v>921</v>
      </c>
      <c r="G51" s="528">
        <v>185000</v>
      </c>
      <c r="H51" s="528">
        <v>0</v>
      </c>
      <c r="I51" s="521" t="s">
        <v>899</v>
      </c>
      <c r="J51" s="517">
        <v>0</v>
      </c>
      <c r="K51" s="517">
        <v>0</v>
      </c>
      <c r="L51" s="665"/>
      <c r="M51" s="526">
        <v>2013</v>
      </c>
      <c r="N51" s="267"/>
      <c r="O51" s="267"/>
    </row>
    <row r="52" spans="1:15" ht="48">
      <c r="A52" s="3">
        <v>35</v>
      </c>
      <c r="B52" s="66"/>
      <c r="C52" s="510"/>
      <c r="D52" s="3">
        <v>6050</v>
      </c>
      <c r="E52" s="1" t="s">
        <v>922</v>
      </c>
      <c r="F52" s="291" t="s">
        <v>923</v>
      </c>
      <c r="G52" s="528">
        <v>50000</v>
      </c>
      <c r="H52" s="528">
        <v>0</v>
      </c>
      <c r="I52" s="521" t="s">
        <v>899</v>
      </c>
      <c r="J52" s="517">
        <v>0</v>
      </c>
      <c r="K52" s="517">
        <v>0</v>
      </c>
      <c r="L52" s="665"/>
      <c r="M52" s="526">
        <v>2013</v>
      </c>
      <c r="N52" s="267"/>
      <c r="O52" s="267"/>
    </row>
    <row r="53" spans="1:15" ht="72">
      <c r="A53" s="3">
        <v>36</v>
      </c>
      <c r="B53" s="66"/>
      <c r="C53" s="510"/>
      <c r="D53" s="14">
        <v>6050</v>
      </c>
      <c r="E53" s="530" t="s">
        <v>924</v>
      </c>
      <c r="F53" s="276" t="s">
        <v>890</v>
      </c>
      <c r="G53" s="528">
        <v>142700</v>
      </c>
      <c r="H53" s="528">
        <v>0</v>
      </c>
      <c r="I53" s="529" t="s">
        <v>291</v>
      </c>
      <c r="J53" s="517">
        <v>0</v>
      </c>
      <c r="K53" s="517">
        <v>0</v>
      </c>
      <c r="L53" s="665"/>
      <c r="M53" s="526">
        <v>2013</v>
      </c>
      <c r="N53" s="267"/>
      <c r="O53" s="267"/>
    </row>
    <row r="54" spans="1:15" ht="20.25" customHeight="1">
      <c r="A54" s="531"/>
      <c r="B54" s="532">
        <v>710</v>
      </c>
      <c r="C54" s="533"/>
      <c r="D54" s="531"/>
      <c r="E54" s="534" t="s">
        <v>553</v>
      </c>
      <c r="F54" s="199"/>
      <c r="G54" s="199">
        <f>G55</f>
        <v>20000</v>
      </c>
      <c r="H54" s="199">
        <f aca="true" t="shared" si="0" ref="H54:K55">H55</f>
        <v>0</v>
      </c>
      <c r="I54" s="535"/>
      <c r="J54" s="199">
        <f t="shared" si="0"/>
        <v>0</v>
      </c>
      <c r="K54" s="199">
        <f t="shared" si="0"/>
        <v>0</v>
      </c>
      <c r="L54" s="665"/>
      <c r="M54" s="536"/>
      <c r="N54" s="537"/>
      <c r="O54" s="537"/>
    </row>
    <row r="55" spans="1:15" ht="21.75" customHeight="1">
      <c r="A55" s="538"/>
      <c r="B55" s="539"/>
      <c r="C55" s="540">
        <v>71035</v>
      </c>
      <c r="D55" s="541"/>
      <c r="E55" s="542" t="s">
        <v>369</v>
      </c>
      <c r="F55" s="543"/>
      <c r="G55" s="543">
        <f>G56</f>
        <v>20000</v>
      </c>
      <c r="H55" s="543">
        <f t="shared" si="0"/>
        <v>0</v>
      </c>
      <c r="I55" s="544"/>
      <c r="J55" s="543">
        <f t="shared" si="0"/>
        <v>0</v>
      </c>
      <c r="K55" s="543">
        <f t="shared" si="0"/>
        <v>0</v>
      </c>
      <c r="L55" s="665"/>
      <c r="M55" s="545"/>
      <c r="N55" s="546"/>
      <c r="O55" s="546"/>
    </row>
    <row r="56" spans="1:15" ht="60" customHeight="1">
      <c r="A56" s="547">
        <v>37</v>
      </c>
      <c r="B56" s="548"/>
      <c r="C56" s="549"/>
      <c r="D56" s="550">
        <v>6050</v>
      </c>
      <c r="E56" s="551" t="s">
        <v>925</v>
      </c>
      <c r="F56" s="552" t="s">
        <v>926</v>
      </c>
      <c r="G56" s="553">
        <v>20000</v>
      </c>
      <c r="H56" s="554"/>
      <c r="I56" s="512" t="s">
        <v>845</v>
      </c>
      <c r="J56" s="517">
        <v>0</v>
      </c>
      <c r="K56" s="517">
        <v>0</v>
      </c>
      <c r="L56" s="665"/>
      <c r="M56" s="555">
        <v>2013</v>
      </c>
      <c r="N56" s="556"/>
      <c r="O56" s="556"/>
    </row>
    <row r="57" spans="1:15" ht="24" customHeight="1">
      <c r="A57" s="11"/>
      <c r="B57" s="62">
        <v>750</v>
      </c>
      <c r="C57" s="62"/>
      <c r="D57" s="122"/>
      <c r="E57" s="557" t="s">
        <v>545</v>
      </c>
      <c r="F57" s="558"/>
      <c r="G57" s="558">
        <f>G58+G63</f>
        <v>3042600</v>
      </c>
      <c r="H57" s="558">
        <f>H58+H63</f>
        <v>0</v>
      </c>
      <c r="I57" s="559"/>
      <c r="J57" s="558">
        <f>J58+J63</f>
        <v>81957.38</v>
      </c>
      <c r="K57" s="558">
        <f>K58+K63</f>
        <v>0</v>
      </c>
      <c r="L57" s="665">
        <f>J57/G57*100</f>
        <v>2.693662656938145</v>
      </c>
      <c r="M57" s="390"/>
      <c r="N57" s="23"/>
      <c r="O57" s="23"/>
    </row>
    <row r="58" spans="1:15" ht="24">
      <c r="A58" s="3"/>
      <c r="B58" s="123"/>
      <c r="C58" s="514">
        <v>75023</v>
      </c>
      <c r="D58" s="111"/>
      <c r="E58" s="560" t="s">
        <v>426</v>
      </c>
      <c r="F58" s="561"/>
      <c r="G58" s="561">
        <f>SUM(G59:G62)</f>
        <v>352600</v>
      </c>
      <c r="H58" s="561">
        <f>SUM(H59:H62)</f>
        <v>0</v>
      </c>
      <c r="I58" s="562"/>
      <c r="J58" s="561">
        <f>SUM(J59:J62)</f>
        <v>43835.2</v>
      </c>
      <c r="K58" s="561">
        <f>SUM(K59:K62)</f>
        <v>0</v>
      </c>
      <c r="L58" s="665">
        <f>J58/G58*100</f>
        <v>12.431990924560408</v>
      </c>
      <c r="M58" s="388"/>
      <c r="N58" s="23"/>
      <c r="O58" s="23"/>
    </row>
    <row r="59" spans="1:15" ht="131.25" customHeight="1">
      <c r="A59" s="8">
        <v>38</v>
      </c>
      <c r="B59" s="298"/>
      <c r="C59" s="67"/>
      <c r="D59" s="9">
        <v>6050</v>
      </c>
      <c r="E59" s="1" t="s">
        <v>927</v>
      </c>
      <c r="F59" s="516" t="s">
        <v>928</v>
      </c>
      <c r="G59" s="563">
        <f>165000-20000</f>
        <v>145000</v>
      </c>
      <c r="H59" s="563">
        <v>0</v>
      </c>
      <c r="I59" s="512" t="s">
        <v>845</v>
      </c>
      <c r="J59" s="517">
        <v>0</v>
      </c>
      <c r="K59" s="517">
        <v>0</v>
      </c>
      <c r="L59" s="665"/>
      <c r="M59" s="390">
        <v>2013</v>
      </c>
      <c r="N59" s="298"/>
      <c r="O59" s="564"/>
    </row>
    <row r="60" spans="1:15" ht="51.75" customHeight="1">
      <c r="A60" s="3">
        <v>39</v>
      </c>
      <c r="B60" s="298"/>
      <c r="C60" s="66"/>
      <c r="D60" s="9">
        <v>6050</v>
      </c>
      <c r="E60" s="565" t="s">
        <v>929</v>
      </c>
      <c r="F60" s="566" t="s">
        <v>930</v>
      </c>
      <c r="G60" s="566">
        <v>20000</v>
      </c>
      <c r="H60" s="566">
        <v>0</v>
      </c>
      <c r="I60" s="567" t="s">
        <v>862</v>
      </c>
      <c r="J60" s="517">
        <v>0</v>
      </c>
      <c r="K60" s="563">
        <v>0</v>
      </c>
      <c r="L60" s="665"/>
      <c r="M60" s="390">
        <v>2013</v>
      </c>
      <c r="N60" s="298"/>
      <c r="O60" s="298"/>
    </row>
    <row r="61" spans="1:15" ht="42.75" customHeight="1">
      <c r="A61" s="8">
        <v>40</v>
      </c>
      <c r="B61" s="298"/>
      <c r="C61" s="66"/>
      <c r="D61" s="9">
        <v>6050</v>
      </c>
      <c r="E61" s="565" t="s">
        <v>931</v>
      </c>
      <c r="F61" s="566" t="s">
        <v>932</v>
      </c>
      <c r="G61" s="566">
        <v>72000</v>
      </c>
      <c r="H61" s="566">
        <v>0</v>
      </c>
      <c r="I61" s="521" t="s">
        <v>899</v>
      </c>
      <c r="J61" s="517">
        <v>0</v>
      </c>
      <c r="K61" s="563">
        <v>0</v>
      </c>
      <c r="L61" s="665"/>
      <c r="M61" s="390">
        <v>2013</v>
      </c>
      <c r="N61" s="298"/>
      <c r="O61" s="298"/>
    </row>
    <row r="62" spans="1:15" ht="45.75" customHeight="1">
      <c r="A62" s="3">
        <v>41</v>
      </c>
      <c r="B62" s="134"/>
      <c r="C62" s="72"/>
      <c r="D62" s="9">
        <v>6060</v>
      </c>
      <c r="E62" s="568" t="s">
        <v>933</v>
      </c>
      <c r="F62" s="569" t="s">
        <v>934</v>
      </c>
      <c r="G62" s="570">
        <f>175000+3800+4800-80000+12000</f>
        <v>115600</v>
      </c>
      <c r="H62" s="570">
        <v>0</v>
      </c>
      <c r="I62" s="567" t="s">
        <v>935</v>
      </c>
      <c r="J62" s="517">
        <v>43835.2</v>
      </c>
      <c r="K62" s="563">
        <v>0</v>
      </c>
      <c r="L62" s="665">
        <f>J62/G62*100</f>
        <v>37.919723183391</v>
      </c>
      <c r="M62" s="571">
        <v>2013</v>
      </c>
      <c r="N62" s="23"/>
      <c r="O62" s="23"/>
    </row>
    <row r="63" spans="1:15" ht="20.25" customHeight="1">
      <c r="A63" s="3"/>
      <c r="B63" s="71"/>
      <c r="C63" s="504">
        <v>75095</v>
      </c>
      <c r="D63" s="111"/>
      <c r="E63" s="560" t="s">
        <v>544</v>
      </c>
      <c r="F63" s="561"/>
      <c r="G63" s="561">
        <f>SUM(G64:G66)</f>
        <v>2690000</v>
      </c>
      <c r="H63" s="561">
        <f>SUM(H64:H66)</f>
        <v>0</v>
      </c>
      <c r="I63" s="562"/>
      <c r="J63" s="561">
        <f>SUM(J64:J66)</f>
        <v>38122.18</v>
      </c>
      <c r="K63" s="515">
        <f>SUM(K64:K66)</f>
        <v>0</v>
      </c>
      <c r="L63" s="665">
        <f>J63/G63*100</f>
        <v>1.4171814126394053</v>
      </c>
      <c r="M63" s="388"/>
      <c r="N63" s="23"/>
      <c r="O63" s="23"/>
    </row>
    <row r="64" spans="1:15" ht="39" customHeight="1">
      <c r="A64" s="3">
        <v>42</v>
      </c>
      <c r="B64" s="71"/>
      <c r="C64" s="514"/>
      <c r="D64" s="572">
        <v>6050</v>
      </c>
      <c r="E64" s="1" t="s">
        <v>936</v>
      </c>
      <c r="F64" s="288" t="s">
        <v>937</v>
      </c>
      <c r="G64" s="69">
        <v>950000</v>
      </c>
      <c r="H64" s="69">
        <v>0</v>
      </c>
      <c r="I64" s="516" t="s">
        <v>938</v>
      </c>
      <c r="J64" s="517">
        <v>38122.18</v>
      </c>
      <c r="K64" s="517">
        <v>0</v>
      </c>
      <c r="L64" s="665">
        <f>J64/G64*100</f>
        <v>4.012861052631579</v>
      </c>
      <c r="M64" s="526" t="s">
        <v>939</v>
      </c>
      <c r="N64" s="23"/>
      <c r="O64" s="23"/>
    </row>
    <row r="65" spans="1:15" ht="40.5" customHeight="1">
      <c r="A65" s="3">
        <v>43</v>
      </c>
      <c r="B65" s="71"/>
      <c r="C65" s="514"/>
      <c r="D65" s="572">
        <v>6050</v>
      </c>
      <c r="E65" s="1" t="s">
        <v>940</v>
      </c>
      <c r="F65" s="276" t="s">
        <v>890</v>
      </c>
      <c r="G65" s="69">
        <v>70000</v>
      </c>
      <c r="H65" s="69">
        <v>0</v>
      </c>
      <c r="I65" s="521" t="s">
        <v>899</v>
      </c>
      <c r="J65" s="517">
        <v>0</v>
      </c>
      <c r="K65" s="517">
        <v>0</v>
      </c>
      <c r="L65" s="665"/>
      <c r="M65" s="526">
        <v>2013</v>
      </c>
      <c r="N65" s="23"/>
      <c r="O65" s="23"/>
    </row>
    <row r="66" spans="1:15" ht="41.25" customHeight="1">
      <c r="A66" s="3">
        <v>44</v>
      </c>
      <c r="B66" s="71"/>
      <c r="C66" s="514"/>
      <c r="D66" s="572">
        <v>6050</v>
      </c>
      <c r="E66" s="1" t="s">
        <v>941</v>
      </c>
      <c r="F66" s="288" t="s">
        <v>942</v>
      </c>
      <c r="G66" s="69">
        <f>500000+1000000+170000</f>
        <v>1670000</v>
      </c>
      <c r="H66" s="69">
        <v>0</v>
      </c>
      <c r="I66" s="516" t="s">
        <v>943</v>
      </c>
      <c r="J66" s="517">
        <v>0</v>
      </c>
      <c r="K66" s="517">
        <v>0</v>
      </c>
      <c r="L66" s="665"/>
      <c r="M66" s="526">
        <v>2013</v>
      </c>
      <c r="N66" s="23"/>
      <c r="O66" s="23"/>
    </row>
    <row r="67" spans="1:15" ht="24">
      <c r="A67" s="11"/>
      <c r="B67" s="62">
        <v>754</v>
      </c>
      <c r="C67" s="62"/>
      <c r="D67" s="11"/>
      <c r="E67" s="573" t="s">
        <v>546</v>
      </c>
      <c r="F67" s="153"/>
      <c r="G67" s="153">
        <f>G68+G70+G72</f>
        <v>71000</v>
      </c>
      <c r="H67" s="153">
        <f>H68+H70+H72</f>
        <v>0</v>
      </c>
      <c r="I67" s="404"/>
      <c r="J67" s="153">
        <f>J68+J70+J72</f>
        <v>4572.72</v>
      </c>
      <c r="K67" s="153">
        <f>K68+K70+K72</f>
        <v>0</v>
      </c>
      <c r="L67" s="665">
        <f>J67/G67*100</f>
        <v>6.440450704225352</v>
      </c>
      <c r="M67" s="390"/>
      <c r="N67" s="23"/>
      <c r="O67" s="23"/>
    </row>
    <row r="68" spans="1:15" ht="18.75" customHeight="1">
      <c r="A68" s="3"/>
      <c r="B68" s="91"/>
      <c r="C68" s="110">
        <v>75412</v>
      </c>
      <c r="D68" s="25"/>
      <c r="E68" s="574" t="s">
        <v>944</v>
      </c>
      <c r="F68" s="237"/>
      <c r="G68" s="237">
        <f>SUM(G69)</f>
        <v>5000</v>
      </c>
      <c r="H68" s="237">
        <f>SUM(H69)</f>
        <v>0</v>
      </c>
      <c r="I68" s="575"/>
      <c r="J68" s="237">
        <f>SUM(J69)</f>
        <v>4572.72</v>
      </c>
      <c r="K68" s="237">
        <f>SUM(K69)</f>
        <v>0</v>
      </c>
      <c r="L68" s="665">
        <f>J68/G68*100</f>
        <v>91.4544</v>
      </c>
      <c r="M68" s="388"/>
      <c r="N68" s="23"/>
      <c r="O68" s="23"/>
    </row>
    <row r="69" spans="1:15" ht="22.5">
      <c r="A69" s="3">
        <v>45</v>
      </c>
      <c r="B69" s="73"/>
      <c r="C69" s="576"/>
      <c r="D69" s="572">
        <v>6060</v>
      </c>
      <c r="E69" s="393" t="s">
        <v>945</v>
      </c>
      <c r="F69" s="276" t="s">
        <v>946</v>
      </c>
      <c r="G69" s="69">
        <v>5000</v>
      </c>
      <c r="H69" s="69"/>
      <c r="I69" s="276" t="s">
        <v>947</v>
      </c>
      <c r="J69" s="517">
        <v>4572.72</v>
      </c>
      <c r="K69" s="517">
        <v>0</v>
      </c>
      <c r="L69" s="665">
        <f>J69/G69*100</f>
        <v>91.4544</v>
      </c>
      <c r="M69" s="390">
        <v>2013</v>
      </c>
      <c r="N69" s="23"/>
      <c r="O69" s="23"/>
    </row>
    <row r="70" spans="1:15" ht="22.5" customHeight="1">
      <c r="A70" s="3"/>
      <c r="B70" s="91"/>
      <c r="C70" s="110">
        <v>75414</v>
      </c>
      <c r="D70" s="25"/>
      <c r="E70" s="574" t="s">
        <v>948</v>
      </c>
      <c r="F70" s="561"/>
      <c r="G70" s="561">
        <f>SUM(G71)</f>
        <v>16000</v>
      </c>
      <c r="H70" s="561">
        <f>SUM(H71)</f>
        <v>0</v>
      </c>
      <c r="I70" s="562"/>
      <c r="J70" s="561">
        <f>SUM(J71)</f>
        <v>0</v>
      </c>
      <c r="K70" s="515">
        <f>SUM(K71)</f>
        <v>0</v>
      </c>
      <c r="L70" s="665"/>
      <c r="M70" s="388"/>
      <c r="N70" s="23"/>
      <c r="O70" s="23"/>
    </row>
    <row r="71" spans="1:15" ht="60" customHeight="1">
      <c r="A71" s="3">
        <v>46</v>
      </c>
      <c r="B71" s="66"/>
      <c r="C71" s="576"/>
      <c r="D71" s="572">
        <v>6060</v>
      </c>
      <c r="E71" s="393" t="s">
        <v>945</v>
      </c>
      <c r="F71" s="288" t="s">
        <v>949</v>
      </c>
      <c r="G71" s="55">
        <v>16000</v>
      </c>
      <c r="H71" s="55">
        <v>0</v>
      </c>
      <c r="I71" s="516" t="s">
        <v>845</v>
      </c>
      <c r="J71" s="517">
        <v>0</v>
      </c>
      <c r="K71" s="517">
        <v>0</v>
      </c>
      <c r="L71" s="665"/>
      <c r="M71" s="390">
        <v>2013</v>
      </c>
      <c r="N71" s="23"/>
      <c r="O71" s="23"/>
    </row>
    <row r="72" spans="1:15" ht="20.25" customHeight="1">
      <c r="A72" s="34"/>
      <c r="B72" s="109"/>
      <c r="C72" s="577">
        <v>75495</v>
      </c>
      <c r="D72" s="111"/>
      <c r="E72" s="560" t="s">
        <v>544</v>
      </c>
      <c r="F72" s="515"/>
      <c r="G72" s="515">
        <f>G73</f>
        <v>50000</v>
      </c>
      <c r="H72" s="515">
        <f>H73</f>
        <v>0</v>
      </c>
      <c r="I72" s="507"/>
      <c r="J72" s="515">
        <f>J73</f>
        <v>0</v>
      </c>
      <c r="K72" s="515">
        <f>K73</f>
        <v>0</v>
      </c>
      <c r="L72" s="665"/>
      <c r="M72" s="388"/>
      <c r="N72" s="508"/>
      <c r="O72" s="508"/>
    </row>
    <row r="73" spans="1:15" ht="48.75" customHeight="1">
      <c r="A73" s="14">
        <v>47</v>
      </c>
      <c r="B73" s="66"/>
      <c r="C73" s="576"/>
      <c r="D73" s="572">
        <v>6050</v>
      </c>
      <c r="E73" s="1" t="s">
        <v>950</v>
      </c>
      <c r="F73" s="516" t="s">
        <v>951</v>
      </c>
      <c r="G73" s="563">
        <v>50000</v>
      </c>
      <c r="H73" s="563">
        <v>0</v>
      </c>
      <c r="I73" s="516" t="s">
        <v>845</v>
      </c>
      <c r="J73" s="517">
        <v>0</v>
      </c>
      <c r="K73" s="517">
        <v>0</v>
      </c>
      <c r="L73" s="665"/>
      <c r="M73" s="390">
        <v>2013</v>
      </c>
      <c r="N73" s="23"/>
      <c r="O73" s="23"/>
    </row>
    <row r="74" spans="1:15" ht="18.75" customHeight="1">
      <c r="A74" s="11"/>
      <c r="B74" s="62">
        <v>758</v>
      </c>
      <c r="C74" s="62"/>
      <c r="D74" s="122"/>
      <c r="E74" s="523" t="s">
        <v>547</v>
      </c>
      <c r="F74" s="524"/>
      <c r="G74" s="524">
        <f>G75</f>
        <v>115000</v>
      </c>
      <c r="H74" s="524">
        <f aca="true" t="shared" si="1" ref="H74:K75">H75</f>
        <v>0</v>
      </c>
      <c r="I74" s="503"/>
      <c r="J74" s="524">
        <f t="shared" si="1"/>
        <v>0</v>
      </c>
      <c r="K74" s="524">
        <f t="shared" si="1"/>
        <v>0</v>
      </c>
      <c r="L74" s="665"/>
      <c r="M74" s="390"/>
      <c r="N74" s="23"/>
      <c r="O74" s="23"/>
    </row>
    <row r="75" spans="1:15" ht="23.25" customHeight="1">
      <c r="A75" s="3"/>
      <c r="B75" s="578"/>
      <c r="C75" s="577">
        <v>75818</v>
      </c>
      <c r="D75" s="111"/>
      <c r="E75" s="560" t="s">
        <v>548</v>
      </c>
      <c r="F75" s="561"/>
      <c r="G75" s="561">
        <f>G76</f>
        <v>115000</v>
      </c>
      <c r="H75" s="561">
        <f t="shared" si="1"/>
        <v>0</v>
      </c>
      <c r="I75" s="562"/>
      <c r="J75" s="561">
        <f t="shared" si="1"/>
        <v>0</v>
      </c>
      <c r="K75" s="561">
        <f t="shared" si="1"/>
        <v>0</v>
      </c>
      <c r="L75" s="665"/>
      <c r="M75" s="388"/>
      <c r="N75" s="23"/>
      <c r="O75" s="23"/>
    </row>
    <row r="76" spans="1:15" ht="36">
      <c r="A76" s="8"/>
      <c r="B76" s="73"/>
      <c r="C76" s="576"/>
      <c r="D76" s="572">
        <v>6800</v>
      </c>
      <c r="E76" s="527" t="s">
        <v>952</v>
      </c>
      <c r="F76" s="288"/>
      <c r="G76" s="579">
        <f>200000-85000</f>
        <v>115000</v>
      </c>
      <c r="H76" s="55">
        <f>500000-500000</f>
        <v>0</v>
      </c>
      <c r="I76" s="516"/>
      <c r="J76" s="517">
        <v>0</v>
      </c>
      <c r="K76" s="517"/>
      <c r="L76" s="665"/>
      <c r="M76" s="390"/>
      <c r="N76" s="23"/>
      <c r="O76" s="23"/>
    </row>
    <row r="77" spans="1:15" ht="21" customHeight="1">
      <c r="A77" s="3"/>
      <c r="B77" s="62">
        <v>801</v>
      </c>
      <c r="C77" s="576"/>
      <c r="D77" s="572"/>
      <c r="E77" s="580" t="s">
        <v>549</v>
      </c>
      <c r="F77" s="558"/>
      <c r="G77" s="558">
        <f>G78+G88+G99+G102+G104</f>
        <v>7937057</v>
      </c>
      <c r="H77" s="558">
        <f>H78+H88+H99+H102+H104</f>
        <v>193000</v>
      </c>
      <c r="I77" s="559" t="s">
        <v>410</v>
      </c>
      <c r="J77" s="558">
        <f>J78+J88+J99+J102+J104</f>
        <v>2351870.5900000003</v>
      </c>
      <c r="K77" s="558">
        <f>K78+K88+K99+K102+K104</f>
        <v>0</v>
      </c>
      <c r="L77" s="665">
        <f>J77/G77*100</f>
        <v>29.63151946622029</v>
      </c>
      <c r="M77" s="390"/>
      <c r="N77" s="23"/>
      <c r="O77" s="23"/>
    </row>
    <row r="78" spans="1:15" ht="18" customHeight="1">
      <c r="A78" s="3"/>
      <c r="B78" s="91"/>
      <c r="C78" s="514">
        <v>80101</v>
      </c>
      <c r="D78" s="111"/>
      <c r="E78" s="560" t="s">
        <v>550</v>
      </c>
      <c r="F78" s="561"/>
      <c r="G78" s="561">
        <f>SUM(G79:G87)</f>
        <v>1108600</v>
      </c>
      <c r="H78" s="561">
        <f>SUM(H79:H87)</f>
        <v>0</v>
      </c>
      <c r="I78" s="562"/>
      <c r="J78" s="561">
        <f>SUM(J79:J87)</f>
        <v>42231</v>
      </c>
      <c r="K78" s="561">
        <f>SUM(K79:K87)</f>
        <v>0</v>
      </c>
      <c r="L78" s="665">
        <f aca="true" t="shared" si="2" ref="L78:L141">J78/G78*100</f>
        <v>3.80939924228757</v>
      </c>
      <c r="M78" s="388"/>
      <c r="N78" s="23"/>
      <c r="O78" s="23"/>
    </row>
    <row r="79" spans="1:15" ht="53.25" customHeight="1">
      <c r="A79" s="3">
        <v>48</v>
      </c>
      <c r="B79" s="76"/>
      <c r="C79" s="67"/>
      <c r="D79" s="5">
        <v>6050</v>
      </c>
      <c r="E79" s="393" t="s">
        <v>953</v>
      </c>
      <c r="F79" s="288" t="s">
        <v>954</v>
      </c>
      <c r="G79" s="517">
        <f>114000+1450+115450</f>
        <v>230900</v>
      </c>
      <c r="H79" s="55">
        <v>0</v>
      </c>
      <c r="I79" s="516" t="s">
        <v>955</v>
      </c>
      <c r="J79" s="517">
        <v>7000</v>
      </c>
      <c r="K79" s="517">
        <v>0</v>
      </c>
      <c r="L79" s="665">
        <f t="shared" si="2"/>
        <v>3.0316154179298396</v>
      </c>
      <c r="M79" s="526">
        <v>2013</v>
      </c>
      <c r="N79" s="23"/>
      <c r="O79" s="23"/>
    </row>
    <row r="80" spans="1:15" ht="52.5" customHeight="1">
      <c r="A80" s="3">
        <v>49</v>
      </c>
      <c r="B80" s="76"/>
      <c r="C80" s="66"/>
      <c r="D80" s="5">
        <v>6050</v>
      </c>
      <c r="E80" s="393" t="s">
        <v>956</v>
      </c>
      <c r="F80" s="288" t="s">
        <v>954</v>
      </c>
      <c r="G80" s="517">
        <f>114000+1450+115450</f>
        <v>230900</v>
      </c>
      <c r="H80" s="27">
        <v>0</v>
      </c>
      <c r="I80" s="516" t="s">
        <v>955</v>
      </c>
      <c r="J80" s="517">
        <v>3321</v>
      </c>
      <c r="K80" s="517">
        <v>0</v>
      </c>
      <c r="L80" s="665">
        <f t="shared" si="2"/>
        <v>1.4382849718492854</v>
      </c>
      <c r="M80" s="526">
        <v>2013</v>
      </c>
      <c r="N80" s="23"/>
      <c r="O80" s="23"/>
    </row>
    <row r="81" spans="1:15" ht="54.75" customHeight="1">
      <c r="A81" s="3">
        <v>50</v>
      </c>
      <c r="B81" s="76"/>
      <c r="C81" s="66"/>
      <c r="D81" s="5">
        <v>6050</v>
      </c>
      <c r="E81" s="393" t="s">
        <v>957</v>
      </c>
      <c r="F81" s="288" t="s">
        <v>954</v>
      </c>
      <c r="G81" s="517">
        <f>114000+1450+115450</f>
        <v>230900</v>
      </c>
      <c r="H81" s="27">
        <v>0</v>
      </c>
      <c r="I81" s="516" t="s">
        <v>955</v>
      </c>
      <c r="J81" s="517">
        <v>7000</v>
      </c>
      <c r="K81" s="517">
        <v>0</v>
      </c>
      <c r="L81" s="665">
        <f t="shared" si="2"/>
        <v>3.0316154179298396</v>
      </c>
      <c r="M81" s="526">
        <v>2013</v>
      </c>
      <c r="N81" s="23"/>
      <c r="O81" s="23"/>
    </row>
    <row r="82" spans="1:15" ht="54" customHeight="1">
      <c r="A82" s="3">
        <v>51</v>
      </c>
      <c r="B82" s="76"/>
      <c r="C82" s="66"/>
      <c r="D82" s="5">
        <v>6050</v>
      </c>
      <c r="E82" s="393" t="s">
        <v>958</v>
      </c>
      <c r="F82" s="288" t="s">
        <v>954</v>
      </c>
      <c r="G82" s="517">
        <f>114000+1450+115450</f>
        <v>230900</v>
      </c>
      <c r="H82" s="27">
        <v>0</v>
      </c>
      <c r="I82" s="516" t="s">
        <v>955</v>
      </c>
      <c r="J82" s="517">
        <v>6150</v>
      </c>
      <c r="K82" s="517">
        <v>0</v>
      </c>
      <c r="L82" s="665">
        <f t="shared" si="2"/>
        <v>2.6634906886097878</v>
      </c>
      <c r="M82" s="526">
        <v>2013</v>
      </c>
      <c r="N82" s="23"/>
      <c r="O82" s="23"/>
    </row>
    <row r="83" spans="1:15" ht="63" customHeight="1">
      <c r="A83" s="3">
        <v>52</v>
      </c>
      <c r="B83" s="76"/>
      <c r="C83" s="66"/>
      <c r="D83" s="5">
        <v>6050</v>
      </c>
      <c r="E83" s="393" t="s">
        <v>959</v>
      </c>
      <c r="F83" s="276" t="s">
        <v>960</v>
      </c>
      <c r="G83" s="517">
        <v>60000</v>
      </c>
      <c r="H83" s="27">
        <v>0</v>
      </c>
      <c r="I83" s="521" t="s">
        <v>683</v>
      </c>
      <c r="J83" s="517">
        <v>14760</v>
      </c>
      <c r="K83" s="517">
        <v>0</v>
      </c>
      <c r="L83" s="665">
        <f t="shared" si="2"/>
        <v>24.6</v>
      </c>
      <c r="M83" s="526">
        <v>2013</v>
      </c>
      <c r="N83" s="23"/>
      <c r="O83" s="23"/>
    </row>
    <row r="84" spans="1:15" ht="53.25" customHeight="1">
      <c r="A84" s="3">
        <v>53</v>
      </c>
      <c r="B84" s="76"/>
      <c r="C84" s="66"/>
      <c r="D84" s="5">
        <v>6050</v>
      </c>
      <c r="E84" s="393" t="s">
        <v>961</v>
      </c>
      <c r="F84" s="276" t="s">
        <v>962</v>
      </c>
      <c r="G84" s="517">
        <v>60000</v>
      </c>
      <c r="H84" s="27">
        <v>0</v>
      </c>
      <c r="I84" s="521" t="s">
        <v>845</v>
      </c>
      <c r="J84" s="517">
        <v>0</v>
      </c>
      <c r="K84" s="517">
        <v>0</v>
      </c>
      <c r="L84" s="665"/>
      <c r="M84" s="526">
        <v>2013</v>
      </c>
      <c r="N84" s="23"/>
      <c r="O84" s="23"/>
    </row>
    <row r="85" spans="1:15" ht="66" customHeight="1">
      <c r="A85" s="3">
        <v>54</v>
      </c>
      <c r="B85" s="76"/>
      <c r="C85" s="66"/>
      <c r="D85" s="5">
        <v>6060</v>
      </c>
      <c r="E85" s="393" t="s">
        <v>963</v>
      </c>
      <c r="F85" s="276" t="s">
        <v>964</v>
      </c>
      <c r="G85" s="517">
        <v>51000</v>
      </c>
      <c r="H85" s="27">
        <v>0</v>
      </c>
      <c r="I85" s="521" t="s">
        <v>845</v>
      </c>
      <c r="J85" s="517">
        <v>0</v>
      </c>
      <c r="K85" s="517">
        <v>0</v>
      </c>
      <c r="L85" s="665"/>
      <c r="M85" s="526">
        <v>2013</v>
      </c>
      <c r="N85" s="23"/>
      <c r="O85" s="23"/>
    </row>
    <row r="86" spans="1:15" ht="45" customHeight="1">
      <c r="A86" s="3">
        <v>55</v>
      </c>
      <c r="B86" s="76"/>
      <c r="C86" s="66"/>
      <c r="D86" s="5">
        <v>6060</v>
      </c>
      <c r="E86" s="393" t="s">
        <v>965</v>
      </c>
      <c r="F86" s="276" t="s">
        <v>966</v>
      </c>
      <c r="G86" s="517">
        <v>4000</v>
      </c>
      <c r="H86" s="27">
        <v>0</v>
      </c>
      <c r="I86" s="521" t="s">
        <v>967</v>
      </c>
      <c r="J86" s="517">
        <v>4000</v>
      </c>
      <c r="K86" s="517">
        <v>0</v>
      </c>
      <c r="L86" s="665">
        <f t="shared" si="2"/>
        <v>100</v>
      </c>
      <c r="M86" s="526">
        <v>2013</v>
      </c>
      <c r="N86" s="23"/>
      <c r="O86" s="23"/>
    </row>
    <row r="87" spans="1:15" ht="30.75" customHeight="1">
      <c r="A87" s="3">
        <v>56</v>
      </c>
      <c r="B87" s="76"/>
      <c r="C87" s="75"/>
      <c r="D87" s="5">
        <v>6060</v>
      </c>
      <c r="E87" s="393" t="s">
        <v>968</v>
      </c>
      <c r="F87" s="276" t="s">
        <v>969</v>
      </c>
      <c r="G87" s="517">
        <v>10000</v>
      </c>
      <c r="H87" s="27">
        <v>0</v>
      </c>
      <c r="I87" s="521" t="s">
        <v>845</v>
      </c>
      <c r="J87" s="517">
        <v>0</v>
      </c>
      <c r="K87" s="517">
        <v>0</v>
      </c>
      <c r="L87" s="665"/>
      <c r="M87" s="526">
        <v>2013</v>
      </c>
      <c r="N87" s="23"/>
      <c r="O87" s="23"/>
    </row>
    <row r="88" spans="1:15" ht="18.75" customHeight="1">
      <c r="A88" s="3"/>
      <c r="B88" s="581"/>
      <c r="C88" s="504">
        <v>80104</v>
      </c>
      <c r="D88" s="505"/>
      <c r="E88" s="394" t="s">
        <v>631</v>
      </c>
      <c r="F88" s="515"/>
      <c r="G88" s="515">
        <f>SUM(G89:G98)</f>
        <v>1085041</v>
      </c>
      <c r="H88" s="515">
        <f>SUM(H89:H98)</f>
        <v>180000</v>
      </c>
      <c r="I88" s="507"/>
      <c r="J88" s="515">
        <f>SUM(J89:J98)</f>
        <v>62792.659999999996</v>
      </c>
      <c r="K88" s="515">
        <f>SUM(K89:K98)</f>
        <v>0</v>
      </c>
      <c r="L88" s="665">
        <f t="shared" si="2"/>
        <v>5.787123251563766</v>
      </c>
      <c r="M88" s="388"/>
      <c r="N88" s="23"/>
      <c r="O88" s="23"/>
    </row>
    <row r="89" spans="1:15" ht="54" customHeight="1">
      <c r="A89" s="3">
        <v>57</v>
      </c>
      <c r="B89" s="581"/>
      <c r="C89" s="109"/>
      <c r="D89" s="5">
        <v>6050</v>
      </c>
      <c r="E89" s="393" t="s">
        <v>970</v>
      </c>
      <c r="F89" s="521" t="s">
        <v>971</v>
      </c>
      <c r="G89" s="517">
        <f>530000+9041+9000+20000+40400</f>
        <v>608441</v>
      </c>
      <c r="H89" s="517">
        <v>0</v>
      </c>
      <c r="I89" s="516" t="s">
        <v>292</v>
      </c>
      <c r="J89" s="517">
        <v>0</v>
      </c>
      <c r="K89" s="517">
        <v>0</v>
      </c>
      <c r="L89" s="665"/>
      <c r="M89" s="390" t="s">
        <v>848</v>
      </c>
      <c r="N89" s="23"/>
      <c r="O89" s="23"/>
    </row>
    <row r="90" spans="1:15" ht="28.5" customHeight="1">
      <c r="A90" s="3">
        <v>58</v>
      </c>
      <c r="B90" s="76"/>
      <c r="C90" s="66"/>
      <c r="D90" s="5">
        <v>6050</v>
      </c>
      <c r="E90" s="393" t="s">
        <v>972</v>
      </c>
      <c r="F90" s="276" t="s">
        <v>973</v>
      </c>
      <c r="G90" s="146">
        <v>50000</v>
      </c>
      <c r="H90" s="27">
        <v>0</v>
      </c>
      <c r="I90" s="521" t="s">
        <v>974</v>
      </c>
      <c r="J90" s="517">
        <v>49996.46</v>
      </c>
      <c r="K90" s="517">
        <v>0</v>
      </c>
      <c r="L90" s="665">
        <f t="shared" si="2"/>
        <v>99.99292</v>
      </c>
      <c r="M90" s="390">
        <v>2013</v>
      </c>
      <c r="N90" s="23"/>
      <c r="O90" s="23"/>
    </row>
    <row r="91" spans="1:15" ht="42.75" customHeight="1">
      <c r="A91" s="3">
        <v>59</v>
      </c>
      <c r="B91" s="76"/>
      <c r="C91" s="66"/>
      <c r="D91" s="5">
        <v>6050</v>
      </c>
      <c r="E91" s="393" t="s">
        <v>975</v>
      </c>
      <c r="F91" s="276" t="s">
        <v>976</v>
      </c>
      <c r="G91" s="146">
        <v>11500</v>
      </c>
      <c r="H91" s="27">
        <v>0</v>
      </c>
      <c r="I91" s="521" t="s">
        <v>845</v>
      </c>
      <c r="J91" s="517">
        <v>0</v>
      </c>
      <c r="K91" s="517">
        <v>0</v>
      </c>
      <c r="L91" s="665"/>
      <c r="M91" s="390">
        <v>2013</v>
      </c>
      <c r="N91" s="23"/>
      <c r="O91" s="23"/>
    </row>
    <row r="92" spans="1:15" ht="40.5" customHeight="1">
      <c r="A92" s="3">
        <v>60</v>
      </c>
      <c r="B92" s="76"/>
      <c r="C92" s="66"/>
      <c r="D92" s="5">
        <v>6050</v>
      </c>
      <c r="E92" s="393" t="s">
        <v>977</v>
      </c>
      <c r="F92" s="276" t="s">
        <v>978</v>
      </c>
      <c r="G92" s="146">
        <v>11500</v>
      </c>
      <c r="H92" s="27">
        <v>0</v>
      </c>
      <c r="I92" s="521" t="s">
        <v>845</v>
      </c>
      <c r="J92" s="517">
        <v>0</v>
      </c>
      <c r="K92" s="517">
        <v>0</v>
      </c>
      <c r="L92" s="665"/>
      <c r="M92" s="390">
        <v>2013</v>
      </c>
      <c r="N92" s="23"/>
      <c r="O92" s="23"/>
    </row>
    <row r="93" spans="1:15" ht="29.25" customHeight="1">
      <c r="A93" s="3">
        <v>61</v>
      </c>
      <c r="B93" s="76"/>
      <c r="C93" s="66"/>
      <c r="D93" s="5">
        <v>6050</v>
      </c>
      <c r="E93" s="1" t="s">
        <v>979</v>
      </c>
      <c r="F93" s="276" t="s">
        <v>980</v>
      </c>
      <c r="G93" s="146">
        <v>180000</v>
      </c>
      <c r="H93" s="27">
        <v>180000</v>
      </c>
      <c r="I93" s="516" t="s">
        <v>981</v>
      </c>
      <c r="J93" s="517">
        <v>7335</v>
      </c>
      <c r="K93" s="517">
        <v>0</v>
      </c>
      <c r="L93" s="665">
        <f t="shared" si="2"/>
        <v>4.075</v>
      </c>
      <c r="M93" s="390">
        <v>2013</v>
      </c>
      <c r="N93" s="23"/>
      <c r="O93" s="23"/>
    </row>
    <row r="94" spans="1:15" ht="62.25" customHeight="1">
      <c r="A94" s="3">
        <v>62</v>
      </c>
      <c r="B94" s="76"/>
      <c r="C94" s="66"/>
      <c r="D94" s="5">
        <v>6050</v>
      </c>
      <c r="E94" s="393" t="s">
        <v>982</v>
      </c>
      <c r="F94" s="276" t="s">
        <v>983</v>
      </c>
      <c r="G94" s="517">
        <f>185326+4674-40400</f>
        <v>149600</v>
      </c>
      <c r="H94" s="27">
        <v>0</v>
      </c>
      <c r="I94" s="521" t="s">
        <v>984</v>
      </c>
      <c r="J94" s="517">
        <v>0</v>
      </c>
      <c r="K94" s="517">
        <v>0</v>
      </c>
      <c r="L94" s="665"/>
      <c r="M94" s="390">
        <v>2013</v>
      </c>
      <c r="N94" s="23"/>
      <c r="O94" s="23"/>
    </row>
    <row r="95" spans="1:15" ht="40.5" customHeight="1">
      <c r="A95" s="3">
        <v>63</v>
      </c>
      <c r="B95" s="76"/>
      <c r="C95" s="66"/>
      <c r="D95" s="5">
        <v>6050</v>
      </c>
      <c r="E95" s="393" t="s">
        <v>985</v>
      </c>
      <c r="F95" s="276" t="s">
        <v>986</v>
      </c>
      <c r="G95" s="517">
        <v>42000</v>
      </c>
      <c r="H95" s="27">
        <v>0</v>
      </c>
      <c r="I95" s="521" t="s">
        <v>845</v>
      </c>
      <c r="J95" s="517">
        <v>0</v>
      </c>
      <c r="K95" s="517">
        <v>0</v>
      </c>
      <c r="L95" s="665"/>
      <c r="M95" s="390">
        <v>2013</v>
      </c>
      <c r="N95" s="23"/>
      <c r="O95" s="23"/>
    </row>
    <row r="96" spans="1:15" ht="39.75" customHeight="1">
      <c r="A96" s="3">
        <v>64</v>
      </c>
      <c r="B96" s="76"/>
      <c r="C96" s="66"/>
      <c r="D96" s="5">
        <v>6050</v>
      </c>
      <c r="E96" s="393" t="s">
        <v>987</v>
      </c>
      <c r="F96" s="276" t="s">
        <v>988</v>
      </c>
      <c r="G96" s="517">
        <f>12000+4500</f>
        <v>16500</v>
      </c>
      <c r="H96" s="27">
        <v>0</v>
      </c>
      <c r="I96" s="521" t="s">
        <v>845</v>
      </c>
      <c r="J96" s="517">
        <v>0</v>
      </c>
      <c r="K96" s="517">
        <v>0</v>
      </c>
      <c r="L96" s="665"/>
      <c r="M96" s="390">
        <v>2013</v>
      </c>
      <c r="N96" s="23"/>
      <c r="O96" s="23"/>
    </row>
    <row r="97" spans="1:15" ht="39.75" customHeight="1">
      <c r="A97" s="3">
        <v>65</v>
      </c>
      <c r="B97" s="76"/>
      <c r="C97" s="66"/>
      <c r="D97" s="5">
        <v>6050</v>
      </c>
      <c r="E97" s="393" t="s">
        <v>989</v>
      </c>
      <c r="F97" s="276" t="s">
        <v>990</v>
      </c>
      <c r="G97" s="517">
        <v>10000</v>
      </c>
      <c r="H97" s="27">
        <v>0</v>
      </c>
      <c r="I97" s="521" t="s">
        <v>845</v>
      </c>
      <c r="J97" s="517">
        <v>0</v>
      </c>
      <c r="K97" s="517">
        <v>0</v>
      </c>
      <c r="L97" s="665"/>
      <c r="M97" s="390">
        <v>2013</v>
      </c>
      <c r="N97" s="23"/>
      <c r="O97" s="23"/>
    </row>
    <row r="98" spans="1:15" ht="41.25" customHeight="1">
      <c r="A98" s="3">
        <v>66</v>
      </c>
      <c r="B98" s="76"/>
      <c r="C98" s="66"/>
      <c r="D98" s="5">
        <v>6060</v>
      </c>
      <c r="E98" s="393" t="s">
        <v>991</v>
      </c>
      <c r="F98" s="276" t="s">
        <v>992</v>
      </c>
      <c r="G98" s="146">
        <v>5500</v>
      </c>
      <c r="H98" s="27">
        <v>0</v>
      </c>
      <c r="I98" s="276" t="s">
        <v>993</v>
      </c>
      <c r="J98" s="517">
        <v>5461.2</v>
      </c>
      <c r="K98" s="517">
        <v>0</v>
      </c>
      <c r="L98" s="665">
        <f t="shared" si="2"/>
        <v>99.29454545454544</v>
      </c>
      <c r="M98" s="390">
        <v>2013</v>
      </c>
      <c r="N98" s="23"/>
      <c r="O98" s="23"/>
    </row>
    <row r="99" spans="1:15" ht="17.25" customHeight="1">
      <c r="A99" s="3"/>
      <c r="B99" s="76"/>
      <c r="C99" s="110">
        <v>80110</v>
      </c>
      <c r="D99" s="505"/>
      <c r="E99" s="394" t="s">
        <v>551</v>
      </c>
      <c r="F99" s="515"/>
      <c r="G99" s="515">
        <f>SUM(G100+G101)</f>
        <v>61000</v>
      </c>
      <c r="H99" s="515">
        <f>SUM(H100+H101)</f>
        <v>0</v>
      </c>
      <c r="I99" s="507" t="s">
        <v>410</v>
      </c>
      <c r="J99" s="515">
        <f>SUM(J100+J101)</f>
        <v>6000</v>
      </c>
      <c r="K99" s="515">
        <f>SUM(K100:K101)</f>
        <v>0</v>
      </c>
      <c r="L99" s="665">
        <f t="shared" si="2"/>
        <v>9.836065573770492</v>
      </c>
      <c r="M99" s="388"/>
      <c r="N99" s="23"/>
      <c r="O99" s="23"/>
    </row>
    <row r="100" spans="1:15" ht="43.5" customHeight="1">
      <c r="A100" s="3">
        <v>67</v>
      </c>
      <c r="B100" s="76"/>
      <c r="C100" s="66"/>
      <c r="D100" s="13">
        <v>6050</v>
      </c>
      <c r="E100" s="393" t="s">
        <v>994</v>
      </c>
      <c r="F100" s="517" t="s">
        <v>995</v>
      </c>
      <c r="G100" s="517">
        <f>70000-15000</f>
        <v>55000</v>
      </c>
      <c r="H100" s="517"/>
      <c r="I100" s="521" t="s">
        <v>682</v>
      </c>
      <c r="J100" s="517">
        <v>0</v>
      </c>
      <c r="K100" s="517">
        <v>0</v>
      </c>
      <c r="L100" s="665"/>
      <c r="M100" s="390">
        <v>2013</v>
      </c>
      <c r="N100" s="298"/>
      <c r="O100" s="298"/>
    </row>
    <row r="101" spans="1:15" ht="29.25" customHeight="1">
      <c r="A101" s="3">
        <v>68</v>
      </c>
      <c r="B101" s="76"/>
      <c r="C101" s="66"/>
      <c r="D101" s="13">
        <v>6060</v>
      </c>
      <c r="E101" s="393" t="s">
        <v>996</v>
      </c>
      <c r="F101" s="276" t="s">
        <v>969</v>
      </c>
      <c r="G101" s="146">
        <v>6000</v>
      </c>
      <c r="H101" s="27">
        <v>0</v>
      </c>
      <c r="I101" s="521" t="s">
        <v>997</v>
      </c>
      <c r="J101" s="517">
        <v>6000</v>
      </c>
      <c r="K101" s="517">
        <v>0</v>
      </c>
      <c r="L101" s="665">
        <f t="shared" si="2"/>
        <v>100</v>
      </c>
      <c r="M101" s="390">
        <v>2013</v>
      </c>
      <c r="N101" s="23"/>
      <c r="O101" s="23"/>
    </row>
    <row r="102" spans="1:15" s="583" customFormat="1" ht="24">
      <c r="A102" s="25"/>
      <c r="B102" s="582"/>
      <c r="C102" s="110">
        <v>80148</v>
      </c>
      <c r="D102" s="505"/>
      <c r="E102" s="394" t="s">
        <v>407</v>
      </c>
      <c r="F102" s="515"/>
      <c r="G102" s="515">
        <f>G103</f>
        <v>6500</v>
      </c>
      <c r="H102" s="515">
        <f>H103</f>
        <v>0</v>
      </c>
      <c r="I102" s="507" t="s">
        <v>410</v>
      </c>
      <c r="J102" s="515">
        <f>J103</f>
        <v>6500</v>
      </c>
      <c r="K102" s="515">
        <f>K103</f>
        <v>0</v>
      </c>
      <c r="L102" s="666">
        <f t="shared" si="2"/>
        <v>100</v>
      </c>
      <c r="M102" s="388"/>
      <c r="N102" s="508"/>
      <c r="O102" s="508"/>
    </row>
    <row r="103" spans="1:15" ht="27.75" customHeight="1">
      <c r="A103" s="3">
        <v>69</v>
      </c>
      <c r="B103" s="76"/>
      <c r="C103" s="66"/>
      <c r="D103" s="5">
        <v>6060</v>
      </c>
      <c r="E103" s="393" t="s">
        <v>998</v>
      </c>
      <c r="F103" s="393" t="s">
        <v>999</v>
      </c>
      <c r="G103" s="517">
        <v>6500</v>
      </c>
      <c r="H103" s="27"/>
      <c r="I103" s="276" t="s">
        <v>1000</v>
      </c>
      <c r="J103" s="517">
        <v>6500</v>
      </c>
      <c r="K103" s="517">
        <v>0</v>
      </c>
      <c r="L103" s="665">
        <f t="shared" si="2"/>
        <v>100</v>
      </c>
      <c r="M103" s="526">
        <v>2013</v>
      </c>
      <c r="N103" s="23"/>
      <c r="O103" s="23"/>
    </row>
    <row r="104" spans="1:15" ht="12.75">
      <c r="A104" s="3"/>
      <c r="B104" s="76"/>
      <c r="C104" s="110">
        <v>80195</v>
      </c>
      <c r="D104" s="505"/>
      <c r="E104" s="394" t="s">
        <v>544</v>
      </c>
      <c r="F104" s="507"/>
      <c r="G104" s="515">
        <f>SUM(G105)</f>
        <v>5675916</v>
      </c>
      <c r="H104" s="515">
        <f>SUM(H105)</f>
        <v>13000</v>
      </c>
      <c r="I104" s="507"/>
      <c r="J104" s="515">
        <f>SUM(J105)</f>
        <v>2234346.93</v>
      </c>
      <c r="K104" s="515">
        <f>SUM(K105)</f>
        <v>0</v>
      </c>
      <c r="L104" s="665">
        <f t="shared" si="2"/>
        <v>39.365398113714164</v>
      </c>
      <c r="M104" s="390"/>
      <c r="N104" s="23"/>
      <c r="O104" s="23"/>
    </row>
    <row r="105" spans="1:15" ht="97.5" customHeight="1">
      <c r="A105" s="3">
        <v>70</v>
      </c>
      <c r="B105" s="76"/>
      <c r="C105" s="66"/>
      <c r="D105" s="13">
        <v>6050</v>
      </c>
      <c r="E105" s="1" t="s">
        <v>1001</v>
      </c>
      <c r="F105" s="288" t="s">
        <v>1002</v>
      </c>
      <c r="G105" s="27">
        <f>641600+5021316+13000</f>
        <v>5675916</v>
      </c>
      <c r="H105" s="27">
        <v>13000</v>
      </c>
      <c r="I105" s="521" t="s">
        <v>1003</v>
      </c>
      <c r="J105" s="517">
        <v>2234346.93</v>
      </c>
      <c r="K105" s="517">
        <v>0</v>
      </c>
      <c r="L105" s="665">
        <f t="shared" si="2"/>
        <v>39.365398113714164</v>
      </c>
      <c r="M105" s="390" t="s">
        <v>848</v>
      </c>
      <c r="N105" s="23"/>
      <c r="O105" s="23"/>
    </row>
    <row r="106" spans="1:15" ht="21" customHeight="1">
      <c r="A106" s="584"/>
      <c r="B106" s="64">
        <v>851</v>
      </c>
      <c r="C106" s="62"/>
      <c r="D106" s="12"/>
      <c r="E106" s="557" t="s">
        <v>409</v>
      </c>
      <c r="F106" s="524"/>
      <c r="G106" s="524">
        <f>G107+G109</f>
        <v>106099</v>
      </c>
      <c r="H106" s="524">
        <f>H107+H109</f>
        <v>0</v>
      </c>
      <c r="I106" s="503"/>
      <c r="J106" s="524">
        <f>J107+J109</f>
        <v>6099</v>
      </c>
      <c r="K106" s="524">
        <f>K107+K109</f>
        <v>0</v>
      </c>
      <c r="L106" s="665">
        <f t="shared" si="2"/>
        <v>5.7484047917511</v>
      </c>
      <c r="M106" s="585"/>
      <c r="N106" s="586"/>
      <c r="O106" s="586"/>
    </row>
    <row r="107" spans="1:15" ht="18" customHeight="1">
      <c r="A107" s="3"/>
      <c r="B107" s="77"/>
      <c r="C107" s="110">
        <v>85111</v>
      </c>
      <c r="D107" s="30"/>
      <c r="E107" s="26" t="s">
        <v>632</v>
      </c>
      <c r="F107" s="515"/>
      <c r="G107" s="515">
        <f>G108</f>
        <v>100000</v>
      </c>
      <c r="H107" s="515">
        <f>H108</f>
        <v>0</v>
      </c>
      <c r="I107" s="507"/>
      <c r="J107" s="515">
        <f>J108</f>
        <v>0</v>
      </c>
      <c r="K107" s="515">
        <f>K108</f>
        <v>0</v>
      </c>
      <c r="L107" s="665"/>
      <c r="M107" s="390"/>
      <c r="N107" s="298"/>
      <c r="O107" s="298"/>
    </row>
    <row r="108" spans="1:15" ht="87.75" customHeight="1">
      <c r="A108" s="17">
        <v>71</v>
      </c>
      <c r="B108" s="77"/>
      <c r="C108" s="587"/>
      <c r="D108" s="10">
        <v>6220</v>
      </c>
      <c r="E108" s="1" t="s">
        <v>1004</v>
      </c>
      <c r="F108" s="276" t="s">
        <v>1005</v>
      </c>
      <c r="G108" s="517">
        <v>100000</v>
      </c>
      <c r="H108" s="27">
        <v>0</v>
      </c>
      <c r="I108" s="521" t="s">
        <v>845</v>
      </c>
      <c r="J108" s="517">
        <v>0</v>
      </c>
      <c r="K108" s="517">
        <v>0</v>
      </c>
      <c r="L108" s="665"/>
      <c r="M108" s="390">
        <v>2013</v>
      </c>
      <c r="N108" s="298"/>
      <c r="O108" s="298"/>
    </row>
    <row r="109" spans="1:15" s="583" customFormat="1" ht="18.75" customHeight="1">
      <c r="A109" s="25"/>
      <c r="B109" s="581"/>
      <c r="C109" s="110">
        <v>85158</v>
      </c>
      <c r="D109" s="25"/>
      <c r="E109" s="26" t="s">
        <v>451</v>
      </c>
      <c r="F109" s="340"/>
      <c r="G109" s="515">
        <f>G110</f>
        <v>6099</v>
      </c>
      <c r="H109" s="515">
        <v>0</v>
      </c>
      <c r="I109" s="507"/>
      <c r="J109" s="515">
        <f>J110</f>
        <v>6099</v>
      </c>
      <c r="K109" s="515">
        <f>K110</f>
        <v>0</v>
      </c>
      <c r="L109" s="665">
        <f t="shared" si="2"/>
        <v>100</v>
      </c>
      <c r="M109" s="388"/>
      <c r="N109" s="508"/>
      <c r="O109" s="508"/>
    </row>
    <row r="110" spans="1:15" s="299" customFormat="1" ht="19.5" customHeight="1">
      <c r="A110" s="3">
        <v>72</v>
      </c>
      <c r="B110" s="76"/>
      <c r="C110" s="66"/>
      <c r="D110" s="5">
        <v>6060</v>
      </c>
      <c r="E110" s="393" t="s">
        <v>1006</v>
      </c>
      <c r="F110" s="276" t="s">
        <v>1007</v>
      </c>
      <c r="G110" s="27">
        <f>20000-13901</f>
        <v>6099</v>
      </c>
      <c r="H110" s="27">
        <v>0</v>
      </c>
      <c r="I110" s="521" t="s">
        <v>1008</v>
      </c>
      <c r="J110" s="517">
        <v>6099</v>
      </c>
      <c r="K110" s="517">
        <v>0</v>
      </c>
      <c r="L110" s="665">
        <f t="shared" si="2"/>
        <v>100</v>
      </c>
      <c r="M110" s="390">
        <v>2013</v>
      </c>
      <c r="N110" s="298"/>
      <c r="O110" s="298"/>
    </row>
    <row r="111" spans="1:15" ht="27.75" customHeight="1">
      <c r="A111" s="3"/>
      <c r="B111" s="62">
        <v>853</v>
      </c>
      <c r="C111" s="587"/>
      <c r="D111" s="13"/>
      <c r="E111" s="289" t="s">
        <v>592</v>
      </c>
      <c r="F111" s="524"/>
      <c r="G111" s="524">
        <f>G112</f>
        <v>1909300</v>
      </c>
      <c r="H111" s="524">
        <f>H112</f>
        <v>0</v>
      </c>
      <c r="I111" s="503"/>
      <c r="J111" s="524">
        <f>J112</f>
        <v>242656.32</v>
      </c>
      <c r="K111" s="524">
        <f>K112</f>
        <v>0</v>
      </c>
      <c r="L111" s="665">
        <f t="shared" si="2"/>
        <v>12.709177185355891</v>
      </c>
      <c r="M111" s="585"/>
      <c r="N111" s="23"/>
      <c r="O111" s="23"/>
    </row>
    <row r="112" spans="1:15" ht="18.75" customHeight="1">
      <c r="A112" s="3"/>
      <c r="B112" s="62"/>
      <c r="C112" s="110">
        <v>85395</v>
      </c>
      <c r="D112" s="588"/>
      <c r="E112" s="394" t="s">
        <v>662</v>
      </c>
      <c r="F112" s="515"/>
      <c r="G112" s="515">
        <f>SUM(G113:G124)</f>
        <v>1909300</v>
      </c>
      <c r="H112" s="515">
        <f>SUM(H113:H124)</f>
        <v>0</v>
      </c>
      <c r="I112" s="507"/>
      <c r="J112" s="515">
        <f>SUM(J113:J124)</f>
        <v>242656.32</v>
      </c>
      <c r="K112" s="515">
        <f>SUM(K113:K124)</f>
        <v>0</v>
      </c>
      <c r="L112" s="665">
        <f t="shared" si="2"/>
        <v>12.709177185355891</v>
      </c>
      <c r="M112" s="388"/>
      <c r="N112" s="23"/>
      <c r="O112" s="23"/>
    </row>
    <row r="113" spans="1:15" ht="46.5" customHeight="1">
      <c r="A113" s="3">
        <v>73</v>
      </c>
      <c r="B113" s="62"/>
      <c r="C113" s="510"/>
      <c r="D113" s="13">
        <v>6057</v>
      </c>
      <c r="E113" s="393" t="s">
        <v>987</v>
      </c>
      <c r="F113" s="276" t="s">
        <v>988</v>
      </c>
      <c r="G113" s="517">
        <v>13000</v>
      </c>
      <c r="H113" s="517">
        <v>0</v>
      </c>
      <c r="I113" s="521" t="s">
        <v>1009</v>
      </c>
      <c r="J113" s="517">
        <v>9961.76</v>
      </c>
      <c r="K113" s="517">
        <v>0</v>
      </c>
      <c r="L113" s="665">
        <f t="shared" si="2"/>
        <v>76.62892307692309</v>
      </c>
      <c r="M113" s="390">
        <v>2013</v>
      </c>
      <c r="N113" s="298"/>
      <c r="O113" s="589"/>
    </row>
    <row r="114" spans="1:15" ht="39.75" customHeight="1">
      <c r="A114" s="3">
        <v>74</v>
      </c>
      <c r="B114" s="62"/>
      <c r="C114" s="514"/>
      <c r="D114" s="590">
        <v>6067</v>
      </c>
      <c r="E114" s="591" t="s">
        <v>1010</v>
      </c>
      <c r="F114" s="592" t="s">
        <v>1011</v>
      </c>
      <c r="G114" s="593">
        <f>18000-1000</f>
        <v>17000</v>
      </c>
      <c r="H114" s="517">
        <v>0</v>
      </c>
      <c r="I114" s="592" t="s">
        <v>1012</v>
      </c>
      <c r="J114" s="517">
        <v>17000</v>
      </c>
      <c r="K114" s="517">
        <v>0</v>
      </c>
      <c r="L114" s="665">
        <f t="shared" si="2"/>
        <v>100</v>
      </c>
      <c r="M114" s="390">
        <v>2013</v>
      </c>
      <c r="N114" s="23"/>
      <c r="O114" s="259"/>
    </row>
    <row r="115" spans="1:15" ht="41.25" customHeight="1">
      <c r="A115" s="3">
        <v>75</v>
      </c>
      <c r="B115" s="62"/>
      <c r="C115" s="514"/>
      <c r="D115" s="590">
        <v>6067</v>
      </c>
      <c r="E115" s="591" t="s">
        <v>1013</v>
      </c>
      <c r="F115" s="592" t="s">
        <v>1014</v>
      </c>
      <c r="G115" s="593">
        <f>16000-6000</f>
        <v>10000</v>
      </c>
      <c r="H115" s="517">
        <v>0</v>
      </c>
      <c r="I115" s="521" t="s">
        <v>1015</v>
      </c>
      <c r="J115" s="517">
        <v>10000</v>
      </c>
      <c r="K115" s="517">
        <v>0</v>
      </c>
      <c r="L115" s="665">
        <f t="shared" si="2"/>
        <v>100</v>
      </c>
      <c r="M115" s="390">
        <v>2013</v>
      </c>
      <c r="N115" s="23"/>
      <c r="O115" s="23"/>
    </row>
    <row r="116" spans="1:15" ht="36">
      <c r="A116" s="3">
        <v>76</v>
      </c>
      <c r="B116" s="62"/>
      <c r="C116" s="514"/>
      <c r="D116" s="590">
        <v>6067</v>
      </c>
      <c r="E116" s="591" t="s">
        <v>1016</v>
      </c>
      <c r="F116" s="592" t="s">
        <v>1017</v>
      </c>
      <c r="G116" s="593">
        <v>4000</v>
      </c>
      <c r="H116" s="517">
        <v>0</v>
      </c>
      <c r="I116" s="521" t="s">
        <v>1018</v>
      </c>
      <c r="J116" s="517">
        <v>3999.9</v>
      </c>
      <c r="K116" s="517">
        <v>0</v>
      </c>
      <c r="L116" s="665">
        <f t="shared" si="2"/>
        <v>99.9975</v>
      </c>
      <c r="M116" s="390">
        <v>2013</v>
      </c>
      <c r="N116" s="23"/>
      <c r="O116" s="23"/>
    </row>
    <row r="117" spans="1:15" ht="24">
      <c r="A117" s="14">
        <v>77</v>
      </c>
      <c r="B117" s="594"/>
      <c r="C117" s="514"/>
      <c r="D117" s="590">
        <v>6067</v>
      </c>
      <c r="E117" s="591" t="s">
        <v>1019</v>
      </c>
      <c r="F117" s="592" t="s">
        <v>1020</v>
      </c>
      <c r="G117" s="593">
        <v>6300</v>
      </c>
      <c r="H117" s="517">
        <v>0</v>
      </c>
      <c r="I117" s="521" t="s">
        <v>1021</v>
      </c>
      <c r="J117" s="517">
        <v>6300</v>
      </c>
      <c r="K117" s="517">
        <v>0</v>
      </c>
      <c r="L117" s="665">
        <f t="shared" si="2"/>
        <v>100</v>
      </c>
      <c r="M117" s="390">
        <v>2013</v>
      </c>
      <c r="N117" s="23"/>
      <c r="O117" s="23"/>
    </row>
    <row r="118" spans="1:15" ht="36">
      <c r="A118" s="14">
        <v>78</v>
      </c>
      <c r="B118" s="594"/>
      <c r="C118" s="514"/>
      <c r="D118" s="590">
        <v>6067</v>
      </c>
      <c r="E118" s="591" t="s">
        <v>1022</v>
      </c>
      <c r="F118" s="592" t="s">
        <v>1023</v>
      </c>
      <c r="G118" s="593">
        <v>3500</v>
      </c>
      <c r="H118" s="517">
        <v>0</v>
      </c>
      <c r="I118" s="521" t="s">
        <v>1024</v>
      </c>
      <c r="J118" s="517">
        <v>3490</v>
      </c>
      <c r="K118" s="517">
        <v>0</v>
      </c>
      <c r="L118" s="665">
        <f t="shared" si="2"/>
        <v>99.71428571428571</v>
      </c>
      <c r="M118" s="390">
        <v>2013</v>
      </c>
      <c r="N118" s="23"/>
      <c r="O118" s="23"/>
    </row>
    <row r="119" spans="1:15" ht="24">
      <c r="A119" s="14">
        <v>79</v>
      </c>
      <c r="B119" s="594"/>
      <c r="C119" s="514"/>
      <c r="D119" s="590">
        <v>6067</v>
      </c>
      <c r="E119" s="591" t="s">
        <v>1025</v>
      </c>
      <c r="F119" s="592" t="s">
        <v>1026</v>
      </c>
      <c r="G119" s="593">
        <v>3500</v>
      </c>
      <c r="H119" s="517">
        <v>0</v>
      </c>
      <c r="I119" s="521" t="s">
        <v>845</v>
      </c>
      <c r="J119" s="517">
        <v>0</v>
      </c>
      <c r="K119" s="517">
        <v>0</v>
      </c>
      <c r="L119" s="665"/>
      <c r="M119" s="390">
        <v>2013</v>
      </c>
      <c r="N119" s="23"/>
      <c r="O119" s="23"/>
    </row>
    <row r="120" spans="1:15" ht="28.5" customHeight="1">
      <c r="A120" s="14">
        <v>80</v>
      </c>
      <c r="B120" s="594"/>
      <c r="C120" s="514"/>
      <c r="D120" s="590">
        <v>6067</v>
      </c>
      <c r="E120" s="591" t="s">
        <v>1027</v>
      </c>
      <c r="F120" s="592" t="s">
        <v>1028</v>
      </c>
      <c r="G120" s="593">
        <v>31000</v>
      </c>
      <c r="H120" s="517">
        <v>0</v>
      </c>
      <c r="I120" s="521" t="s">
        <v>845</v>
      </c>
      <c r="J120" s="517">
        <v>0</v>
      </c>
      <c r="K120" s="517">
        <v>0</v>
      </c>
      <c r="L120" s="665"/>
      <c r="M120" s="390">
        <v>2013</v>
      </c>
      <c r="N120" s="23"/>
      <c r="O120" s="23"/>
    </row>
    <row r="121" spans="1:15" ht="81.75" customHeight="1">
      <c r="A121" s="1132">
        <v>81</v>
      </c>
      <c r="B121" s="594"/>
      <c r="C121" s="514"/>
      <c r="D121" s="13">
        <v>6237</v>
      </c>
      <c r="E121" s="393" t="s">
        <v>1029</v>
      </c>
      <c r="F121" s="595" t="s">
        <v>1030</v>
      </c>
      <c r="G121" s="27">
        <v>1360000</v>
      </c>
      <c r="H121" s="27">
        <v>0</v>
      </c>
      <c r="I121" s="521" t="s">
        <v>845</v>
      </c>
      <c r="J121" s="517">
        <v>0</v>
      </c>
      <c r="K121" s="517">
        <v>0</v>
      </c>
      <c r="L121" s="665"/>
      <c r="M121" s="390" t="s">
        <v>856</v>
      </c>
      <c r="N121" s="23"/>
      <c r="O121" s="259"/>
    </row>
    <row r="122" spans="1:15" ht="78" customHeight="1">
      <c r="A122" s="1139"/>
      <c r="B122" s="594"/>
      <c r="C122" s="510"/>
      <c r="D122" s="13">
        <v>6239</v>
      </c>
      <c r="E122" s="393" t="s">
        <v>1031</v>
      </c>
      <c r="F122" s="595" t="s">
        <v>1030</v>
      </c>
      <c r="G122" s="27">
        <v>240000</v>
      </c>
      <c r="H122" s="27">
        <v>0</v>
      </c>
      <c r="I122" s="521" t="s">
        <v>845</v>
      </c>
      <c r="J122" s="517">
        <v>0</v>
      </c>
      <c r="K122" s="517">
        <v>0</v>
      </c>
      <c r="L122" s="665"/>
      <c r="M122" s="390" t="s">
        <v>856</v>
      </c>
      <c r="N122" s="23"/>
      <c r="O122" s="23"/>
    </row>
    <row r="123" spans="1:15" ht="75.75" customHeight="1">
      <c r="A123" s="1146">
        <v>82</v>
      </c>
      <c r="B123" s="594"/>
      <c r="C123" s="510"/>
      <c r="D123" s="13">
        <v>6237</v>
      </c>
      <c r="E123" s="393" t="s">
        <v>1032</v>
      </c>
      <c r="F123" s="276" t="s">
        <v>1033</v>
      </c>
      <c r="G123" s="27">
        <v>187850</v>
      </c>
      <c r="H123" s="27">
        <v>0</v>
      </c>
      <c r="I123" s="1147" t="s">
        <v>293</v>
      </c>
      <c r="J123" s="517">
        <v>163118.96</v>
      </c>
      <c r="K123" s="517">
        <v>0</v>
      </c>
      <c r="L123" s="665">
        <f t="shared" si="2"/>
        <v>86.83468725046579</v>
      </c>
      <c r="M123" s="390" t="s">
        <v>848</v>
      </c>
      <c r="N123" s="23"/>
      <c r="O123" s="259"/>
    </row>
    <row r="124" spans="1:15" ht="75" customHeight="1">
      <c r="A124" s="1146"/>
      <c r="B124" s="594"/>
      <c r="C124" s="510"/>
      <c r="D124" s="13">
        <v>6239</v>
      </c>
      <c r="E124" s="393" t="s">
        <v>1032</v>
      </c>
      <c r="F124" s="276" t="s">
        <v>1033</v>
      </c>
      <c r="G124" s="27">
        <v>33150</v>
      </c>
      <c r="H124" s="27">
        <v>0</v>
      </c>
      <c r="I124" s="1148"/>
      <c r="J124" s="517">
        <v>28785.7</v>
      </c>
      <c r="K124" s="517">
        <v>0</v>
      </c>
      <c r="L124" s="665">
        <f t="shared" si="2"/>
        <v>86.83469079939668</v>
      </c>
      <c r="M124" s="390" t="s">
        <v>848</v>
      </c>
      <c r="N124" s="23"/>
      <c r="O124" s="23"/>
    </row>
    <row r="125" spans="1:15" ht="29.25" customHeight="1">
      <c r="A125" s="11"/>
      <c r="B125" s="62">
        <v>900</v>
      </c>
      <c r="C125" s="62"/>
      <c r="D125" s="122"/>
      <c r="E125" s="523" t="s">
        <v>552</v>
      </c>
      <c r="F125" s="524"/>
      <c r="G125" s="524">
        <f>G126+G129+G139</f>
        <v>3214797.16</v>
      </c>
      <c r="H125" s="524">
        <f>H126+H129+H139</f>
        <v>905000</v>
      </c>
      <c r="I125" s="503" t="s">
        <v>410</v>
      </c>
      <c r="J125" s="524">
        <f>J126+J129+J139</f>
        <v>88558.20999999999</v>
      </c>
      <c r="K125" s="524">
        <f>K126+K129+K139</f>
        <v>75140.36</v>
      </c>
      <c r="L125" s="665">
        <f t="shared" si="2"/>
        <v>2.75470599208816</v>
      </c>
      <c r="M125" s="390"/>
      <c r="N125" s="23"/>
      <c r="O125" s="23"/>
    </row>
    <row r="126" spans="1:15" ht="24" customHeight="1">
      <c r="A126" s="54"/>
      <c r="B126" s="73"/>
      <c r="C126" s="109">
        <v>90002</v>
      </c>
      <c r="D126" s="111"/>
      <c r="E126" s="394" t="s">
        <v>458</v>
      </c>
      <c r="F126" s="515"/>
      <c r="G126" s="515">
        <f>SUM(G127:G128)</f>
        <v>42000</v>
      </c>
      <c r="H126" s="515">
        <f>SUM(H127:H128)</f>
        <v>42000</v>
      </c>
      <c r="I126" s="507" t="s">
        <v>410</v>
      </c>
      <c r="J126" s="515">
        <f>SUM(J127:J128)</f>
        <v>3505.76</v>
      </c>
      <c r="K126" s="515">
        <f>SUM(K127:K128)</f>
        <v>3505.76</v>
      </c>
      <c r="L126" s="665">
        <f t="shared" si="2"/>
        <v>8.347047619047618</v>
      </c>
      <c r="M126" s="390"/>
      <c r="N126" s="23"/>
      <c r="O126" s="23"/>
    </row>
    <row r="127" spans="1:15" ht="51.75" customHeight="1">
      <c r="A127" s="3">
        <v>83</v>
      </c>
      <c r="B127" s="76"/>
      <c r="C127" s="63"/>
      <c r="D127" s="5">
        <v>6220</v>
      </c>
      <c r="E127" s="596" t="s">
        <v>1034</v>
      </c>
      <c r="F127" s="597" t="s">
        <v>1035</v>
      </c>
      <c r="G127" s="598">
        <v>12000</v>
      </c>
      <c r="H127" s="598">
        <v>12000</v>
      </c>
      <c r="I127" s="597" t="s">
        <v>845</v>
      </c>
      <c r="J127" s="517">
        <v>0</v>
      </c>
      <c r="K127" s="517">
        <v>0</v>
      </c>
      <c r="L127" s="665"/>
      <c r="M127" s="390">
        <v>2013</v>
      </c>
      <c r="N127" s="23"/>
      <c r="O127" s="23"/>
    </row>
    <row r="128" spans="1:15" ht="54.75" customHeight="1">
      <c r="A128" s="8">
        <v>84</v>
      </c>
      <c r="B128" s="76"/>
      <c r="C128" s="74"/>
      <c r="D128" s="5">
        <v>6230</v>
      </c>
      <c r="E128" s="591" t="s">
        <v>1034</v>
      </c>
      <c r="F128" s="597" t="s">
        <v>1035</v>
      </c>
      <c r="G128" s="598">
        <v>30000</v>
      </c>
      <c r="H128" s="598">
        <v>30000</v>
      </c>
      <c r="I128" s="597" t="s">
        <v>1036</v>
      </c>
      <c r="J128" s="517">
        <v>3505.76</v>
      </c>
      <c r="K128" s="517">
        <v>3505.76</v>
      </c>
      <c r="L128" s="665">
        <f t="shared" si="2"/>
        <v>11.685866666666668</v>
      </c>
      <c r="M128" s="390">
        <v>2013</v>
      </c>
      <c r="N128" s="23"/>
      <c r="O128" s="23"/>
    </row>
    <row r="129" spans="1:15" ht="24">
      <c r="A129" s="3"/>
      <c r="B129" s="109"/>
      <c r="C129" s="110">
        <v>90015</v>
      </c>
      <c r="D129" s="111"/>
      <c r="E129" s="394" t="s">
        <v>1037</v>
      </c>
      <c r="F129" s="515"/>
      <c r="G129" s="515">
        <f>SUM(G130:G138)</f>
        <v>1108059.21</v>
      </c>
      <c r="H129" s="515">
        <f>SUM(H130:H138)</f>
        <v>338000</v>
      </c>
      <c r="I129" s="507" t="s">
        <v>410</v>
      </c>
      <c r="J129" s="515">
        <f>SUM(J130:J138)</f>
        <v>40748.45</v>
      </c>
      <c r="K129" s="515">
        <f>SUM(K130:K138)</f>
        <v>33234.6</v>
      </c>
      <c r="L129" s="665">
        <f t="shared" si="2"/>
        <v>3.6774614237446746</v>
      </c>
      <c r="M129" s="388"/>
      <c r="N129" s="23"/>
      <c r="O129" s="23"/>
    </row>
    <row r="130" spans="1:15" ht="46.5" customHeight="1">
      <c r="A130" s="3">
        <v>85</v>
      </c>
      <c r="B130" s="77"/>
      <c r="C130" s="67"/>
      <c r="D130" s="9">
        <v>6050</v>
      </c>
      <c r="E130" s="596" t="s">
        <v>1038</v>
      </c>
      <c r="F130" s="599" t="s">
        <v>1039</v>
      </c>
      <c r="G130" s="600">
        <f>100000+160000-240000+240000</f>
        <v>260000</v>
      </c>
      <c r="H130" s="600">
        <f>100000+160000-240000+240000</f>
        <v>260000</v>
      </c>
      <c r="I130" s="601" t="s">
        <v>1040</v>
      </c>
      <c r="J130" s="517">
        <v>0</v>
      </c>
      <c r="K130" s="517">
        <v>0</v>
      </c>
      <c r="L130" s="665"/>
      <c r="M130" s="526">
        <v>2013</v>
      </c>
      <c r="N130" s="23"/>
      <c r="O130" s="23"/>
    </row>
    <row r="131" spans="1:15" ht="81" customHeight="1">
      <c r="A131" s="3">
        <v>86</v>
      </c>
      <c r="B131" s="77"/>
      <c r="C131" s="66"/>
      <c r="D131" s="9">
        <v>6050</v>
      </c>
      <c r="E131" s="591" t="s">
        <v>1041</v>
      </c>
      <c r="F131" s="602" t="s">
        <v>0</v>
      </c>
      <c r="G131" s="598">
        <f>200000-95000</f>
        <v>105000</v>
      </c>
      <c r="H131" s="598">
        <v>0</v>
      </c>
      <c r="I131" s="516" t="s">
        <v>294</v>
      </c>
      <c r="J131" s="517">
        <v>0</v>
      </c>
      <c r="K131" s="517">
        <v>0</v>
      </c>
      <c r="L131" s="665"/>
      <c r="M131" s="526" t="s">
        <v>871</v>
      </c>
      <c r="N131" s="23"/>
      <c r="O131" s="23"/>
    </row>
    <row r="132" spans="1:15" ht="63.75" customHeight="1">
      <c r="A132" s="3">
        <v>87</v>
      </c>
      <c r="B132" s="77"/>
      <c r="C132" s="66"/>
      <c r="D132" s="9">
        <v>6050</v>
      </c>
      <c r="E132" s="591" t="s">
        <v>1</v>
      </c>
      <c r="F132" s="603" t="s">
        <v>2</v>
      </c>
      <c r="G132" s="598">
        <f>175000-150000+150000</f>
        <v>175000</v>
      </c>
      <c r="H132" s="598">
        <v>0</v>
      </c>
      <c r="I132" s="597" t="s">
        <v>845</v>
      </c>
      <c r="J132" s="517">
        <v>0</v>
      </c>
      <c r="K132" s="517">
        <v>0</v>
      </c>
      <c r="L132" s="665">
        <f t="shared" si="2"/>
        <v>0</v>
      </c>
      <c r="M132" s="526">
        <v>2013</v>
      </c>
      <c r="N132" s="23"/>
      <c r="O132" s="23"/>
    </row>
    <row r="133" spans="1:15" ht="64.5" customHeight="1">
      <c r="A133" s="3">
        <v>88</v>
      </c>
      <c r="B133" s="77"/>
      <c r="C133" s="66"/>
      <c r="D133" s="9">
        <v>6050</v>
      </c>
      <c r="E133" s="591" t="s">
        <v>3</v>
      </c>
      <c r="F133" s="602" t="s">
        <v>4</v>
      </c>
      <c r="G133" s="598">
        <f>270000-120000</f>
        <v>150000</v>
      </c>
      <c r="H133" s="598">
        <v>0</v>
      </c>
      <c r="I133" s="516" t="s">
        <v>295</v>
      </c>
      <c r="J133" s="517">
        <v>1144.24</v>
      </c>
      <c r="K133" s="517">
        <v>0</v>
      </c>
      <c r="L133" s="665">
        <f t="shared" si="2"/>
        <v>0.7628266666666667</v>
      </c>
      <c r="M133" s="526" t="s">
        <v>871</v>
      </c>
      <c r="N133" s="23"/>
      <c r="O133" s="23"/>
    </row>
    <row r="134" spans="1:15" ht="29.25" customHeight="1">
      <c r="A134" s="3">
        <v>89</v>
      </c>
      <c r="B134" s="77"/>
      <c r="C134" s="66"/>
      <c r="D134" s="9">
        <v>6050</v>
      </c>
      <c r="E134" s="591" t="s">
        <v>5</v>
      </c>
      <c r="F134" s="603" t="s">
        <v>6</v>
      </c>
      <c r="G134" s="598">
        <v>25000</v>
      </c>
      <c r="H134" s="598">
        <v>0</v>
      </c>
      <c r="I134" s="604" t="s">
        <v>955</v>
      </c>
      <c r="J134" s="517">
        <v>5220</v>
      </c>
      <c r="K134" s="517">
        <v>0</v>
      </c>
      <c r="L134" s="665">
        <f t="shared" si="2"/>
        <v>20.880000000000003</v>
      </c>
      <c r="M134" s="526">
        <v>2013</v>
      </c>
      <c r="N134" s="23"/>
      <c r="O134" s="23"/>
    </row>
    <row r="135" spans="1:15" ht="96" customHeight="1">
      <c r="A135" s="3">
        <v>90</v>
      </c>
      <c r="B135" s="77"/>
      <c r="C135" s="66"/>
      <c r="D135" s="9">
        <v>6050</v>
      </c>
      <c r="E135" s="591" t="s">
        <v>7</v>
      </c>
      <c r="F135" s="603" t="s">
        <v>8</v>
      </c>
      <c r="G135" s="598">
        <f>78000+48909.6</f>
        <v>126909.6</v>
      </c>
      <c r="H135" s="598">
        <v>78000</v>
      </c>
      <c r="I135" s="604" t="s">
        <v>677</v>
      </c>
      <c r="J135" s="517">
        <v>33234.6</v>
      </c>
      <c r="K135" s="517">
        <v>33234.6</v>
      </c>
      <c r="L135" s="665">
        <f t="shared" si="2"/>
        <v>26.187617012424592</v>
      </c>
      <c r="M135" s="526" t="s">
        <v>9</v>
      </c>
      <c r="N135" s="23"/>
      <c r="O135" s="23"/>
    </row>
    <row r="136" spans="1:15" ht="41.25" customHeight="1">
      <c r="A136" s="3">
        <v>91</v>
      </c>
      <c r="B136" s="77"/>
      <c r="C136" s="66"/>
      <c r="D136" s="9">
        <v>6050</v>
      </c>
      <c r="E136" s="591" t="s">
        <v>10</v>
      </c>
      <c r="F136" s="603" t="s">
        <v>11</v>
      </c>
      <c r="G136" s="598">
        <f>50000+25000</f>
        <v>75000</v>
      </c>
      <c r="H136" s="598">
        <v>0</v>
      </c>
      <c r="I136" s="604" t="s">
        <v>12</v>
      </c>
      <c r="J136" s="517">
        <v>0</v>
      </c>
      <c r="K136" s="517">
        <v>0</v>
      </c>
      <c r="L136" s="665"/>
      <c r="M136" s="526">
        <v>2013</v>
      </c>
      <c r="N136" s="23"/>
      <c r="O136" s="23"/>
    </row>
    <row r="137" spans="1:15" ht="29.25" customHeight="1">
      <c r="A137" s="3">
        <v>92</v>
      </c>
      <c r="B137" s="77"/>
      <c r="C137" s="66"/>
      <c r="D137" s="9">
        <v>6050</v>
      </c>
      <c r="E137" s="605" t="s">
        <v>13</v>
      </c>
      <c r="F137" s="599" t="s">
        <v>6</v>
      </c>
      <c r="G137" s="598">
        <v>1149.61</v>
      </c>
      <c r="H137" s="598">
        <v>0</v>
      </c>
      <c r="I137" s="597" t="s">
        <v>845</v>
      </c>
      <c r="J137" s="517">
        <v>0</v>
      </c>
      <c r="K137" s="517">
        <v>0</v>
      </c>
      <c r="L137" s="665"/>
      <c r="M137" s="526">
        <v>2013</v>
      </c>
      <c r="N137" s="23"/>
      <c r="O137" s="23"/>
    </row>
    <row r="138" spans="1:15" ht="60">
      <c r="A138" s="3">
        <v>93</v>
      </c>
      <c r="B138" s="77"/>
      <c r="C138" s="66"/>
      <c r="D138" s="9">
        <v>6050</v>
      </c>
      <c r="E138" s="591" t="s">
        <v>14</v>
      </c>
      <c r="F138" s="599" t="s">
        <v>6</v>
      </c>
      <c r="G138" s="598">
        <f>300000-110000</f>
        <v>190000</v>
      </c>
      <c r="H138" s="598">
        <v>0</v>
      </c>
      <c r="I138" s="516" t="s">
        <v>295</v>
      </c>
      <c r="J138" s="517">
        <v>1149.61</v>
      </c>
      <c r="K138" s="517">
        <v>0</v>
      </c>
      <c r="L138" s="665">
        <f t="shared" si="2"/>
        <v>0.6050578947368421</v>
      </c>
      <c r="M138" s="526">
        <v>2013</v>
      </c>
      <c r="N138" s="23"/>
      <c r="O138" s="23"/>
    </row>
    <row r="139" spans="1:15" ht="24" customHeight="1">
      <c r="A139" s="3"/>
      <c r="B139" s="109"/>
      <c r="C139" s="110">
        <v>90095</v>
      </c>
      <c r="D139" s="111"/>
      <c r="E139" s="394" t="s">
        <v>544</v>
      </c>
      <c r="F139" s="515"/>
      <c r="G139" s="515">
        <f>SUM(G140:G151)</f>
        <v>2064737.95</v>
      </c>
      <c r="H139" s="515">
        <f>SUM(H140:H151)</f>
        <v>525000</v>
      </c>
      <c r="I139" s="507"/>
      <c r="J139" s="515">
        <f>SUM(J140:J151)</f>
        <v>44304</v>
      </c>
      <c r="K139" s="515">
        <f>SUM(K140:K151)</f>
        <v>38400</v>
      </c>
      <c r="L139" s="665">
        <f t="shared" si="2"/>
        <v>2.145744451493227</v>
      </c>
      <c r="M139" s="388"/>
      <c r="N139" s="23"/>
      <c r="O139" s="23"/>
    </row>
    <row r="140" spans="1:15" ht="84">
      <c r="A140" s="14">
        <v>94</v>
      </c>
      <c r="B140" s="522"/>
      <c r="C140" s="66"/>
      <c r="D140" s="5">
        <v>6010</v>
      </c>
      <c r="E140" s="393" t="s">
        <v>15</v>
      </c>
      <c r="F140" s="288" t="s">
        <v>16</v>
      </c>
      <c r="G140" s="517">
        <v>6700</v>
      </c>
      <c r="H140" s="517">
        <v>0</v>
      </c>
      <c r="I140" s="521" t="s">
        <v>899</v>
      </c>
      <c r="J140" s="517">
        <v>0</v>
      </c>
      <c r="K140" s="517">
        <v>0</v>
      </c>
      <c r="L140" s="665"/>
      <c r="M140" s="606">
        <v>2013</v>
      </c>
      <c r="N140" s="298"/>
      <c r="O140" s="298"/>
    </row>
    <row r="141" spans="1:15" ht="53.25" customHeight="1">
      <c r="A141" s="14">
        <v>95</v>
      </c>
      <c r="B141" s="522"/>
      <c r="C141" s="66"/>
      <c r="D141" s="5">
        <v>6010</v>
      </c>
      <c r="E141" s="393" t="s">
        <v>17</v>
      </c>
      <c r="F141" s="607" t="s">
        <v>18</v>
      </c>
      <c r="G141" s="517">
        <v>262900</v>
      </c>
      <c r="H141" s="517">
        <v>0</v>
      </c>
      <c r="I141" s="521" t="s">
        <v>899</v>
      </c>
      <c r="J141" s="517">
        <v>0</v>
      </c>
      <c r="K141" s="517">
        <v>0</v>
      </c>
      <c r="L141" s="665">
        <f t="shared" si="2"/>
        <v>0</v>
      </c>
      <c r="M141" s="606" t="s">
        <v>871</v>
      </c>
      <c r="N141" s="298"/>
      <c r="O141" s="298"/>
    </row>
    <row r="142" spans="1:15" ht="48">
      <c r="A142" s="14">
        <v>96</v>
      </c>
      <c r="B142" s="522"/>
      <c r="C142" s="66"/>
      <c r="D142" s="5">
        <v>6010</v>
      </c>
      <c r="E142" s="393" t="s">
        <v>19</v>
      </c>
      <c r="F142" s="607" t="s">
        <v>20</v>
      </c>
      <c r="G142" s="517">
        <v>31777.95</v>
      </c>
      <c r="H142" s="517">
        <v>0</v>
      </c>
      <c r="I142" s="521" t="s">
        <v>899</v>
      </c>
      <c r="J142" s="517">
        <v>0</v>
      </c>
      <c r="K142" s="517">
        <v>0</v>
      </c>
      <c r="L142" s="665"/>
      <c r="M142" s="606">
        <v>2013</v>
      </c>
      <c r="N142" s="298"/>
      <c r="O142" s="298"/>
    </row>
    <row r="143" spans="1:15" ht="53.25" customHeight="1">
      <c r="A143" s="14">
        <v>97</v>
      </c>
      <c r="B143" s="522"/>
      <c r="C143" s="66"/>
      <c r="D143" s="5">
        <v>6010</v>
      </c>
      <c r="E143" s="393" t="s">
        <v>21</v>
      </c>
      <c r="F143" s="607" t="s">
        <v>22</v>
      </c>
      <c r="G143" s="517">
        <v>125400</v>
      </c>
      <c r="H143" s="517">
        <v>0</v>
      </c>
      <c r="I143" s="521" t="s">
        <v>899</v>
      </c>
      <c r="J143" s="517">
        <v>0</v>
      </c>
      <c r="K143" s="517">
        <v>0</v>
      </c>
      <c r="L143" s="665"/>
      <c r="M143" s="606">
        <v>2013</v>
      </c>
      <c r="N143" s="298"/>
      <c r="O143" s="298"/>
    </row>
    <row r="144" spans="1:15" ht="77.25" customHeight="1">
      <c r="A144" s="14">
        <v>98</v>
      </c>
      <c r="B144" s="608"/>
      <c r="C144" s="109"/>
      <c r="D144" s="3">
        <v>6010</v>
      </c>
      <c r="E144" s="609" t="s">
        <v>23</v>
      </c>
      <c r="F144" s="1" t="s">
        <v>16</v>
      </c>
      <c r="G144" s="517">
        <v>24000</v>
      </c>
      <c r="H144" s="517">
        <v>0</v>
      </c>
      <c r="I144" s="521" t="s">
        <v>899</v>
      </c>
      <c r="J144" s="517">
        <v>0</v>
      </c>
      <c r="K144" s="517">
        <v>0</v>
      </c>
      <c r="L144" s="665"/>
      <c r="M144" s="610">
        <v>2013</v>
      </c>
      <c r="N144" s="23"/>
      <c r="O144" s="23"/>
    </row>
    <row r="145" spans="1:15" ht="72" customHeight="1">
      <c r="A145" s="14">
        <v>99</v>
      </c>
      <c r="B145" s="608"/>
      <c r="C145" s="109"/>
      <c r="D145" s="5">
        <v>6050</v>
      </c>
      <c r="E145" s="1" t="s">
        <v>24</v>
      </c>
      <c r="F145" s="31" t="s">
        <v>25</v>
      </c>
      <c r="G145" s="517">
        <f>1375000-1300000</f>
        <v>75000</v>
      </c>
      <c r="H145" s="517">
        <f>1375000-1300000</f>
        <v>75000</v>
      </c>
      <c r="I145" s="611" t="s">
        <v>296</v>
      </c>
      <c r="J145" s="517">
        <v>450</v>
      </c>
      <c r="K145" s="517">
        <v>450</v>
      </c>
      <c r="L145" s="665">
        <f>J145/G145*100</f>
        <v>0.6</v>
      </c>
      <c r="M145" s="606" t="s">
        <v>871</v>
      </c>
      <c r="N145" s="23"/>
      <c r="O145" s="23"/>
    </row>
    <row r="146" spans="1:15" ht="57.75" customHeight="1">
      <c r="A146" s="14">
        <v>100</v>
      </c>
      <c r="B146" s="608"/>
      <c r="C146" s="109"/>
      <c r="D146" s="5">
        <v>6050</v>
      </c>
      <c r="E146" s="393" t="s">
        <v>26</v>
      </c>
      <c r="F146" s="517" t="s">
        <v>27</v>
      </c>
      <c r="G146" s="517">
        <v>50000</v>
      </c>
      <c r="H146" s="517">
        <v>0</v>
      </c>
      <c r="I146" s="521" t="s">
        <v>845</v>
      </c>
      <c r="J146" s="517">
        <v>0</v>
      </c>
      <c r="K146" s="517">
        <v>0</v>
      </c>
      <c r="L146" s="665"/>
      <c r="M146" s="390">
        <v>2013</v>
      </c>
      <c r="N146" s="23"/>
      <c r="O146" s="23"/>
    </row>
    <row r="147" spans="1:15" ht="62.25" customHeight="1">
      <c r="A147" s="14">
        <v>101</v>
      </c>
      <c r="B147" s="608"/>
      <c r="C147" s="109"/>
      <c r="D147" s="5">
        <v>6050</v>
      </c>
      <c r="E147" s="393" t="s">
        <v>28</v>
      </c>
      <c r="F147" s="290" t="s">
        <v>29</v>
      </c>
      <c r="G147" s="517">
        <v>100000</v>
      </c>
      <c r="H147" s="517">
        <v>0</v>
      </c>
      <c r="I147" s="521" t="s">
        <v>30</v>
      </c>
      <c r="J147" s="517">
        <v>5904</v>
      </c>
      <c r="K147" s="517">
        <v>0</v>
      </c>
      <c r="L147" s="665">
        <f>J147/G147*100</f>
        <v>5.904</v>
      </c>
      <c r="M147" s="526">
        <v>2013</v>
      </c>
      <c r="N147" s="23"/>
      <c r="O147" s="23"/>
    </row>
    <row r="148" spans="1:15" ht="41.25" customHeight="1">
      <c r="A148" s="14">
        <v>102</v>
      </c>
      <c r="B148" s="608"/>
      <c r="C148" s="109"/>
      <c r="D148" s="3">
        <v>6050</v>
      </c>
      <c r="E148" s="609" t="s">
        <v>31</v>
      </c>
      <c r="F148" s="288"/>
      <c r="G148" s="517">
        <v>26300</v>
      </c>
      <c r="H148" s="517">
        <v>0</v>
      </c>
      <c r="I148" s="521" t="s">
        <v>899</v>
      </c>
      <c r="J148" s="517">
        <v>0</v>
      </c>
      <c r="K148" s="517">
        <v>0</v>
      </c>
      <c r="L148" s="665"/>
      <c r="M148" s="610">
        <v>2013</v>
      </c>
      <c r="N148" s="23"/>
      <c r="O148" s="23"/>
    </row>
    <row r="149" spans="1:15" ht="79.5" customHeight="1">
      <c r="A149" s="1132">
        <v>103</v>
      </c>
      <c r="B149" s="608"/>
      <c r="C149" s="109"/>
      <c r="D149" s="5">
        <v>6057</v>
      </c>
      <c r="E149" s="591" t="s">
        <v>32</v>
      </c>
      <c r="F149" s="612" t="s">
        <v>33</v>
      </c>
      <c r="G149" s="517">
        <v>775761</v>
      </c>
      <c r="H149" s="515">
        <v>0</v>
      </c>
      <c r="I149" s="1140" t="s">
        <v>297</v>
      </c>
      <c r="J149" s="517">
        <v>0</v>
      </c>
      <c r="K149" s="517">
        <v>0</v>
      </c>
      <c r="L149" s="665"/>
      <c r="M149" s="606" t="s">
        <v>34</v>
      </c>
      <c r="N149" s="23"/>
      <c r="O149" s="259"/>
    </row>
    <row r="150" spans="1:15" ht="42.75" customHeight="1">
      <c r="A150" s="1139"/>
      <c r="B150" s="249"/>
      <c r="C150" s="68"/>
      <c r="D150" s="5">
        <v>6059</v>
      </c>
      <c r="E150" s="591" t="s">
        <v>32</v>
      </c>
      <c r="F150" s="612" t="s">
        <v>33</v>
      </c>
      <c r="G150" s="598">
        <v>136899</v>
      </c>
      <c r="H150" s="598">
        <v>0</v>
      </c>
      <c r="I150" s="1141"/>
      <c r="J150" s="517">
        <v>0</v>
      </c>
      <c r="K150" s="517">
        <v>0</v>
      </c>
      <c r="L150" s="665"/>
      <c r="M150" s="606" t="s">
        <v>34</v>
      </c>
      <c r="N150" s="23"/>
      <c r="O150" s="23"/>
    </row>
    <row r="151" spans="1:15" ht="83.25" customHeight="1">
      <c r="A151" s="613">
        <v>104</v>
      </c>
      <c r="B151" s="249"/>
      <c r="C151" s="68"/>
      <c r="D151" s="614">
        <v>6230</v>
      </c>
      <c r="E151" s="591" t="s">
        <v>35</v>
      </c>
      <c r="F151" s="603" t="s">
        <v>36</v>
      </c>
      <c r="G151" s="598">
        <f>50000+100000+300000</f>
        <v>450000</v>
      </c>
      <c r="H151" s="598">
        <f>50000+100000+300000</f>
        <v>450000</v>
      </c>
      <c r="I151" s="604" t="s">
        <v>37</v>
      </c>
      <c r="J151" s="517">
        <v>37950</v>
      </c>
      <c r="K151" s="517">
        <v>37950</v>
      </c>
      <c r="L151" s="665">
        <f>J151/G151*100</f>
        <v>8.433333333333334</v>
      </c>
      <c r="M151" s="526">
        <v>2013</v>
      </c>
      <c r="N151" s="23"/>
      <c r="O151" s="23"/>
    </row>
    <row r="152" spans="1:15" ht="24">
      <c r="A152" s="615"/>
      <c r="B152" s="65">
        <v>921</v>
      </c>
      <c r="C152" s="65"/>
      <c r="D152" s="11"/>
      <c r="E152" s="616" t="s">
        <v>38</v>
      </c>
      <c r="F152" s="617"/>
      <c r="G152" s="617">
        <f>G153</f>
        <v>365000</v>
      </c>
      <c r="H152" s="617">
        <f>H153</f>
        <v>0</v>
      </c>
      <c r="I152" s="618">
        <f>I153</f>
        <v>0</v>
      </c>
      <c r="J152" s="617">
        <f>J153</f>
        <v>0</v>
      </c>
      <c r="K152" s="617">
        <f>K153</f>
        <v>0</v>
      </c>
      <c r="L152" s="665"/>
      <c r="M152" s="619"/>
      <c r="N152" s="586"/>
      <c r="O152" s="586"/>
    </row>
    <row r="153" spans="1:15" ht="30" customHeight="1">
      <c r="A153" s="620"/>
      <c r="B153" s="252"/>
      <c r="C153" s="621">
        <v>92109</v>
      </c>
      <c r="D153" s="622"/>
      <c r="E153" s="623" t="s">
        <v>435</v>
      </c>
      <c r="F153" s="624"/>
      <c r="G153" s="624">
        <f>G154+G155</f>
        <v>365000</v>
      </c>
      <c r="H153" s="624">
        <f>H154+H155</f>
        <v>0</v>
      </c>
      <c r="I153" s="625"/>
      <c r="J153" s="624">
        <f>SUM(J154:J155)</f>
        <v>0</v>
      </c>
      <c r="K153" s="624">
        <f>K154+K155</f>
        <v>0</v>
      </c>
      <c r="L153" s="665"/>
      <c r="M153" s="626"/>
      <c r="N153" s="508"/>
      <c r="O153" s="508"/>
    </row>
    <row r="154" spans="1:15" ht="48">
      <c r="A154" s="613">
        <v>105</v>
      </c>
      <c r="B154" s="249"/>
      <c r="C154" s="68"/>
      <c r="D154" s="572">
        <v>6050</v>
      </c>
      <c r="E154" s="591" t="s">
        <v>39</v>
      </c>
      <c r="F154" s="603" t="s">
        <v>40</v>
      </c>
      <c r="G154" s="598">
        <v>340000</v>
      </c>
      <c r="H154" s="598">
        <v>0</v>
      </c>
      <c r="I154" s="604" t="s">
        <v>298</v>
      </c>
      <c r="J154" s="517">
        <v>0</v>
      </c>
      <c r="K154" s="517">
        <v>0</v>
      </c>
      <c r="L154" s="665"/>
      <c r="M154" s="526" t="s">
        <v>871</v>
      </c>
      <c r="N154" s="23"/>
      <c r="O154" s="23"/>
    </row>
    <row r="155" spans="1:15" ht="66" customHeight="1">
      <c r="A155" s="613">
        <v>106</v>
      </c>
      <c r="B155" s="249"/>
      <c r="C155" s="68"/>
      <c r="D155" s="572">
        <v>6220</v>
      </c>
      <c r="E155" s="591" t="s">
        <v>41</v>
      </c>
      <c r="F155" s="603" t="s">
        <v>42</v>
      </c>
      <c r="G155" s="598">
        <v>25000</v>
      </c>
      <c r="H155" s="598">
        <v>0</v>
      </c>
      <c r="I155" s="521" t="s">
        <v>845</v>
      </c>
      <c r="J155" s="517">
        <v>0</v>
      </c>
      <c r="K155" s="517">
        <v>0</v>
      </c>
      <c r="L155" s="665"/>
      <c r="M155" s="526">
        <v>2013</v>
      </c>
      <c r="N155" s="23"/>
      <c r="O155" s="23"/>
    </row>
    <row r="156" spans="1:15" ht="21.75" customHeight="1">
      <c r="A156" s="3"/>
      <c r="B156" s="500">
        <v>926</v>
      </c>
      <c r="C156" s="62"/>
      <c r="D156" s="122"/>
      <c r="E156" s="523" t="s">
        <v>392</v>
      </c>
      <c r="F156" s="524"/>
      <c r="G156" s="524">
        <f>G157+G160</f>
        <v>284300</v>
      </c>
      <c r="H156" s="524">
        <f>H157+H160</f>
        <v>0</v>
      </c>
      <c r="I156" s="503" t="s">
        <v>410</v>
      </c>
      <c r="J156" s="524">
        <f>J157+J160</f>
        <v>34244.71</v>
      </c>
      <c r="K156" s="524">
        <f>K157+K160</f>
        <v>0</v>
      </c>
      <c r="L156" s="665">
        <f>J156/G156*100</f>
        <v>12.045272599366866</v>
      </c>
      <c r="M156" s="390"/>
      <c r="N156" s="23"/>
      <c r="O156" s="23"/>
    </row>
    <row r="157" spans="1:15" ht="24" customHeight="1">
      <c r="A157" s="11"/>
      <c r="B157" s="578"/>
      <c r="C157" s="577">
        <v>92601</v>
      </c>
      <c r="D157" s="111"/>
      <c r="E157" s="394" t="s">
        <v>586</v>
      </c>
      <c r="F157" s="515"/>
      <c r="G157" s="515">
        <f>SUM(G158:G159)</f>
        <v>84300</v>
      </c>
      <c r="H157" s="515">
        <f>SUM(H158:H159)</f>
        <v>0</v>
      </c>
      <c r="I157" s="507">
        <f>SUM(I158:I159)</f>
        <v>0</v>
      </c>
      <c r="J157" s="515">
        <f>SUM(J158:J159)</f>
        <v>34244.71</v>
      </c>
      <c r="K157" s="515">
        <f>SUM(K158:K159)</f>
        <v>0</v>
      </c>
      <c r="L157" s="665">
        <f>J157/G157*100</f>
        <v>40.62243179122183</v>
      </c>
      <c r="M157" s="388"/>
      <c r="N157" s="23"/>
      <c r="O157" s="23"/>
    </row>
    <row r="158" spans="1:15" ht="54" customHeight="1">
      <c r="A158" s="3">
        <v>107</v>
      </c>
      <c r="B158" s="91"/>
      <c r="C158" s="514"/>
      <c r="D158" s="614">
        <v>6050</v>
      </c>
      <c r="E158" s="520" t="s">
        <v>43</v>
      </c>
      <c r="F158" s="521" t="s">
        <v>44</v>
      </c>
      <c r="G158" s="517">
        <f>18300+16000</f>
        <v>34300</v>
      </c>
      <c r="H158" s="517">
        <v>0</v>
      </c>
      <c r="I158" s="521" t="s">
        <v>45</v>
      </c>
      <c r="J158" s="517">
        <v>34244.71</v>
      </c>
      <c r="K158" s="517">
        <v>0</v>
      </c>
      <c r="L158" s="665">
        <f>J158/G158*100</f>
        <v>99.83880466472303</v>
      </c>
      <c r="M158" s="526">
        <v>2013</v>
      </c>
      <c r="N158" s="23"/>
      <c r="O158" s="23"/>
    </row>
    <row r="159" spans="1:15" ht="53.25" customHeight="1">
      <c r="A159" s="3">
        <v>108</v>
      </c>
      <c r="B159" s="91"/>
      <c r="C159" s="514"/>
      <c r="D159" s="614">
        <v>6050</v>
      </c>
      <c r="E159" s="31" t="s">
        <v>46</v>
      </c>
      <c r="F159" s="288" t="s">
        <v>16</v>
      </c>
      <c r="G159" s="517">
        <v>50000</v>
      </c>
      <c r="H159" s="517">
        <v>0</v>
      </c>
      <c r="I159" s="521" t="s">
        <v>47</v>
      </c>
      <c r="J159" s="517">
        <v>0</v>
      </c>
      <c r="K159" s="517">
        <v>0</v>
      </c>
      <c r="L159" s="665"/>
      <c r="M159" s="390">
        <v>2013</v>
      </c>
      <c r="N159" s="267"/>
      <c r="O159" s="267"/>
    </row>
    <row r="160" spans="1:15" s="583" customFormat="1" ht="24" customHeight="1">
      <c r="A160" s="25"/>
      <c r="B160" s="91"/>
      <c r="C160" s="110">
        <v>92604</v>
      </c>
      <c r="D160" s="25"/>
      <c r="E160" s="627" t="s">
        <v>48</v>
      </c>
      <c r="F160" s="515"/>
      <c r="G160" s="515">
        <f>SUM(G161:G163)</f>
        <v>200000</v>
      </c>
      <c r="H160" s="515">
        <f>SUM(H161:H163)</f>
        <v>0</v>
      </c>
      <c r="I160" s="628"/>
      <c r="J160" s="515">
        <f>SUM(J161:J163)</f>
        <v>0</v>
      </c>
      <c r="K160" s="515">
        <v>0</v>
      </c>
      <c r="L160" s="666"/>
      <c r="M160" s="388"/>
      <c r="N160" s="629"/>
      <c r="O160" s="629"/>
    </row>
    <row r="161" spans="1:15" ht="26.25" customHeight="1">
      <c r="A161" s="3">
        <v>109</v>
      </c>
      <c r="B161" s="91"/>
      <c r="C161" s="510"/>
      <c r="D161" s="3">
        <v>6050</v>
      </c>
      <c r="E161" s="1" t="s">
        <v>49</v>
      </c>
      <c r="F161" s="288" t="s">
        <v>50</v>
      </c>
      <c r="G161" s="517">
        <v>50000</v>
      </c>
      <c r="H161" s="517"/>
      <c r="I161" s="521" t="s">
        <v>914</v>
      </c>
      <c r="J161" s="517">
        <v>0</v>
      </c>
      <c r="K161" s="517">
        <v>0</v>
      </c>
      <c r="L161" s="665"/>
      <c r="M161" s="390">
        <v>2013</v>
      </c>
      <c r="N161" s="267"/>
      <c r="O161" s="267"/>
    </row>
    <row r="162" spans="1:15" ht="55.5" customHeight="1">
      <c r="A162" s="3">
        <v>110</v>
      </c>
      <c r="B162" s="91"/>
      <c r="C162" s="510"/>
      <c r="D162" s="572">
        <v>6060</v>
      </c>
      <c r="E162" s="1" t="s">
        <v>173</v>
      </c>
      <c r="F162" s="288" t="s">
        <v>678</v>
      </c>
      <c r="G162" s="517">
        <v>80000</v>
      </c>
      <c r="H162" s="517">
        <v>0</v>
      </c>
      <c r="I162" s="521" t="s">
        <v>845</v>
      </c>
      <c r="J162" s="517">
        <v>0</v>
      </c>
      <c r="K162" s="517">
        <v>0</v>
      </c>
      <c r="L162" s="665"/>
      <c r="M162" s="390">
        <v>2013</v>
      </c>
      <c r="N162" s="267"/>
      <c r="O162" s="267"/>
    </row>
    <row r="163" spans="1:15" ht="24">
      <c r="A163" s="3">
        <v>111</v>
      </c>
      <c r="B163" s="91"/>
      <c r="C163" s="510"/>
      <c r="D163" s="572">
        <v>6060</v>
      </c>
      <c r="E163" s="1" t="s">
        <v>174</v>
      </c>
      <c r="F163" s="288" t="s">
        <v>175</v>
      </c>
      <c r="G163" s="517">
        <v>70000</v>
      </c>
      <c r="H163" s="517">
        <v>0</v>
      </c>
      <c r="I163" s="521" t="s">
        <v>845</v>
      </c>
      <c r="J163" s="517">
        <v>0</v>
      </c>
      <c r="K163" s="517">
        <v>0</v>
      </c>
      <c r="L163" s="665"/>
      <c r="M163" s="390">
        <v>2013</v>
      </c>
      <c r="N163" s="267"/>
      <c r="O163" s="267"/>
    </row>
    <row r="164" spans="1:15" ht="29.25" customHeight="1">
      <c r="A164" s="3"/>
      <c r="B164" s="401" t="s">
        <v>176</v>
      </c>
      <c r="C164" s="400"/>
      <c r="D164" s="572"/>
      <c r="E164" s="557"/>
      <c r="F164" s="36"/>
      <c r="G164" s="36">
        <f>G165+G179+G183+G190+G197+G200+G207+G210</f>
        <v>16172663.19</v>
      </c>
      <c r="H164" s="36">
        <f>H165+H179+H183+H190+H197+H200+H207+H210</f>
        <v>1284882.52</v>
      </c>
      <c r="I164" s="404"/>
      <c r="J164" s="36">
        <f>J165+J179+J183+J190+J197+J200+J207+J210</f>
        <v>1371663.27</v>
      </c>
      <c r="K164" s="36">
        <f>K165+K179+K183+K190+K197+K200+K207+K210</f>
        <v>0</v>
      </c>
      <c r="L164" s="665">
        <f aca="true" t="shared" si="3" ref="L164:L171">J164/G164*100</f>
        <v>8.481369171455553</v>
      </c>
      <c r="M164" s="390"/>
      <c r="N164" s="23"/>
      <c r="O164" s="499"/>
    </row>
    <row r="165" spans="1:15" ht="25.5" customHeight="1">
      <c r="A165" s="11"/>
      <c r="B165" s="63">
        <v>600</v>
      </c>
      <c r="C165" s="62"/>
      <c r="D165" s="122"/>
      <c r="E165" s="523" t="s">
        <v>414</v>
      </c>
      <c r="F165" s="503"/>
      <c r="G165" s="524">
        <f>G166</f>
        <v>14286627.139999999</v>
      </c>
      <c r="H165" s="524">
        <f>H166</f>
        <v>968382.52</v>
      </c>
      <c r="I165" s="503"/>
      <c r="J165" s="524">
        <f>J166</f>
        <v>1285153.19</v>
      </c>
      <c r="K165" s="524">
        <f>K166</f>
        <v>0</v>
      </c>
      <c r="L165" s="665">
        <f t="shared" si="3"/>
        <v>8.995497519507603</v>
      </c>
      <c r="M165" s="390"/>
      <c r="N165" s="23"/>
      <c r="O165" s="408"/>
    </row>
    <row r="166" spans="1:15" ht="24">
      <c r="A166" s="3"/>
      <c r="B166" s="123"/>
      <c r="C166" s="110">
        <v>60015</v>
      </c>
      <c r="D166" s="505"/>
      <c r="E166" s="394" t="s">
        <v>177</v>
      </c>
      <c r="F166" s="507"/>
      <c r="G166" s="515">
        <f>SUM(G167:G178)</f>
        <v>14286627.139999999</v>
      </c>
      <c r="H166" s="515">
        <f>SUM(H167:H178)</f>
        <v>968382.52</v>
      </c>
      <c r="I166" s="507" t="s">
        <v>410</v>
      </c>
      <c r="J166" s="515">
        <f>SUM(J167:J178)</f>
        <v>1285153.19</v>
      </c>
      <c r="K166" s="515">
        <f>SUM(K167:K178)</f>
        <v>0</v>
      </c>
      <c r="L166" s="665">
        <f t="shared" si="3"/>
        <v>8.995497519507603</v>
      </c>
      <c r="M166" s="388"/>
      <c r="N166" s="23"/>
      <c r="O166" s="23"/>
    </row>
    <row r="167" spans="1:15" ht="207.75" customHeight="1">
      <c r="A167" s="3">
        <v>112</v>
      </c>
      <c r="B167" s="77"/>
      <c r="C167" s="66"/>
      <c r="D167" s="5">
        <v>6050</v>
      </c>
      <c r="E167" s="596" t="s">
        <v>178</v>
      </c>
      <c r="F167" s="599" t="s">
        <v>179</v>
      </c>
      <c r="G167" s="600">
        <f>3850000+125000+122352+3406101.69+1044773.45</f>
        <v>8548227.139999999</v>
      </c>
      <c r="H167" s="600">
        <f>2141080-167000-1921497.48</f>
        <v>52582.52000000002</v>
      </c>
      <c r="I167" s="601" t="s">
        <v>180</v>
      </c>
      <c r="J167" s="517">
        <f>163370.48+1014002.71</f>
        <v>1177373.19</v>
      </c>
      <c r="K167" s="517">
        <v>0</v>
      </c>
      <c r="L167" s="665">
        <f t="shared" si="3"/>
        <v>13.7733025891495</v>
      </c>
      <c r="M167" s="526" t="s">
        <v>848</v>
      </c>
      <c r="N167" s="267"/>
      <c r="O167" s="630"/>
    </row>
    <row r="168" spans="1:15" ht="48" customHeight="1">
      <c r="A168" s="3">
        <v>113</v>
      </c>
      <c r="B168" s="77"/>
      <c r="C168" s="66"/>
      <c r="D168" s="5">
        <v>6050</v>
      </c>
      <c r="E168" s="596" t="s">
        <v>181</v>
      </c>
      <c r="F168" s="596" t="s">
        <v>182</v>
      </c>
      <c r="G168" s="600">
        <v>1100000</v>
      </c>
      <c r="H168" s="600">
        <v>0</v>
      </c>
      <c r="I168" s="601" t="s">
        <v>955</v>
      </c>
      <c r="J168" s="517">
        <v>12000</v>
      </c>
      <c r="K168" s="517">
        <v>0</v>
      </c>
      <c r="L168" s="665">
        <f t="shared" si="3"/>
        <v>1.090909090909091</v>
      </c>
      <c r="M168" s="526">
        <v>2013</v>
      </c>
      <c r="N168" s="267"/>
      <c r="O168" s="630"/>
    </row>
    <row r="169" spans="1:15" ht="57.75" customHeight="1">
      <c r="A169" s="3">
        <v>114</v>
      </c>
      <c r="B169" s="77"/>
      <c r="C169" s="66"/>
      <c r="D169" s="5">
        <v>6050</v>
      </c>
      <c r="E169" s="596" t="s">
        <v>183</v>
      </c>
      <c r="F169" s="288" t="s">
        <v>16</v>
      </c>
      <c r="G169" s="600">
        <v>260000</v>
      </c>
      <c r="H169" s="600">
        <v>0</v>
      </c>
      <c r="I169" s="521" t="s">
        <v>882</v>
      </c>
      <c r="J169" s="517">
        <v>780</v>
      </c>
      <c r="K169" s="517">
        <v>0</v>
      </c>
      <c r="L169" s="665">
        <f t="shared" si="3"/>
        <v>0.3</v>
      </c>
      <c r="M169" s="526">
        <v>2013</v>
      </c>
      <c r="N169" s="267"/>
      <c r="O169" s="267"/>
    </row>
    <row r="170" spans="1:15" ht="59.25" customHeight="1">
      <c r="A170" s="3">
        <v>115</v>
      </c>
      <c r="B170" s="77"/>
      <c r="C170" s="66"/>
      <c r="D170" s="5">
        <v>6050</v>
      </c>
      <c r="E170" s="596" t="s">
        <v>184</v>
      </c>
      <c r="F170" s="288" t="s">
        <v>16</v>
      </c>
      <c r="G170" s="600">
        <v>30000</v>
      </c>
      <c r="H170" s="600">
        <v>0</v>
      </c>
      <c r="I170" s="567" t="s">
        <v>862</v>
      </c>
      <c r="J170" s="517">
        <v>0</v>
      </c>
      <c r="K170" s="517">
        <v>0</v>
      </c>
      <c r="L170" s="665">
        <f t="shared" si="3"/>
        <v>0</v>
      </c>
      <c r="M170" s="526">
        <v>2013</v>
      </c>
      <c r="N170" s="267"/>
      <c r="O170" s="630"/>
    </row>
    <row r="171" spans="1:15" ht="90.75" customHeight="1">
      <c r="A171" s="3">
        <v>116</v>
      </c>
      <c r="B171" s="77"/>
      <c r="C171" s="66"/>
      <c r="D171" s="5">
        <v>6050</v>
      </c>
      <c r="E171" s="596" t="s">
        <v>185</v>
      </c>
      <c r="F171" s="288" t="s">
        <v>186</v>
      </c>
      <c r="G171" s="600">
        <v>2832000</v>
      </c>
      <c r="H171" s="600">
        <f>240000+753800-78000</f>
        <v>915800</v>
      </c>
      <c r="I171" s="601" t="s">
        <v>187</v>
      </c>
      <c r="J171" s="517">
        <v>45000</v>
      </c>
      <c r="K171" s="517">
        <v>0</v>
      </c>
      <c r="L171" s="665">
        <f t="shared" si="3"/>
        <v>1.5889830508474576</v>
      </c>
      <c r="M171" s="526">
        <v>2013</v>
      </c>
      <c r="N171" s="267"/>
      <c r="O171" s="267"/>
    </row>
    <row r="172" spans="1:15" ht="36">
      <c r="A172" s="3">
        <v>117</v>
      </c>
      <c r="B172" s="77"/>
      <c r="C172" s="66"/>
      <c r="D172" s="5">
        <v>6050</v>
      </c>
      <c r="E172" s="596" t="s">
        <v>188</v>
      </c>
      <c r="F172" s="288" t="s">
        <v>902</v>
      </c>
      <c r="G172" s="600">
        <v>500000</v>
      </c>
      <c r="H172" s="600">
        <v>0</v>
      </c>
      <c r="I172" s="601" t="s">
        <v>189</v>
      </c>
      <c r="J172" s="517">
        <v>0</v>
      </c>
      <c r="K172" s="517">
        <v>0</v>
      </c>
      <c r="L172" s="665"/>
      <c r="M172" s="526">
        <v>2013</v>
      </c>
      <c r="N172" s="267"/>
      <c r="O172" s="267"/>
    </row>
    <row r="173" spans="1:15" ht="61.5" customHeight="1">
      <c r="A173" s="3">
        <v>118</v>
      </c>
      <c r="B173" s="77"/>
      <c r="C173" s="66"/>
      <c r="D173" s="5">
        <v>6050</v>
      </c>
      <c r="E173" s="631" t="s">
        <v>190</v>
      </c>
      <c r="F173" s="601" t="s">
        <v>191</v>
      </c>
      <c r="G173" s="600">
        <v>119400</v>
      </c>
      <c r="H173" s="600">
        <v>0</v>
      </c>
      <c r="I173" s="567" t="s">
        <v>862</v>
      </c>
      <c r="J173" s="517">
        <v>0</v>
      </c>
      <c r="K173" s="517">
        <v>0</v>
      </c>
      <c r="L173" s="665"/>
      <c r="M173" s="526">
        <v>2013</v>
      </c>
      <c r="N173" s="267"/>
      <c r="O173" s="267"/>
    </row>
    <row r="174" spans="1:15" ht="36">
      <c r="A174" s="3">
        <v>119</v>
      </c>
      <c r="B174" s="77"/>
      <c r="C174" s="66"/>
      <c r="D174" s="5">
        <v>6050</v>
      </c>
      <c r="E174" s="632" t="s">
        <v>192</v>
      </c>
      <c r="F174" s="601" t="s">
        <v>193</v>
      </c>
      <c r="G174" s="600">
        <v>450000</v>
      </c>
      <c r="H174" s="600">
        <v>0</v>
      </c>
      <c r="I174" s="567" t="s">
        <v>862</v>
      </c>
      <c r="J174" s="517">
        <v>0</v>
      </c>
      <c r="K174" s="517">
        <v>0</v>
      </c>
      <c r="L174" s="665"/>
      <c r="M174" s="526">
        <v>2013</v>
      </c>
      <c r="N174" s="267"/>
      <c r="O174" s="267"/>
    </row>
    <row r="175" spans="1:15" ht="36">
      <c r="A175" s="3">
        <v>120</v>
      </c>
      <c r="B175" s="77"/>
      <c r="C175" s="66"/>
      <c r="D175" s="5">
        <v>6050</v>
      </c>
      <c r="E175" s="633" t="s">
        <v>194</v>
      </c>
      <c r="F175" s="633" t="s">
        <v>195</v>
      </c>
      <c r="G175" s="600">
        <v>220000</v>
      </c>
      <c r="H175" s="600">
        <v>0</v>
      </c>
      <c r="I175" s="516" t="s">
        <v>845</v>
      </c>
      <c r="J175" s="517">
        <v>0</v>
      </c>
      <c r="K175" s="517">
        <v>0</v>
      </c>
      <c r="L175" s="665"/>
      <c r="M175" s="526">
        <v>2013</v>
      </c>
      <c r="N175" s="267"/>
      <c r="O175" s="267"/>
    </row>
    <row r="176" spans="1:15" ht="36">
      <c r="A176" s="3">
        <v>121</v>
      </c>
      <c r="B176" s="77"/>
      <c r="C176" s="66"/>
      <c r="D176" s="5">
        <v>6050</v>
      </c>
      <c r="E176" s="633" t="s">
        <v>196</v>
      </c>
      <c r="F176" s="288" t="s">
        <v>16</v>
      </c>
      <c r="G176" s="600">
        <v>65000</v>
      </c>
      <c r="H176" s="600">
        <v>0</v>
      </c>
      <c r="I176" s="567" t="s">
        <v>862</v>
      </c>
      <c r="J176" s="517">
        <v>0</v>
      </c>
      <c r="K176" s="517">
        <v>0</v>
      </c>
      <c r="L176" s="665"/>
      <c r="M176" s="526">
        <v>2013</v>
      </c>
      <c r="N176" s="267"/>
      <c r="O176" s="267"/>
    </row>
    <row r="177" spans="1:15" ht="48">
      <c r="A177" s="3">
        <v>122</v>
      </c>
      <c r="B177" s="77"/>
      <c r="C177" s="66"/>
      <c r="D177" s="5">
        <v>6050</v>
      </c>
      <c r="E177" s="633" t="s">
        <v>197</v>
      </c>
      <c r="F177" s="634" t="s">
        <v>198</v>
      </c>
      <c r="G177" s="600">
        <v>12000</v>
      </c>
      <c r="H177" s="600">
        <v>0</v>
      </c>
      <c r="I177" s="516" t="s">
        <v>845</v>
      </c>
      <c r="J177" s="517">
        <v>0</v>
      </c>
      <c r="K177" s="517">
        <v>0</v>
      </c>
      <c r="L177" s="665"/>
      <c r="M177" s="526">
        <v>2013</v>
      </c>
      <c r="N177" s="267"/>
      <c r="O177" s="267"/>
    </row>
    <row r="178" spans="1:15" ht="48">
      <c r="A178" s="14">
        <v>123</v>
      </c>
      <c r="B178" s="77"/>
      <c r="C178" s="66"/>
      <c r="D178" s="13">
        <v>6050</v>
      </c>
      <c r="E178" s="596" t="s">
        <v>199</v>
      </c>
      <c r="F178" s="634" t="s">
        <v>198</v>
      </c>
      <c r="G178" s="600">
        <f>500000-350000</f>
        <v>150000</v>
      </c>
      <c r="H178" s="600">
        <v>0</v>
      </c>
      <c r="I178" s="601" t="s">
        <v>200</v>
      </c>
      <c r="J178" s="517">
        <v>50000</v>
      </c>
      <c r="K178" s="517">
        <v>0</v>
      </c>
      <c r="L178" s="665">
        <f>J178/G178*100</f>
        <v>33.33333333333333</v>
      </c>
      <c r="M178" s="526" t="s">
        <v>848</v>
      </c>
      <c r="N178" s="267"/>
      <c r="O178" s="630"/>
    </row>
    <row r="179" spans="1:15" ht="18" customHeight="1">
      <c r="A179" s="11"/>
      <c r="B179" s="64">
        <v>630</v>
      </c>
      <c r="C179" s="62"/>
      <c r="D179" s="12"/>
      <c r="E179" s="635" t="s">
        <v>201</v>
      </c>
      <c r="F179" s="636"/>
      <c r="G179" s="636">
        <f>G180</f>
        <v>130000</v>
      </c>
      <c r="H179" s="636">
        <f>H180</f>
        <v>0</v>
      </c>
      <c r="I179" s="637"/>
      <c r="J179" s="636">
        <f>J180</f>
        <v>0</v>
      </c>
      <c r="K179" s="636">
        <f>K180</f>
        <v>0</v>
      </c>
      <c r="L179" s="665"/>
      <c r="M179" s="638"/>
      <c r="N179" s="639"/>
      <c r="O179" s="640"/>
    </row>
    <row r="180" spans="1:15" ht="21" customHeight="1">
      <c r="A180" s="35"/>
      <c r="B180" s="360"/>
      <c r="C180" s="110">
        <v>63095</v>
      </c>
      <c r="D180" s="641"/>
      <c r="E180" s="642" t="s">
        <v>544</v>
      </c>
      <c r="F180" s="643"/>
      <c r="G180" s="643">
        <f>SUM(G181:G182)</f>
        <v>130000</v>
      </c>
      <c r="H180" s="643">
        <f>SUM(H181:H182)</f>
        <v>0</v>
      </c>
      <c r="I180" s="644"/>
      <c r="J180" s="643">
        <f>SUM(J181:J182)</f>
        <v>0</v>
      </c>
      <c r="K180" s="643">
        <f>SUM(K181:K182)</f>
        <v>0</v>
      </c>
      <c r="L180" s="665"/>
      <c r="M180" s="645"/>
      <c r="N180" s="629"/>
      <c r="O180" s="646"/>
    </row>
    <row r="181" spans="1:15" ht="51" customHeight="1">
      <c r="A181" s="3">
        <v>124</v>
      </c>
      <c r="B181" s="77"/>
      <c r="C181" s="66"/>
      <c r="D181" s="5">
        <v>6050</v>
      </c>
      <c r="E181" s="596" t="s">
        <v>202</v>
      </c>
      <c r="F181" s="288" t="s">
        <v>16</v>
      </c>
      <c r="G181" s="600">
        <v>60000</v>
      </c>
      <c r="H181" s="600">
        <v>0</v>
      </c>
      <c r="I181" s="521" t="s">
        <v>899</v>
      </c>
      <c r="J181" s="517">
        <v>0</v>
      </c>
      <c r="K181" s="517">
        <f>SUM(K182:K208)</f>
        <v>0</v>
      </c>
      <c r="L181" s="665"/>
      <c r="M181" s="647">
        <v>2013</v>
      </c>
      <c r="N181" s="267"/>
      <c r="O181" s="630"/>
    </row>
    <row r="182" spans="1:15" ht="36">
      <c r="A182" s="8">
        <v>125</v>
      </c>
      <c r="B182" s="77"/>
      <c r="C182" s="66"/>
      <c r="D182" s="5">
        <v>6050</v>
      </c>
      <c r="E182" s="596" t="s">
        <v>203</v>
      </c>
      <c r="F182" s="634" t="s">
        <v>204</v>
      </c>
      <c r="G182" s="600">
        <v>70000</v>
      </c>
      <c r="H182" s="600">
        <v>0</v>
      </c>
      <c r="I182" s="521" t="s">
        <v>899</v>
      </c>
      <c r="J182" s="517">
        <v>0</v>
      </c>
      <c r="K182" s="517">
        <f>SUM(K183:K209)</f>
        <v>0</v>
      </c>
      <c r="L182" s="665"/>
      <c r="M182" s="647">
        <v>2013</v>
      </c>
      <c r="N182" s="267"/>
      <c r="O182" s="630"/>
    </row>
    <row r="183" spans="1:15" ht="20.25">
      <c r="A183" s="3"/>
      <c r="B183" s="62">
        <v>710</v>
      </c>
      <c r="C183" s="62"/>
      <c r="D183" s="11"/>
      <c r="E183" s="557" t="s">
        <v>553</v>
      </c>
      <c r="F183" s="153"/>
      <c r="G183" s="153">
        <f>G184+G187</f>
        <v>55000</v>
      </c>
      <c r="H183" s="153">
        <f>H184+H187</f>
        <v>0</v>
      </c>
      <c r="I183" s="404"/>
      <c r="J183" s="153">
        <f>J184+J187</f>
        <v>0</v>
      </c>
      <c r="K183" s="153">
        <f>K184+K187</f>
        <v>0</v>
      </c>
      <c r="L183" s="665"/>
      <c r="M183" s="392"/>
      <c r="N183" s="40"/>
      <c r="O183" s="648"/>
    </row>
    <row r="184" spans="1:15" ht="27" customHeight="1">
      <c r="A184" s="8"/>
      <c r="B184" s="73"/>
      <c r="C184" s="123">
        <v>71012</v>
      </c>
      <c r="D184" s="111"/>
      <c r="E184" s="560" t="s">
        <v>672</v>
      </c>
      <c r="F184" s="561"/>
      <c r="G184" s="561">
        <f>G185+G186</f>
        <v>45000</v>
      </c>
      <c r="H184" s="561">
        <f>H185+H186</f>
        <v>0</v>
      </c>
      <c r="I184" s="562"/>
      <c r="J184" s="561">
        <f>J185+J186</f>
        <v>0</v>
      </c>
      <c r="K184" s="561">
        <f>K185+K186</f>
        <v>0</v>
      </c>
      <c r="L184" s="665"/>
      <c r="M184" s="626"/>
      <c r="N184" s="40"/>
      <c r="O184" s="648"/>
    </row>
    <row r="185" spans="1:15" ht="60">
      <c r="A185" s="3">
        <v>126</v>
      </c>
      <c r="B185" s="76"/>
      <c r="C185" s="67"/>
      <c r="D185" s="5">
        <v>6050</v>
      </c>
      <c r="E185" s="527" t="s">
        <v>205</v>
      </c>
      <c r="F185" s="649" t="s">
        <v>206</v>
      </c>
      <c r="G185" s="649">
        <v>25000</v>
      </c>
      <c r="H185" s="649">
        <v>0</v>
      </c>
      <c r="I185" s="516" t="s">
        <v>845</v>
      </c>
      <c r="J185" s="517">
        <v>0</v>
      </c>
      <c r="K185" s="517">
        <v>0</v>
      </c>
      <c r="L185" s="665"/>
      <c r="M185" s="392">
        <v>2013</v>
      </c>
      <c r="N185" s="40"/>
      <c r="O185" s="648"/>
    </row>
    <row r="186" spans="1:15" ht="72">
      <c r="A186" s="3">
        <v>127</v>
      </c>
      <c r="B186" s="76"/>
      <c r="C186" s="74"/>
      <c r="D186" s="5">
        <v>6060</v>
      </c>
      <c r="E186" s="527" t="s">
        <v>207</v>
      </c>
      <c r="F186" s="291" t="s">
        <v>208</v>
      </c>
      <c r="G186" s="649">
        <f>25000+20000-25000</f>
        <v>20000</v>
      </c>
      <c r="H186" s="649">
        <v>0</v>
      </c>
      <c r="I186" s="516" t="s">
        <v>845</v>
      </c>
      <c r="J186" s="517">
        <v>0</v>
      </c>
      <c r="K186" s="517">
        <v>0</v>
      </c>
      <c r="L186" s="665"/>
      <c r="M186" s="392">
        <v>2013</v>
      </c>
      <c r="N186" s="40"/>
      <c r="O186" s="648"/>
    </row>
    <row r="187" spans="1:15" ht="20.25">
      <c r="A187" s="2"/>
      <c r="B187" s="109"/>
      <c r="C187" s="504">
        <v>71015</v>
      </c>
      <c r="D187" s="111"/>
      <c r="E187" s="560" t="s">
        <v>144</v>
      </c>
      <c r="F187" s="561"/>
      <c r="G187" s="561">
        <f>G188+G189</f>
        <v>10000</v>
      </c>
      <c r="H187" s="561">
        <f>H188+H189</f>
        <v>0</v>
      </c>
      <c r="I187" s="562"/>
      <c r="J187" s="561">
        <f>J188+J189</f>
        <v>0</v>
      </c>
      <c r="K187" s="561">
        <f>K188+K189</f>
        <v>0</v>
      </c>
      <c r="L187" s="665"/>
      <c r="M187" s="626"/>
      <c r="N187" s="40"/>
      <c r="O187" s="648"/>
    </row>
    <row r="188" spans="1:15" ht="42.75" customHeight="1">
      <c r="A188" s="2">
        <v>128</v>
      </c>
      <c r="B188" s="109"/>
      <c r="C188" s="514"/>
      <c r="D188" s="572">
        <v>6060</v>
      </c>
      <c r="E188" s="527" t="s">
        <v>209</v>
      </c>
      <c r="F188" s="291" t="s">
        <v>210</v>
      </c>
      <c r="G188" s="528">
        <v>5000</v>
      </c>
      <c r="H188" s="528">
        <v>0</v>
      </c>
      <c r="I188" s="516" t="s">
        <v>845</v>
      </c>
      <c r="J188" s="517">
        <v>0</v>
      </c>
      <c r="K188" s="517">
        <v>0</v>
      </c>
      <c r="L188" s="665"/>
      <c r="M188" s="526">
        <v>2013</v>
      </c>
      <c r="N188" s="40"/>
      <c r="O188" s="648"/>
    </row>
    <row r="189" spans="1:15" ht="57.75" customHeight="1">
      <c r="A189" s="3">
        <v>129</v>
      </c>
      <c r="B189" s="66"/>
      <c r="C189" s="510"/>
      <c r="D189" s="572">
        <v>6060</v>
      </c>
      <c r="E189" s="527" t="s">
        <v>211</v>
      </c>
      <c r="F189" s="291" t="s">
        <v>212</v>
      </c>
      <c r="G189" s="528">
        <v>5000</v>
      </c>
      <c r="H189" s="528">
        <v>0</v>
      </c>
      <c r="I189" s="516" t="s">
        <v>845</v>
      </c>
      <c r="J189" s="517">
        <v>0</v>
      </c>
      <c r="K189" s="517">
        <v>0</v>
      </c>
      <c r="L189" s="665"/>
      <c r="M189" s="526">
        <v>2013</v>
      </c>
      <c r="N189" s="40"/>
      <c r="O189" s="648"/>
    </row>
    <row r="190" spans="1:15" ht="24">
      <c r="A190" s="11"/>
      <c r="B190" s="62">
        <v>754</v>
      </c>
      <c r="C190" s="62"/>
      <c r="D190" s="11"/>
      <c r="E190" s="580" t="s">
        <v>546</v>
      </c>
      <c r="F190" s="70"/>
      <c r="G190" s="70">
        <f>G191+G193</f>
        <v>560000</v>
      </c>
      <c r="H190" s="70">
        <f>H191+H193</f>
        <v>100000</v>
      </c>
      <c r="I190" s="404"/>
      <c r="J190" s="70">
        <f>J191+J193</f>
        <v>0</v>
      </c>
      <c r="K190" s="70">
        <f>K191+K193</f>
        <v>0</v>
      </c>
      <c r="L190" s="665"/>
      <c r="M190" s="526"/>
      <c r="N190" s="40"/>
      <c r="O190" s="648"/>
    </row>
    <row r="191" spans="1:15" ht="20.25">
      <c r="A191" s="3"/>
      <c r="B191" s="66"/>
      <c r="C191" s="587">
        <v>75405</v>
      </c>
      <c r="D191" s="650"/>
      <c r="E191" s="560" t="s">
        <v>213</v>
      </c>
      <c r="F191" s="107"/>
      <c r="G191" s="237">
        <f>G192</f>
        <v>210000</v>
      </c>
      <c r="H191" s="237">
        <f>H192</f>
        <v>0</v>
      </c>
      <c r="I191" s="575"/>
      <c r="J191" s="237">
        <f>J192</f>
        <v>0</v>
      </c>
      <c r="K191" s="237">
        <f>K192</f>
        <v>0</v>
      </c>
      <c r="L191" s="665"/>
      <c r="M191" s="526"/>
      <c r="N191" s="40"/>
      <c r="O191" s="648"/>
    </row>
    <row r="192" spans="1:15" ht="36">
      <c r="A192" s="3">
        <v>130</v>
      </c>
      <c r="B192" s="66"/>
      <c r="C192" s="587"/>
      <c r="D192" s="650">
        <v>6170</v>
      </c>
      <c r="E192" s="527" t="s">
        <v>214</v>
      </c>
      <c r="F192" s="69" t="s">
        <v>215</v>
      </c>
      <c r="G192" s="69">
        <f>150000+60000</f>
        <v>210000</v>
      </c>
      <c r="H192" s="69">
        <v>0</v>
      </c>
      <c r="I192" s="516" t="s">
        <v>845</v>
      </c>
      <c r="J192" s="517">
        <v>0</v>
      </c>
      <c r="K192" s="517">
        <v>0</v>
      </c>
      <c r="L192" s="665"/>
      <c r="M192" s="526">
        <v>2013</v>
      </c>
      <c r="N192" s="40"/>
      <c r="O192" s="648"/>
    </row>
    <row r="193" spans="1:15" ht="24">
      <c r="A193" s="3"/>
      <c r="B193" s="109"/>
      <c r="C193" s="110">
        <v>75411</v>
      </c>
      <c r="D193" s="622"/>
      <c r="E193" s="560" t="s">
        <v>456</v>
      </c>
      <c r="F193" s="69"/>
      <c r="G193" s="237">
        <f>SUM(G194:G196)</f>
        <v>350000</v>
      </c>
      <c r="H193" s="237">
        <f>SUM(H194:H196)</f>
        <v>100000</v>
      </c>
      <c r="I193" s="575"/>
      <c r="J193" s="237">
        <f>SUM(J194:J196)</f>
        <v>0</v>
      </c>
      <c r="K193" s="237">
        <f>SUM(K194:K196)</f>
        <v>0</v>
      </c>
      <c r="L193" s="665"/>
      <c r="M193" s="526"/>
      <c r="N193" s="40"/>
      <c r="O193" s="648"/>
    </row>
    <row r="194" spans="1:15" ht="123" customHeight="1">
      <c r="A194" s="1132">
        <v>131</v>
      </c>
      <c r="B194" s="66"/>
      <c r="C194" s="510"/>
      <c r="D194" s="614">
        <v>6050</v>
      </c>
      <c r="E194" s="393" t="s">
        <v>216</v>
      </c>
      <c r="F194" s="291" t="s">
        <v>217</v>
      </c>
      <c r="G194" s="69">
        <f>100000</f>
        <v>100000</v>
      </c>
      <c r="H194" s="69">
        <v>0</v>
      </c>
      <c r="I194" s="516" t="s">
        <v>845</v>
      </c>
      <c r="J194" s="517">
        <v>0</v>
      </c>
      <c r="K194" s="517">
        <v>0</v>
      </c>
      <c r="L194" s="665"/>
      <c r="M194" s="526">
        <v>2013</v>
      </c>
      <c r="N194" s="40"/>
      <c r="O194" s="648"/>
    </row>
    <row r="195" spans="1:15" ht="118.5" customHeight="1">
      <c r="A195" s="1142"/>
      <c r="B195" s="66"/>
      <c r="C195" s="510"/>
      <c r="D195" s="614">
        <v>6170</v>
      </c>
      <c r="E195" s="393" t="s">
        <v>216</v>
      </c>
      <c r="F195" s="291" t="s">
        <v>217</v>
      </c>
      <c r="G195" s="69">
        <f>130000+100000</f>
        <v>230000</v>
      </c>
      <c r="H195" s="69">
        <v>100000</v>
      </c>
      <c r="I195" s="516" t="s">
        <v>845</v>
      </c>
      <c r="J195" s="517">
        <v>0</v>
      </c>
      <c r="K195" s="517">
        <v>0</v>
      </c>
      <c r="L195" s="665"/>
      <c r="M195" s="526">
        <v>2013</v>
      </c>
      <c r="N195" s="40"/>
      <c r="O195" s="648"/>
    </row>
    <row r="196" spans="1:15" ht="96" customHeight="1">
      <c r="A196" s="3">
        <v>132</v>
      </c>
      <c r="B196" s="66"/>
      <c r="C196" s="510"/>
      <c r="D196" s="614">
        <v>6170</v>
      </c>
      <c r="E196" s="393" t="s">
        <v>218</v>
      </c>
      <c r="F196" s="291" t="s">
        <v>219</v>
      </c>
      <c r="G196" s="651">
        <v>20000</v>
      </c>
      <c r="H196" s="651">
        <v>0</v>
      </c>
      <c r="I196" s="516" t="s">
        <v>845</v>
      </c>
      <c r="J196" s="517">
        <v>0</v>
      </c>
      <c r="K196" s="517">
        <v>0</v>
      </c>
      <c r="L196" s="665"/>
      <c r="M196" s="526">
        <v>2013</v>
      </c>
      <c r="N196" s="40"/>
      <c r="O196" s="648"/>
    </row>
    <row r="197" spans="1:15" ht="12.75">
      <c r="A197" s="11"/>
      <c r="B197" s="62">
        <v>758</v>
      </c>
      <c r="C197" s="62"/>
      <c r="D197" s="122"/>
      <c r="E197" s="523" t="s">
        <v>547</v>
      </c>
      <c r="F197" s="524"/>
      <c r="G197" s="524">
        <f>G198</f>
        <v>240536.05</v>
      </c>
      <c r="H197" s="524">
        <f aca="true" t="shared" si="4" ref="H197:K198">H198</f>
        <v>0</v>
      </c>
      <c r="I197" s="503"/>
      <c r="J197" s="524">
        <f t="shared" si="4"/>
        <v>0</v>
      </c>
      <c r="K197" s="524">
        <f t="shared" si="4"/>
        <v>0</v>
      </c>
      <c r="L197" s="665"/>
      <c r="M197" s="390"/>
      <c r="N197" s="23"/>
      <c r="O197" s="23"/>
    </row>
    <row r="198" spans="1:15" ht="13.5">
      <c r="A198" s="3"/>
      <c r="B198" s="578"/>
      <c r="C198" s="577">
        <v>75818</v>
      </c>
      <c r="D198" s="111"/>
      <c r="E198" s="560" t="s">
        <v>548</v>
      </c>
      <c r="F198" s="561"/>
      <c r="G198" s="561">
        <f>G199</f>
        <v>240536.05</v>
      </c>
      <c r="H198" s="561">
        <f t="shared" si="4"/>
        <v>0</v>
      </c>
      <c r="I198" s="562"/>
      <c r="J198" s="561">
        <f t="shared" si="4"/>
        <v>0</v>
      </c>
      <c r="K198" s="561">
        <f t="shared" si="4"/>
        <v>0</v>
      </c>
      <c r="L198" s="665"/>
      <c r="M198" s="388"/>
      <c r="N198" s="23"/>
      <c r="O198" s="23"/>
    </row>
    <row r="199" spans="1:15" ht="36">
      <c r="A199" s="8"/>
      <c r="B199" s="73"/>
      <c r="C199" s="510"/>
      <c r="D199" s="572">
        <v>6800</v>
      </c>
      <c r="E199" s="527" t="s">
        <v>952</v>
      </c>
      <c r="F199" s="288"/>
      <c r="G199" s="579">
        <f>185000-85000+140536.05</f>
        <v>240536.05</v>
      </c>
      <c r="H199" s="55">
        <f>500000-500000</f>
        <v>0</v>
      </c>
      <c r="I199" s="516"/>
      <c r="J199" s="517">
        <v>0</v>
      </c>
      <c r="K199" s="517">
        <v>0</v>
      </c>
      <c r="L199" s="665"/>
      <c r="M199" s="390"/>
      <c r="N199" s="23"/>
      <c r="O199" s="23"/>
    </row>
    <row r="200" spans="1:15" ht="18" customHeight="1">
      <c r="A200" s="3"/>
      <c r="B200" s="62">
        <v>801</v>
      </c>
      <c r="C200" s="62"/>
      <c r="D200" s="11"/>
      <c r="E200" s="573" t="s">
        <v>549</v>
      </c>
      <c r="F200" s="524"/>
      <c r="G200" s="524">
        <f>G201+G203+G205</f>
        <v>316500</v>
      </c>
      <c r="H200" s="524">
        <f>H201+H203+H205</f>
        <v>116500</v>
      </c>
      <c r="I200" s="503"/>
      <c r="J200" s="524">
        <f>J201+J203+J205</f>
        <v>6150</v>
      </c>
      <c r="K200" s="524">
        <f>K201+K203+K205</f>
        <v>0</v>
      </c>
      <c r="L200" s="665">
        <f>J200/G200*100</f>
        <v>1.943127962085308</v>
      </c>
      <c r="M200" s="585"/>
      <c r="N200" s="23"/>
      <c r="O200" s="23"/>
    </row>
    <row r="201" spans="1:15" ht="18.75" customHeight="1">
      <c r="A201" s="35"/>
      <c r="B201" s="360"/>
      <c r="C201" s="110">
        <v>80120</v>
      </c>
      <c r="D201" s="25"/>
      <c r="E201" s="574" t="s">
        <v>417</v>
      </c>
      <c r="F201" s="515"/>
      <c r="G201" s="515">
        <f>G202</f>
        <v>110000</v>
      </c>
      <c r="H201" s="515">
        <f>H202</f>
        <v>110000</v>
      </c>
      <c r="I201" s="507"/>
      <c r="J201" s="515">
        <f>J202</f>
        <v>6150</v>
      </c>
      <c r="K201" s="515">
        <f>K202</f>
        <v>0</v>
      </c>
      <c r="L201" s="665">
        <f>J201/G201*100</f>
        <v>5.590909090909091</v>
      </c>
      <c r="M201" s="388"/>
      <c r="N201" s="508"/>
      <c r="O201" s="508"/>
    </row>
    <row r="202" spans="1:15" ht="24">
      <c r="A202" s="3">
        <v>133</v>
      </c>
      <c r="B202" s="77"/>
      <c r="C202" s="587"/>
      <c r="D202" s="3">
        <v>6050</v>
      </c>
      <c r="E202" s="652" t="s">
        <v>220</v>
      </c>
      <c r="F202" s="517" t="s">
        <v>221</v>
      </c>
      <c r="G202" s="517">
        <v>110000</v>
      </c>
      <c r="H202" s="517">
        <v>110000</v>
      </c>
      <c r="I202" s="521" t="s">
        <v>955</v>
      </c>
      <c r="J202" s="517">
        <v>6150</v>
      </c>
      <c r="K202" s="517">
        <v>0</v>
      </c>
      <c r="L202" s="665">
        <f>J202/G202*100</f>
        <v>5.590909090909091</v>
      </c>
      <c r="M202" s="390">
        <v>2013</v>
      </c>
      <c r="N202" s="298"/>
      <c r="O202" s="298"/>
    </row>
    <row r="203" spans="1:15" ht="48">
      <c r="A203" s="8">
        <v>134</v>
      </c>
      <c r="B203" s="77"/>
      <c r="C203" s="110">
        <v>80140</v>
      </c>
      <c r="D203" s="25"/>
      <c r="E203" s="574" t="s">
        <v>222</v>
      </c>
      <c r="F203" s="515"/>
      <c r="G203" s="515">
        <f>G204</f>
        <v>200000</v>
      </c>
      <c r="H203" s="515">
        <f>H204</f>
        <v>0</v>
      </c>
      <c r="I203" s="507"/>
      <c r="J203" s="515">
        <v>0</v>
      </c>
      <c r="K203" s="515">
        <v>0</v>
      </c>
      <c r="L203" s="665"/>
      <c r="M203" s="388"/>
      <c r="N203" s="298"/>
      <c r="O203" s="298"/>
    </row>
    <row r="204" spans="1:15" ht="48">
      <c r="A204" s="3">
        <v>135</v>
      </c>
      <c r="B204" s="77"/>
      <c r="C204" s="587"/>
      <c r="D204" s="3">
        <v>6050</v>
      </c>
      <c r="E204" s="652" t="s">
        <v>223</v>
      </c>
      <c r="F204" s="517" t="s">
        <v>224</v>
      </c>
      <c r="G204" s="517">
        <v>200000</v>
      </c>
      <c r="H204" s="517"/>
      <c r="I204" s="516" t="s">
        <v>845</v>
      </c>
      <c r="J204" s="517">
        <v>0</v>
      </c>
      <c r="K204" s="517">
        <v>0</v>
      </c>
      <c r="L204" s="665"/>
      <c r="M204" s="390">
        <v>2013</v>
      </c>
      <c r="N204" s="298"/>
      <c r="O204" s="298"/>
    </row>
    <row r="205" spans="1:15" ht="24">
      <c r="A205" s="3"/>
      <c r="B205" s="67"/>
      <c r="C205" s="525">
        <v>80146</v>
      </c>
      <c r="D205" s="25"/>
      <c r="E205" s="653" t="s">
        <v>591</v>
      </c>
      <c r="F205" s="515"/>
      <c r="G205" s="515">
        <f>G206</f>
        <v>6500</v>
      </c>
      <c r="H205" s="515">
        <f>H206</f>
        <v>6500</v>
      </c>
      <c r="I205" s="507"/>
      <c r="J205" s="515">
        <f>J206</f>
        <v>0</v>
      </c>
      <c r="K205" s="515">
        <v>0</v>
      </c>
      <c r="L205" s="665"/>
      <c r="M205" s="388"/>
      <c r="N205" s="23"/>
      <c r="O205" s="23"/>
    </row>
    <row r="206" spans="1:15" ht="63.75" customHeight="1">
      <c r="A206" s="2">
        <v>136</v>
      </c>
      <c r="B206" s="66"/>
      <c r="C206" s="654"/>
      <c r="D206" s="14">
        <v>6050</v>
      </c>
      <c r="E206" s="1" t="s">
        <v>225</v>
      </c>
      <c r="F206" s="294" t="s">
        <v>226</v>
      </c>
      <c r="G206" s="579">
        <v>6500</v>
      </c>
      <c r="H206" s="55">
        <v>6500</v>
      </c>
      <c r="I206" s="516" t="s">
        <v>845</v>
      </c>
      <c r="J206" s="517">
        <v>0</v>
      </c>
      <c r="K206" s="517">
        <v>0</v>
      </c>
      <c r="L206" s="665"/>
      <c r="M206" s="390">
        <v>2013</v>
      </c>
      <c r="N206" s="23"/>
      <c r="O206" s="23"/>
    </row>
    <row r="207" spans="1:15" ht="18" customHeight="1">
      <c r="A207" s="11"/>
      <c r="B207" s="62">
        <v>852</v>
      </c>
      <c r="C207" s="62"/>
      <c r="D207" s="11"/>
      <c r="E207" s="557" t="s">
        <v>424</v>
      </c>
      <c r="F207" s="153"/>
      <c r="G207" s="153">
        <f>G208</f>
        <v>84000</v>
      </c>
      <c r="H207" s="153">
        <f aca="true" t="shared" si="5" ref="H207:K208">H208</f>
        <v>0</v>
      </c>
      <c r="I207" s="404"/>
      <c r="J207" s="153">
        <f t="shared" si="5"/>
        <v>80360.08</v>
      </c>
      <c r="K207" s="153">
        <f t="shared" si="5"/>
        <v>0</v>
      </c>
      <c r="L207" s="665">
        <f aca="true" t="shared" si="6" ref="L207:L213">J207/G207*100</f>
        <v>95.66676190476191</v>
      </c>
      <c r="M207" s="585"/>
      <c r="N207" s="586"/>
      <c r="O207" s="586"/>
    </row>
    <row r="208" spans="1:15" ht="16.5" customHeight="1">
      <c r="A208" s="25"/>
      <c r="B208" s="123"/>
      <c r="C208" s="655">
        <v>85202</v>
      </c>
      <c r="D208" s="25"/>
      <c r="E208" s="26" t="s">
        <v>227</v>
      </c>
      <c r="F208" s="237"/>
      <c r="G208" s="237">
        <f>G209</f>
        <v>84000</v>
      </c>
      <c r="H208" s="237">
        <f t="shared" si="5"/>
        <v>0</v>
      </c>
      <c r="I208" s="575"/>
      <c r="J208" s="237">
        <f t="shared" si="5"/>
        <v>80360.08</v>
      </c>
      <c r="K208" s="237">
        <f t="shared" si="5"/>
        <v>0</v>
      </c>
      <c r="L208" s="665">
        <f t="shared" si="6"/>
        <v>95.66676190476191</v>
      </c>
      <c r="M208" s="388"/>
      <c r="N208" s="508"/>
      <c r="O208" s="508"/>
    </row>
    <row r="209" spans="1:15" ht="53.25" customHeight="1">
      <c r="A209" s="2">
        <v>137</v>
      </c>
      <c r="B209" s="75"/>
      <c r="C209" s="656"/>
      <c r="D209" s="3">
        <v>6060</v>
      </c>
      <c r="E209" s="1" t="s">
        <v>228</v>
      </c>
      <c r="F209" s="288" t="s">
        <v>229</v>
      </c>
      <c r="G209" s="579">
        <v>84000</v>
      </c>
      <c r="H209" s="27">
        <v>0</v>
      </c>
      <c r="I209" s="288" t="s">
        <v>230</v>
      </c>
      <c r="J209" s="517">
        <v>80360.08</v>
      </c>
      <c r="K209" s="517">
        <v>0</v>
      </c>
      <c r="L209" s="665">
        <f t="shared" si="6"/>
        <v>95.66676190476191</v>
      </c>
      <c r="M209" s="390">
        <v>2013</v>
      </c>
      <c r="N209" s="23"/>
      <c r="O209" s="23"/>
    </row>
    <row r="210" spans="1:15" ht="20.25" customHeight="1">
      <c r="A210" s="11"/>
      <c r="B210" s="500">
        <v>926</v>
      </c>
      <c r="C210" s="62"/>
      <c r="D210" s="122"/>
      <c r="E210" s="523" t="s">
        <v>392</v>
      </c>
      <c r="F210" s="524"/>
      <c r="G210" s="524">
        <f>G211</f>
        <v>500000</v>
      </c>
      <c r="H210" s="524">
        <f>H211</f>
        <v>100000</v>
      </c>
      <c r="I210" s="503"/>
      <c r="J210" s="524">
        <f>J211</f>
        <v>0</v>
      </c>
      <c r="K210" s="524">
        <f>K211</f>
        <v>0</v>
      </c>
      <c r="L210" s="665"/>
      <c r="M210" s="390"/>
      <c r="N210" s="23"/>
      <c r="O210" s="23"/>
    </row>
    <row r="211" spans="1:15" ht="13.5">
      <c r="A211" s="584"/>
      <c r="B211" s="578"/>
      <c r="C211" s="577">
        <v>92601</v>
      </c>
      <c r="D211" s="111"/>
      <c r="E211" s="394" t="s">
        <v>586</v>
      </c>
      <c r="F211" s="515"/>
      <c r="G211" s="515">
        <f>SUM(G212:G212)</f>
        <v>500000</v>
      </c>
      <c r="H211" s="515">
        <f>SUM(H212:H212)</f>
        <v>100000</v>
      </c>
      <c r="I211" s="507"/>
      <c r="J211" s="515">
        <f>SUM(J212:J212)</f>
        <v>0</v>
      </c>
      <c r="K211" s="515">
        <f>SUM(K212:K212)</f>
        <v>0</v>
      </c>
      <c r="L211" s="665"/>
      <c r="M211" s="388"/>
      <c r="N211" s="23"/>
      <c r="O211" s="23"/>
    </row>
    <row r="212" spans="1:15" ht="45.75" customHeight="1">
      <c r="A212" s="17">
        <v>138</v>
      </c>
      <c r="B212" s="91"/>
      <c r="C212" s="514"/>
      <c r="D212" s="614">
        <v>6050</v>
      </c>
      <c r="E212" s="520" t="s">
        <v>231</v>
      </c>
      <c r="F212" s="288" t="s">
        <v>232</v>
      </c>
      <c r="G212" s="517">
        <f>450000+50000</f>
        <v>500000</v>
      </c>
      <c r="H212" s="517">
        <v>100000</v>
      </c>
      <c r="I212" s="521" t="s">
        <v>47</v>
      </c>
      <c r="J212" s="517">
        <v>0</v>
      </c>
      <c r="K212" s="517">
        <v>0</v>
      </c>
      <c r="L212" s="665"/>
      <c r="M212" s="526" t="s">
        <v>871</v>
      </c>
      <c r="N212" s="23"/>
      <c r="O212" s="23"/>
    </row>
    <row r="213" spans="1:15" ht="20.25">
      <c r="A213" s="11"/>
      <c r="B213" s="657" t="s">
        <v>510</v>
      </c>
      <c r="C213" s="658"/>
      <c r="D213" s="15"/>
      <c r="E213" s="659"/>
      <c r="F213" s="36"/>
      <c r="G213" s="36">
        <f>G11+G164</f>
        <v>49624055.35</v>
      </c>
      <c r="H213" s="36">
        <f>H11+H164</f>
        <v>5634880</v>
      </c>
      <c r="I213" s="404"/>
      <c r="J213" s="524">
        <f>J11+J164</f>
        <v>4829043.96</v>
      </c>
      <c r="K213" s="524">
        <f>K11+K164</f>
        <v>100036.45</v>
      </c>
      <c r="L213" s="665">
        <f t="shared" si="6"/>
        <v>9.731256194078867</v>
      </c>
      <c r="M213" s="660"/>
      <c r="N213" s="23"/>
      <c r="O213" s="499"/>
    </row>
    <row r="217" ht="12.75">
      <c r="K217" s="1126"/>
    </row>
    <row r="219" ht="12.75">
      <c r="K219" s="1126"/>
    </row>
  </sheetData>
  <sheetProtection/>
  <mergeCells count="8">
    <mergeCell ref="A149:A150"/>
    <mergeCell ref="I149:I150"/>
    <mergeCell ref="A194:A195"/>
    <mergeCell ref="F8:H8"/>
    <mergeCell ref="I8:K8"/>
    <mergeCell ref="A121:A122"/>
    <mergeCell ref="A123:A124"/>
    <mergeCell ref="I123:I12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28125" style="43" customWidth="1"/>
    <col min="2" max="2" width="6.7109375" style="43" customWidth="1"/>
    <col min="3" max="3" width="4.57421875" style="43" customWidth="1"/>
    <col min="4" max="4" width="28.7109375" style="667" customWidth="1"/>
    <col min="5" max="5" width="11.57421875" style="43" customWidth="1"/>
    <col min="6" max="6" width="11.28125" style="43" customWidth="1"/>
    <col min="7" max="7" width="5.8515625" style="160" customWidth="1"/>
    <col min="8" max="8" width="12.140625" style="43" customWidth="1"/>
    <col min="9" max="9" width="11.00390625" style="43" customWidth="1"/>
    <col min="10" max="10" width="5.57421875" style="160" customWidth="1"/>
    <col min="11" max="16384" width="9.140625" style="43" customWidth="1"/>
  </cols>
  <sheetData>
    <row r="1" spans="1:10" ht="20.25">
      <c r="A1" s="160"/>
      <c r="B1" s="160"/>
      <c r="C1" s="160"/>
      <c r="E1" s="668"/>
      <c r="F1" s="668"/>
      <c r="G1" s="668"/>
      <c r="H1" s="282" t="s">
        <v>247</v>
      </c>
      <c r="J1" s="668"/>
    </row>
    <row r="2" spans="1:10" ht="20.25">
      <c r="A2" s="160"/>
      <c r="B2" s="160"/>
      <c r="C2" s="160"/>
      <c r="E2" s="668"/>
      <c r="F2" s="668"/>
      <c r="G2" s="668"/>
      <c r="H2" s="282"/>
      <c r="J2" s="668"/>
    </row>
    <row r="3" spans="1:10" ht="20.25">
      <c r="A3" s="669" t="s">
        <v>234</v>
      </c>
      <c r="B3" s="160"/>
      <c r="C3" s="160"/>
      <c r="E3" s="668"/>
      <c r="F3" s="668"/>
      <c r="G3" s="668"/>
      <c r="H3" s="282"/>
      <c r="J3" s="668"/>
    </row>
    <row r="4" spans="1:10" ht="20.25">
      <c r="A4" s="669" t="s">
        <v>235</v>
      </c>
      <c r="B4" s="160"/>
      <c r="C4" s="160"/>
      <c r="E4" s="668"/>
      <c r="F4" s="668"/>
      <c r="G4" s="668"/>
      <c r="H4" s="282"/>
      <c r="J4" s="668"/>
    </row>
    <row r="5" spans="1:10" ht="20.25">
      <c r="A5" s="669" t="s">
        <v>236</v>
      </c>
      <c r="B5" s="160"/>
      <c r="C5" s="160"/>
      <c r="E5" s="668"/>
      <c r="F5" s="668"/>
      <c r="G5" s="668"/>
      <c r="H5" s="282"/>
      <c r="J5" s="668"/>
    </row>
    <row r="6" spans="1:10" ht="20.25">
      <c r="A6" s="669"/>
      <c r="B6" s="160"/>
      <c r="C6" s="160"/>
      <c r="E6" s="668"/>
      <c r="F6" s="668"/>
      <c r="G6" s="668"/>
      <c r="H6" s="282"/>
      <c r="J6" s="668"/>
    </row>
    <row r="7" spans="1:10" ht="12.75">
      <c r="A7" s="467" t="s">
        <v>410</v>
      </c>
      <c r="B7" s="467"/>
      <c r="C7" s="467"/>
      <c r="D7" s="671"/>
      <c r="E7" s="672"/>
      <c r="F7" s="672"/>
      <c r="G7" s="672"/>
      <c r="H7" s="673"/>
      <c r="I7" s="673" t="s">
        <v>411</v>
      </c>
      <c r="J7" s="672"/>
    </row>
    <row r="8" spans="1:10" ht="58.5" customHeight="1">
      <c r="A8" s="587" t="s">
        <v>412</v>
      </c>
      <c r="B8" s="587" t="s">
        <v>413</v>
      </c>
      <c r="C8" s="587" t="s">
        <v>439</v>
      </c>
      <c r="D8" s="674" t="s">
        <v>172</v>
      </c>
      <c r="E8" s="674" t="s">
        <v>237</v>
      </c>
      <c r="F8" s="674" t="s">
        <v>238</v>
      </c>
      <c r="G8" s="242" t="s">
        <v>239</v>
      </c>
      <c r="H8" s="674" t="s">
        <v>240</v>
      </c>
      <c r="I8" s="674" t="s">
        <v>238</v>
      </c>
      <c r="J8" s="242" t="s">
        <v>239</v>
      </c>
    </row>
    <row r="9" spans="1:10" ht="23.25" customHeight="1">
      <c r="A9" s="54">
        <v>600</v>
      </c>
      <c r="B9" s="675"/>
      <c r="C9" s="676"/>
      <c r="D9" s="677" t="s">
        <v>414</v>
      </c>
      <c r="E9" s="678">
        <f>E10</f>
        <v>1092382.14</v>
      </c>
      <c r="F9" s="678">
        <f>F10</f>
        <v>537188.43</v>
      </c>
      <c r="G9" s="733">
        <f>F9*100/E9</f>
        <v>49.17587081751448</v>
      </c>
      <c r="H9" s="678">
        <f>H10</f>
        <v>1092382.14</v>
      </c>
      <c r="I9" s="678">
        <f>I10</f>
        <v>537188.43</v>
      </c>
      <c r="J9" s="725">
        <f>I9*100/H9</f>
        <v>49.17587081751448</v>
      </c>
    </row>
    <row r="10" spans="1:10" ht="27.75" customHeight="1">
      <c r="A10" s="680"/>
      <c r="B10" s="34">
        <v>60004</v>
      </c>
      <c r="C10" s="681"/>
      <c r="D10" s="682" t="s">
        <v>415</v>
      </c>
      <c r="E10" s="162">
        <f>SUM(E11:E12)</f>
        <v>1092382.14</v>
      </c>
      <c r="F10" s="162">
        <f>SUM(F11:F12)</f>
        <v>537188.43</v>
      </c>
      <c r="G10" s="734">
        <f>F10*100/E10</f>
        <v>49.17587081751448</v>
      </c>
      <c r="H10" s="162">
        <f>SUM(H11:H12)</f>
        <v>1092382.14</v>
      </c>
      <c r="I10" s="162">
        <f>SUM(I11:I12)</f>
        <v>537188.43</v>
      </c>
      <c r="J10" s="726">
        <f>I10*100/H10</f>
        <v>49.17587081751448</v>
      </c>
    </row>
    <row r="11" spans="1:10" s="160" customFormat="1" ht="48.75" customHeight="1">
      <c r="A11" s="17"/>
      <c r="B11" s="14"/>
      <c r="C11" s="683">
        <v>2310</v>
      </c>
      <c r="D11" s="684" t="s">
        <v>241</v>
      </c>
      <c r="E11" s="685">
        <f>1184442.22-92060.08</f>
        <v>1092382.14</v>
      </c>
      <c r="F11" s="685">
        <v>537188.43</v>
      </c>
      <c r="G11" s="735"/>
      <c r="H11" s="686"/>
      <c r="I11" s="686"/>
      <c r="J11" s="727"/>
    </row>
    <row r="12" spans="1:10" ht="39.75" customHeight="1">
      <c r="A12" s="391"/>
      <c r="B12" s="687"/>
      <c r="C12" s="688">
        <v>2650</v>
      </c>
      <c r="D12" s="689" t="s">
        <v>391</v>
      </c>
      <c r="E12" s="690"/>
      <c r="F12" s="690"/>
      <c r="G12" s="736"/>
      <c r="H12" s="79">
        <f>1184442.22-92060.08</f>
        <v>1092382.14</v>
      </c>
      <c r="I12" s="55">
        <v>537188.43</v>
      </c>
      <c r="J12" s="728"/>
    </row>
    <row r="13" spans="1:10" ht="21" customHeight="1">
      <c r="A13" s="11">
        <v>801</v>
      </c>
      <c r="B13" s="390"/>
      <c r="C13" s="390"/>
      <c r="D13" s="301" t="s">
        <v>549</v>
      </c>
      <c r="E13" s="80">
        <f>SUM(E14)</f>
        <v>420000</v>
      </c>
      <c r="F13" s="80">
        <f>SUM(F14)</f>
        <v>251210.56</v>
      </c>
      <c r="G13" s="729">
        <f>F13*100/E13</f>
        <v>59.812038095238094</v>
      </c>
      <c r="H13" s="692">
        <f>SUM(H14)</f>
        <v>420000</v>
      </c>
      <c r="I13" s="692">
        <f>SUM(I14)</f>
        <v>251210.56</v>
      </c>
      <c r="J13" s="729">
        <f>I13*100/H13</f>
        <v>59.812038095238094</v>
      </c>
    </row>
    <row r="14" spans="1:10" ht="26.25" customHeight="1">
      <c r="A14" s="584"/>
      <c r="B14" s="34">
        <v>80104</v>
      </c>
      <c r="C14" s="683"/>
      <c r="D14" s="682" t="s">
        <v>631</v>
      </c>
      <c r="E14" s="162">
        <f>SUM(E15)</f>
        <v>420000</v>
      </c>
      <c r="F14" s="162">
        <f>SUM(F15)</f>
        <v>251210.56</v>
      </c>
      <c r="G14" s="728">
        <f>F14*100/E14</f>
        <v>59.812038095238094</v>
      </c>
      <c r="H14" s="691">
        <f>SUM(H15:H23)</f>
        <v>420000</v>
      </c>
      <c r="I14" s="691">
        <f>SUM(I15:I23)</f>
        <v>251210.56</v>
      </c>
      <c r="J14" s="728">
        <f>I14*100/H14</f>
        <v>59.812038095238094</v>
      </c>
    </row>
    <row r="15" spans="1:10" ht="49.5" customHeight="1">
      <c r="A15" s="391"/>
      <c r="B15" s="606"/>
      <c r="C15" s="683">
        <v>2310</v>
      </c>
      <c r="D15" s="684" t="s">
        <v>241</v>
      </c>
      <c r="E15" s="691">
        <v>420000</v>
      </c>
      <c r="F15" s="691">
        <v>251210.56</v>
      </c>
      <c r="G15" s="728"/>
      <c r="H15" s="303"/>
      <c r="I15" s="55"/>
      <c r="J15" s="728"/>
    </row>
    <row r="16" spans="1:10" ht="24" customHeight="1">
      <c r="A16" s="391"/>
      <c r="B16" s="687"/>
      <c r="C16" s="693">
        <v>4010</v>
      </c>
      <c r="D16" s="694" t="s">
        <v>643</v>
      </c>
      <c r="E16" s="691"/>
      <c r="F16" s="691"/>
      <c r="G16" s="728"/>
      <c r="H16" s="303">
        <v>279445</v>
      </c>
      <c r="I16" s="55">
        <v>137275.56</v>
      </c>
      <c r="J16" s="727">
        <f>I16*100/H16</f>
        <v>49.12435720803736</v>
      </c>
    </row>
    <row r="17" spans="1:10" ht="24" customHeight="1">
      <c r="A17" s="391"/>
      <c r="B17" s="687"/>
      <c r="C17" s="693">
        <v>4040</v>
      </c>
      <c r="D17" s="694" t="s">
        <v>644</v>
      </c>
      <c r="E17" s="691"/>
      <c r="F17" s="691"/>
      <c r="G17" s="728"/>
      <c r="H17" s="303">
        <v>16401</v>
      </c>
      <c r="I17" s="55">
        <v>16401</v>
      </c>
      <c r="J17" s="727">
        <f aca="true" t="shared" si="0" ref="J17:J23">I17*100/H17</f>
        <v>100</v>
      </c>
    </row>
    <row r="18" spans="1:10" ht="24" customHeight="1">
      <c r="A18" s="391"/>
      <c r="B18" s="687"/>
      <c r="C18" s="693">
        <v>4110</v>
      </c>
      <c r="D18" s="694" t="s">
        <v>645</v>
      </c>
      <c r="E18" s="691"/>
      <c r="F18" s="691"/>
      <c r="G18" s="728"/>
      <c r="H18" s="303">
        <v>42934</v>
      </c>
      <c r="I18" s="55">
        <v>32133</v>
      </c>
      <c r="J18" s="727">
        <f t="shared" si="0"/>
        <v>74.84278194437975</v>
      </c>
    </row>
    <row r="19" spans="1:10" ht="24" customHeight="1">
      <c r="A19" s="391"/>
      <c r="B19" s="687"/>
      <c r="C19" s="693">
        <v>4120</v>
      </c>
      <c r="D19" s="694" t="s">
        <v>646</v>
      </c>
      <c r="E19" s="691"/>
      <c r="F19" s="691"/>
      <c r="G19" s="728"/>
      <c r="H19" s="303">
        <v>6166</v>
      </c>
      <c r="I19" s="55">
        <v>3672</v>
      </c>
      <c r="J19" s="727">
        <f t="shared" si="0"/>
        <v>59.552384041518</v>
      </c>
    </row>
    <row r="20" spans="1:10" ht="24" customHeight="1">
      <c r="A20" s="391"/>
      <c r="B20" s="687"/>
      <c r="C20" s="693">
        <v>4210</v>
      </c>
      <c r="D20" s="694" t="s">
        <v>602</v>
      </c>
      <c r="E20" s="691"/>
      <c r="F20" s="691"/>
      <c r="G20" s="728"/>
      <c r="H20" s="303">
        <v>7239</v>
      </c>
      <c r="I20" s="55">
        <v>5046</v>
      </c>
      <c r="J20" s="727">
        <f t="shared" si="0"/>
        <v>69.7057604641525</v>
      </c>
    </row>
    <row r="21" spans="1:10" ht="24" customHeight="1">
      <c r="A21" s="391"/>
      <c r="B21" s="687"/>
      <c r="C21" s="90">
        <v>4260</v>
      </c>
      <c r="D21" s="695" t="s">
        <v>660</v>
      </c>
      <c r="E21" s="691"/>
      <c r="F21" s="691"/>
      <c r="G21" s="728"/>
      <c r="H21" s="303">
        <v>16401</v>
      </c>
      <c r="I21" s="55">
        <v>12153</v>
      </c>
      <c r="J21" s="727">
        <f t="shared" si="0"/>
        <v>74.0991402963234</v>
      </c>
    </row>
    <row r="22" spans="1:10" ht="24" customHeight="1">
      <c r="A22" s="391"/>
      <c r="B22" s="687"/>
      <c r="C22" s="90">
        <v>4300</v>
      </c>
      <c r="D22" s="695" t="s">
        <v>242</v>
      </c>
      <c r="E22" s="691"/>
      <c r="F22" s="691"/>
      <c r="G22" s="728"/>
      <c r="H22" s="303">
        <v>37421</v>
      </c>
      <c r="I22" s="55">
        <v>30537</v>
      </c>
      <c r="J22" s="727">
        <f t="shared" si="0"/>
        <v>81.60391224178937</v>
      </c>
    </row>
    <row r="23" spans="1:10" ht="24" customHeight="1">
      <c r="A23" s="391"/>
      <c r="B23" s="687"/>
      <c r="C23" s="693">
        <v>4440</v>
      </c>
      <c r="D23" s="694" t="s">
        <v>647</v>
      </c>
      <c r="E23" s="691"/>
      <c r="F23" s="691"/>
      <c r="G23" s="728"/>
      <c r="H23" s="303">
        <v>13993</v>
      </c>
      <c r="I23" s="55">
        <v>13993</v>
      </c>
      <c r="J23" s="727">
        <f t="shared" si="0"/>
        <v>100</v>
      </c>
    </row>
    <row r="24" spans="1:10" ht="21.75" customHeight="1">
      <c r="A24" s="742" t="s">
        <v>243</v>
      </c>
      <c r="B24" s="696"/>
      <c r="C24" s="697"/>
      <c r="D24" s="698"/>
      <c r="E24" s="699">
        <f>E9+E13</f>
        <v>1512382.14</v>
      </c>
      <c r="F24" s="699">
        <f>F9+F13</f>
        <v>788398.99</v>
      </c>
      <c r="G24" s="737">
        <f>F24*100/E24</f>
        <v>52.129615204263125</v>
      </c>
      <c r="H24" s="699">
        <f>H9+H13</f>
        <v>1512382.14</v>
      </c>
      <c r="I24" s="699">
        <f>I9+I13</f>
        <v>788398.99</v>
      </c>
      <c r="J24" s="535">
        <f>I24*100/H24</f>
        <v>52.129615204263125</v>
      </c>
    </row>
    <row r="25" spans="1:10" s="702" customFormat="1" ht="23.25" customHeight="1">
      <c r="A25" s="700">
        <v>852</v>
      </c>
      <c r="B25" s="54"/>
      <c r="C25" s="701"/>
      <c r="D25" s="677" t="s">
        <v>424</v>
      </c>
      <c r="E25" s="679">
        <f>E26+E49</f>
        <v>367390</v>
      </c>
      <c r="F25" s="679">
        <f>F26+F49</f>
        <v>124513.62</v>
      </c>
      <c r="G25" s="725">
        <f>F25*100/E25</f>
        <v>33.89140150793435</v>
      </c>
      <c r="H25" s="679">
        <f>H26+H49</f>
        <v>367390</v>
      </c>
      <c r="I25" s="679">
        <f>I26+I49</f>
        <v>124513.62</v>
      </c>
      <c r="J25" s="535">
        <f>I25*100/H25</f>
        <v>33.89140150793435</v>
      </c>
    </row>
    <row r="26" spans="1:10" ht="24" customHeight="1">
      <c r="A26" s="703"/>
      <c r="B26" s="25">
        <v>85201</v>
      </c>
      <c r="C26" s="704"/>
      <c r="D26" s="304" t="s">
        <v>151</v>
      </c>
      <c r="E26" s="705">
        <f>E27</f>
        <v>190000</v>
      </c>
      <c r="F26" s="705">
        <f>F27</f>
        <v>49013.11</v>
      </c>
      <c r="G26" s="738">
        <f>F26*100/E26</f>
        <v>25.796373684210526</v>
      </c>
      <c r="H26" s="705">
        <f>SUM(H28:H48)</f>
        <v>190000</v>
      </c>
      <c r="I26" s="705">
        <f>SUM(I28:I48)</f>
        <v>49013.11</v>
      </c>
      <c r="J26" s="727">
        <f>I26*100/H26</f>
        <v>25.796373684210526</v>
      </c>
    </row>
    <row r="27" spans="1:10" ht="53.25" customHeight="1">
      <c r="A27" s="706"/>
      <c r="B27" s="8"/>
      <c r="C27" s="693">
        <v>2320</v>
      </c>
      <c r="D27" s="689" t="s">
        <v>244</v>
      </c>
      <c r="E27" s="705">
        <v>190000</v>
      </c>
      <c r="F27" s="705">
        <v>49013.11</v>
      </c>
      <c r="G27" s="738"/>
      <c r="H27" s="679"/>
      <c r="I27" s="80"/>
      <c r="J27" s="727"/>
    </row>
    <row r="28" spans="1:10" ht="28.5" customHeight="1">
      <c r="A28" s="707"/>
      <c r="B28" s="8"/>
      <c r="C28" s="693">
        <v>3020</v>
      </c>
      <c r="D28" s="694" t="s">
        <v>324</v>
      </c>
      <c r="E28" s="705"/>
      <c r="F28" s="705"/>
      <c r="G28" s="738"/>
      <c r="H28" s="705">
        <v>75</v>
      </c>
      <c r="I28" s="162">
        <v>20</v>
      </c>
      <c r="J28" s="727">
        <f>I28*100/H28</f>
        <v>26.666666666666668</v>
      </c>
    </row>
    <row r="29" spans="1:10" ht="28.5" customHeight="1">
      <c r="A29" s="706"/>
      <c r="B29" s="8"/>
      <c r="C29" s="693">
        <v>3110</v>
      </c>
      <c r="D29" s="694" t="s">
        <v>339</v>
      </c>
      <c r="E29" s="705"/>
      <c r="F29" s="705"/>
      <c r="G29" s="738"/>
      <c r="H29" s="705">
        <v>1100</v>
      </c>
      <c r="I29" s="162">
        <v>284.11</v>
      </c>
      <c r="J29" s="727">
        <f aca="true" t="shared" si="1" ref="J29:J48">I29*100/H29</f>
        <v>25.828181818181818</v>
      </c>
    </row>
    <row r="30" spans="1:10" ht="28.5" customHeight="1">
      <c r="A30" s="706"/>
      <c r="B30" s="8"/>
      <c r="C30" s="693">
        <v>4010</v>
      </c>
      <c r="D30" s="694" t="s">
        <v>643</v>
      </c>
      <c r="E30" s="705"/>
      <c r="F30" s="705"/>
      <c r="G30" s="738"/>
      <c r="H30" s="705">
        <v>118560</v>
      </c>
      <c r="I30" s="162">
        <v>30545</v>
      </c>
      <c r="J30" s="727">
        <f t="shared" si="1"/>
        <v>25.763326585695008</v>
      </c>
    </row>
    <row r="31" spans="1:10" ht="28.5" customHeight="1">
      <c r="A31" s="706"/>
      <c r="B31" s="8"/>
      <c r="C31" s="693">
        <v>4040</v>
      </c>
      <c r="D31" s="694" t="s">
        <v>644</v>
      </c>
      <c r="E31" s="705"/>
      <c r="F31" s="705"/>
      <c r="G31" s="738"/>
      <c r="H31" s="705">
        <v>9800</v>
      </c>
      <c r="I31" s="162">
        <v>2529</v>
      </c>
      <c r="J31" s="727">
        <f t="shared" si="1"/>
        <v>25.806122448979593</v>
      </c>
    </row>
    <row r="32" spans="1:10" ht="28.5" customHeight="1">
      <c r="A32" s="706"/>
      <c r="B32" s="8"/>
      <c r="C32" s="693">
        <v>4110</v>
      </c>
      <c r="D32" s="694" t="s">
        <v>645</v>
      </c>
      <c r="E32" s="705"/>
      <c r="F32" s="705"/>
      <c r="G32" s="738"/>
      <c r="H32" s="705">
        <v>20425</v>
      </c>
      <c r="I32" s="162">
        <v>5259</v>
      </c>
      <c r="J32" s="727">
        <f t="shared" si="1"/>
        <v>25.74785801713586</v>
      </c>
    </row>
    <row r="33" spans="1:10" ht="28.5" customHeight="1">
      <c r="A33" s="706"/>
      <c r="B33" s="8"/>
      <c r="C33" s="693">
        <v>4120</v>
      </c>
      <c r="D33" s="694" t="s">
        <v>646</v>
      </c>
      <c r="E33" s="705"/>
      <c r="F33" s="705"/>
      <c r="G33" s="738"/>
      <c r="H33" s="705">
        <v>2930</v>
      </c>
      <c r="I33" s="162">
        <v>755</v>
      </c>
      <c r="J33" s="727">
        <f t="shared" si="1"/>
        <v>25.7679180887372</v>
      </c>
    </row>
    <row r="34" spans="1:10" ht="28.5" customHeight="1">
      <c r="A34" s="706"/>
      <c r="B34" s="8"/>
      <c r="C34" s="693">
        <v>4170</v>
      </c>
      <c r="D34" s="694" t="s">
        <v>652</v>
      </c>
      <c r="E34" s="705"/>
      <c r="F34" s="705"/>
      <c r="G34" s="738"/>
      <c r="H34" s="705">
        <v>530</v>
      </c>
      <c r="I34" s="162">
        <v>137</v>
      </c>
      <c r="J34" s="727">
        <f t="shared" si="1"/>
        <v>25.849056603773583</v>
      </c>
    </row>
    <row r="35" spans="1:10" ht="28.5" customHeight="1">
      <c r="A35" s="706"/>
      <c r="B35" s="8"/>
      <c r="C35" s="693">
        <v>4210</v>
      </c>
      <c r="D35" s="694" t="s">
        <v>602</v>
      </c>
      <c r="E35" s="705"/>
      <c r="F35" s="705"/>
      <c r="G35" s="738"/>
      <c r="H35" s="705">
        <v>5130</v>
      </c>
      <c r="I35" s="162">
        <v>1318</v>
      </c>
      <c r="J35" s="727">
        <f t="shared" si="1"/>
        <v>25.692007797270954</v>
      </c>
    </row>
    <row r="36" spans="1:10" ht="28.5" customHeight="1">
      <c r="A36" s="706"/>
      <c r="B36" s="8"/>
      <c r="C36" s="693">
        <v>4220</v>
      </c>
      <c r="D36" s="694" t="s">
        <v>163</v>
      </c>
      <c r="E36" s="705"/>
      <c r="F36" s="705"/>
      <c r="G36" s="738"/>
      <c r="H36" s="705">
        <v>590</v>
      </c>
      <c r="I36" s="162">
        <v>152</v>
      </c>
      <c r="J36" s="727">
        <f t="shared" si="1"/>
        <v>25.76271186440678</v>
      </c>
    </row>
    <row r="37" spans="1:10" ht="28.5" customHeight="1">
      <c r="A37" s="706"/>
      <c r="B37" s="8"/>
      <c r="C37" s="693">
        <v>4240</v>
      </c>
      <c r="D37" s="694" t="s">
        <v>358</v>
      </c>
      <c r="E37" s="705"/>
      <c r="F37" s="705"/>
      <c r="G37" s="738"/>
      <c r="H37" s="705">
        <v>875</v>
      </c>
      <c r="I37" s="162">
        <v>226</v>
      </c>
      <c r="J37" s="727">
        <f t="shared" si="1"/>
        <v>25.82857142857143</v>
      </c>
    </row>
    <row r="38" spans="1:10" ht="28.5" customHeight="1">
      <c r="A38" s="706"/>
      <c r="B38" s="8"/>
      <c r="C38" s="693">
        <v>4260</v>
      </c>
      <c r="D38" s="694" t="s">
        <v>660</v>
      </c>
      <c r="E38" s="705"/>
      <c r="F38" s="705"/>
      <c r="G38" s="738"/>
      <c r="H38" s="705">
        <v>4050</v>
      </c>
      <c r="I38" s="162">
        <v>1039</v>
      </c>
      <c r="J38" s="727">
        <f t="shared" si="1"/>
        <v>25.65432098765432</v>
      </c>
    </row>
    <row r="39" spans="1:10" ht="28.5" customHeight="1">
      <c r="A39" s="706"/>
      <c r="B39" s="8"/>
      <c r="C39" s="693">
        <v>4270</v>
      </c>
      <c r="D39" s="694" t="s">
        <v>603</v>
      </c>
      <c r="E39" s="705"/>
      <c r="F39" s="705"/>
      <c r="G39" s="738"/>
      <c r="H39" s="705">
        <v>3230</v>
      </c>
      <c r="I39" s="162">
        <v>828</v>
      </c>
      <c r="J39" s="727">
        <f>I39*100/H39</f>
        <v>25.63467492260062</v>
      </c>
    </row>
    <row r="40" spans="1:10" ht="28.5" customHeight="1">
      <c r="A40" s="706"/>
      <c r="B40" s="8"/>
      <c r="C40" s="693">
        <v>4280</v>
      </c>
      <c r="D40" s="694" t="s">
        <v>326</v>
      </c>
      <c r="E40" s="705"/>
      <c r="F40" s="705"/>
      <c r="G40" s="738"/>
      <c r="H40" s="705">
        <v>95</v>
      </c>
      <c r="I40" s="162">
        <v>25</v>
      </c>
      <c r="J40" s="727">
        <f t="shared" si="1"/>
        <v>26.31578947368421</v>
      </c>
    </row>
    <row r="41" spans="1:10" ht="28.5" customHeight="1">
      <c r="A41" s="706"/>
      <c r="B41" s="8"/>
      <c r="C41" s="693">
        <v>4300</v>
      </c>
      <c r="D41" s="694" t="s">
        <v>599</v>
      </c>
      <c r="E41" s="705"/>
      <c r="F41" s="705"/>
      <c r="G41" s="738"/>
      <c r="H41" s="705">
        <v>13310</v>
      </c>
      <c r="I41" s="162">
        <v>3500</v>
      </c>
      <c r="J41" s="727">
        <f t="shared" si="1"/>
        <v>26.29601803155522</v>
      </c>
    </row>
    <row r="42" spans="1:10" ht="28.5" customHeight="1">
      <c r="A42" s="706"/>
      <c r="B42" s="8"/>
      <c r="C42" s="693">
        <v>4350</v>
      </c>
      <c r="D42" s="694" t="s">
        <v>655</v>
      </c>
      <c r="E42" s="705"/>
      <c r="F42" s="705"/>
      <c r="G42" s="738"/>
      <c r="H42" s="705">
        <v>110</v>
      </c>
      <c r="I42" s="162">
        <v>29</v>
      </c>
      <c r="J42" s="727">
        <f t="shared" si="1"/>
        <v>26.363636363636363</v>
      </c>
    </row>
    <row r="43" spans="1:10" ht="40.5" customHeight="1">
      <c r="A43" s="706"/>
      <c r="B43" s="8"/>
      <c r="C43" s="693">
        <v>4370</v>
      </c>
      <c r="D43" s="694" t="s">
        <v>389</v>
      </c>
      <c r="E43" s="705"/>
      <c r="F43" s="705"/>
      <c r="G43" s="738"/>
      <c r="H43" s="705">
        <v>1030</v>
      </c>
      <c r="I43" s="162">
        <v>265</v>
      </c>
      <c r="J43" s="727">
        <f t="shared" si="1"/>
        <v>25.728155339805824</v>
      </c>
    </row>
    <row r="44" spans="1:10" ht="28.5" customHeight="1">
      <c r="A44" s="706"/>
      <c r="B44" s="8"/>
      <c r="C44" s="693">
        <v>4410</v>
      </c>
      <c r="D44" s="694" t="s">
        <v>649</v>
      </c>
      <c r="E44" s="705"/>
      <c r="F44" s="705"/>
      <c r="G44" s="738"/>
      <c r="H44" s="705">
        <v>2050</v>
      </c>
      <c r="I44" s="162">
        <v>529</v>
      </c>
      <c r="J44" s="727">
        <f>I44*100/H44</f>
        <v>25.804878048780488</v>
      </c>
    </row>
    <row r="45" spans="1:10" ht="28.5" customHeight="1">
      <c r="A45" s="708"/>
      <c r="B45" s="8"/>
      <c r="C45" s="693">
        <v>4430</v>
      </c>
      <c r="D45" s="694" t="s">
        <v>433</v>
      </c>
      <c r="E45" s="705"/>
      <c r="F45" s="705"/>
      <c r="G45" s="738"/>
      <c r="H45" s="705">
        <v>270</v>
      </c>
      <c r="I45" s="162">
        <v>68</v>
      </c>
      <c r="J45" s="727">
        <f t="shared" si="1"/>
        <v>25.185185185185187</v>
      </c>
    </row>
    <row r="46" spans="1:10" ht="28.5" customHeight="1">
      <c r="A46" s="708"/>
      <c r="B46" s="8"/>
      <c r="C46" s="693">
        <v>4440</v>
      </c>
      <c r="D46" s="694" t="s">
        <v>647</v>
      </c>
      <c r="E46" s="705"/>
      <c r="F46" s="705"/>
      <c r="G46" s="738"/>
      <c r="H46" s="705">
        <v>4770</v>
      </c>
      <c r="I46" s="162">
        <v>1230</v>
      </c>
      <c r="J46" s="727">
        <f t="shared" si="1"/>
        <v>25.78616352201258</v>
      </c>
    </row>
    <row r="47" spans="1:10" ht="28.5" customHeight="1">
      <c r="A47" s="708"/>
      <c r="B47" s="8"/>
      <c r="C47" s="693">
        <v>4480</v>
      </c>
      <c r="D47" s="694" t="s">
        <v>452</v>
      </c>
      <c r="E47" s="705"/>
      <c r="F47" s="705"/>
      <c r="G47" s="738"/>
      <c r="H47" s="705">
        <v>440</v>
      </c>
      <c r="I47" s="162">
        <v>118</v>
      </c>
      <c r="J47" s="727">
        <f t="shared" si="1"/>
        <v>26.818181818181817</v>
      </c>
    </row>
    <row r="48" spans="1:10" ht="28.5" customHeight="1">
      <c r="A48" s="708"/>
      <c r="B48" s="8"/>
      <c r="C48" s="693">
        <v>4700</v>
      </c>
      <c r="D48" s="694" t="s">
        <v>420</v>
      </c>
      <c r="E48" s="705"/>
      <c r="F48" s="705"/>
      <c r="G48" s="738"/>
      <c r="H48" s="705">
        <v>630</v>
      </c>
      <c r="I48" s="162">
        <v>157</v>
      </c>
      <c r="J48" s="727">
        <f t="shared" si="1"/>
        <v>24.92063492063492</v>
      </c>
    </row>
    <row r="49" spans="1:10" ht="20.25" customHeight="1">
      <c r="A49" s="708"/>
      <c r="B49" s="25">
        <v>85204</v>
      </c>
      <c r="C49" s="83"/>
      <c r="D49" s="709" t="s">
        <v>460</v>
      </c>
      <c r="E49" s="705">
        <f>SUM(E50:E51)</f>
        <v>177390</v>
      </c>
      <c r="F49" s="705">
        <f>SUM(F50:F51)</f>
        <v>75500.51</v>
      </c>
      <c r="G49" s="738">
        <f>F49*100/E49</f>
        <v>42.56187496476689</v>
      </c>
      <c r="H49" s="705">
        <f>SUM(H50:H51)</f>
        <v>177390</v>
      </c>
      <c r="I49" s="705">
        <f>SUM(I50:I51)</f>
        <v>75500.51</v>
      </c>
      <c r="J49" s="727">
        <f>I49*100/H49</f>
        <v>42.56187496476689</v>
      </c>
    </row>
    <row r="50" spans="1:10" ht="42.75" customHeight="1">
      <c r="A50" s="708"/>
      <c r="B50" s="8"/>
      <c r="C50" s="693">
        <v>2320</v>
      </c>
      <c r="D50" s="689" t="s">
        <v>244</v>
      </c>
      <c r="E50" s="705">
        <f>145000+32390</f>
        <v>177390</v>
      </c>
      <c r="F50" s="705">
        <v>75500.51</v>
      </c>
      <c r="G50" s="738"/>
      <c r="H50" s="705"/>
      <c r="I50" s="162"/>
      <c r="J50" s="727"/>
    </row>
    <row r="51" spans="1:10" ht="21.75" customHeight="1">
      <c r="A51" s="710"/>
      <c r="B51" s="2"/>
      <c r="C51" s="693">
        <v>3110</v>
      </c>
      <c r="D51" s="694" t="s">
        <v>339</v>
      </c>
      <c r="E51" s="705"/>
      <c r="F51" s="705"/>
      <c r="G51" s="738"/>
      <c r="H51" s="705">
        <f>145000+32390</f>
        <v>177390</v>
      </c>
      <c r="I51" s="162">
        <v>75500.51</v>
      </c>
      <c r="J51" s="727"/>
    </row>
    <row r="52" spans="1:10" s="702" customFormat="1" ht="30" customHeight="1">
      <c r="A52" s="711">
        <v>853</v>
      </c>
      <c r="B52" s="6"/>
      <c r="C52" s="712"/>
      <c r="D52" s="713" t="s">
        <v>245</v>
      </c>
      <c r="E52" s="679">
        <f>E53</f>
        <v>20000</v>
      </c>
      <c r="F52" s="679">
        <f>F53</f>
        <v>9139.56</v>
      </c>
      <c r="G52" s="725">
        <f>F52*100/E52</f>
        <v>45.6978</v>
      </c>
      <c r="H52" s="679">
        <f>H53</f>
        <v>20000</v>
      </c>
      <c r="I52" s="679">
        <f>I53</f>
        <v>9139.56</v>
      </c>
      <c r="J52" s="535">
        <f>I52*100/H52</f>
        <v>45.6978</v>
      </c>
    </row>
    <row r="53" spans="1:10" ht="32.25" customHeight="1">
      <c r="A53" s="708"/>
      <c r="B53" s="38">
        <v>85311</v>
      </c>
      <c r="C53" s="83"/>
      <c r="D53" s="709" t="s">
        <v>447</v>
      </c>
      <c r="E53" s="705">
        <f>SUM(E54:E55)</f>
        <v>20000</v>
      </c>
      <c r="F53" s="705">
        <f>SUM(F54:F55)</f>
        <v>9139.56</v>
      </c>
      <c r="G53" s="738">
        <f>F53*100/E53</f>
        <v>45.6978</v>
      </c>
      <c r="H53" s="705">
        <f>SUM(H54:H55)</f>
        <v>20000</v>
      </c>
      <c r="I53" s="705">
        <f>SUM(I54:I55)</f>
        <v>9139.56</v>
      </c>
      <c r="J53" s="727">
        <f>I53*100/H53</f>
        <v>45.6978</v>
      </c>
    </row>
    <row r="54" spans="1:10" ht="52.5" customHeight="1">
      <c r="A54" s="708"/>
      <c r="B54" s="14"/>
      <c r="C54" s="693">
        <v>2320</v>
      </c>
      <c r="D54" s="689" t="s">
        <v>244</v>
      </c>
      <c r="E54" s="705">
        <v>20000</v>
      </c>
      <c r="F54" s="705">
        <v>9139.56</v>
      </c>
      <c r="G54" s="738"/>
      <c r="H54" s="705"/>
      <c r="I54" s="162"/>
      <c r="J54" s="727"/>
    </row>
    <row r="55" spans="1:10" ht="39" customHeight="1">
      <c r="A55" s="710"/>
      <c r="B55" s="2"/>
      <c r="C55" s="693">
        <v>2580</v>
      </c>
      <c r="D55" s="694" t="s">
        <v>449</v>
      </c>
      <c r="E55" s="705"/>
      <c r="F55" s="705"/>
      <c r="G55" s="738"/>
      <c r="H55" s="705">
        <v>20000</v>
      </c>
      <c r="I55" s="162">
        <v>9139.56</v>
      </c>
      <c r="J55" s="727"/>
    </row>
    <row r="56" spans="1:10" ht="25.5" customHeight="1">
      <c r="A56" s="6">
        <v>921</v>
      </c>
      <c r="B56" s="11"/>
      <c r="C56" s="714"/>
      <c r="D56" s="301" t="s">
        <v>38</v>
      </c>
      <c r="E56" s="678">
        <f>SUM(E57)</f>
        <v>80000</v>
      </c>
      <c r="F56" s="678">
        <f>SUM(F57)</f>
        <v>38000</v>
      </c>
      <c r="G56" s="733">
        <f>F56*100/E56</f>
        <v>47.5</v>
      </c>
      <c r="H56" s="678">
        <f>SUM(H57)</f>
        <v>80000</v>
      </c>
      <c r="I56" s="678">
        <f>SUM(I57)</f>
        <v>38000</v>
      </c>
      <c r="J56" s="535">
        <f>I56*100/H56</f>
        <v>47.5</v>
      </c>
    </row>
    <row r="57" spans="1:10" ht="19.5" customHeight="1">
      <c r="A57" s="35"/>
      <c r="B57" s="24">
        <v>92116</v>
      </c>
      <c r="C57" s="49"/>
      <c r="D57" s="304" t="s">
        <v>593</v>
      </c>
      <c r="E57" s="715">
        <f>SUM(E58:E59)</f>
        <v>80000</v>
      </c>
      <c r="F57" s="715">
        <f>SUM(F58:F59)</f>
        <v>38000</v>
      </c>
      <c r="G57" s="730">
        <f>F57*100/E57</f>
        <v>47.5</v>
      </c>
      <c r="H57" s="715">
        <f>SUM(H58:H59)</f>
        <v>80000</v>
      </c>
      <c r="I57" s="715">
        <f>SUM(I58:I59)</f>
        <v>38000</v>
      </c>
      <c r="J57" s="730">
        <f>I57*100/H57</f>
        <v>47.5</v>
      </c>
    </row>
    <row r="58" spans="1:10" ht="52.5" customHeight="1">
      <c r="A58" s="35"/>
      <c r="B58" s="30"/>
      <c r="C58" s="84">
        <v>2320</v>
      </c>
      <c r="D58" s="689" t="s">
        <v>244</v>
      </c>
      <c r="E58" s="716">
        <v>80000</v>
      </c>
      <c r="F58" s="716">
        <v>38000</v>
      </c>
      <c r="G58" s="739"/>
      <c r="H58" s="686"/>
      <c r="I58" s="686"/>
      <c r="J58" s="730"/>
    </row>
    <row r="59" spans="1:10" ht="33" customHeight="1">
      <c r="A59" s="85"/>
      <c r="B59" s="86"/>
      <c r="C59" s="717">
        <v>2480</v>
      </c>
      <c r="D59" s="684" t="s">
        <v>473</v>
      </c>
      <c r="E59" s="715"/>
      <c r="F59" s="715"/>
      <c r="G59" s="730"/>
      <c r="H59" s="55">
        <v>80000</v>
      </c>
      <c r="I59" s="55">
        <v>38000</v>
      </c>
      <c r="J59" s="730"/>
    </row>
    <row r="60" spans="1:10" ht="23.25" customHeight="1">
      <c r="A60" s="742" t="s">
        <v>246</v>
      </c>
      <c r="B60" s="696"/>
      <c r="C60" s="696"/>
      <c r="D60" s="698"/>
      <c r="E60" s="718">
        <f>E25+E52+E56</f>
        <v>467390</v>
      </c>
      <c r="F60" s="718">
        <f>F25+F52+F56</f>
        <v>171653.18</v>
      </c>
      <c r="G60" s="740">
        <f>F60*100/E60</f>
        <v>36.72589914204412</v>
      </c>
      <c r="H60" s="718">
        <f>H25+H52+H56</f>
        <v>467390</v>
      </c>
      <c r="I60" s="718">
        <f>I25+I52+I56</f>
        <v>171653.18</v>
      </c>
      <c r="J60" s="731">
        <f>I60*100/H60</f>
        <v>36.72589914204412</v>
      </c>
    </row>
    <row r="61" spans="1:10" s="723" customFormat="1" ht="20.25" customHeight="1">
      <c r="A61" s="52" t="s">
        <v>511</v>
      </c>
      <c r="B61" s="696"/>
      <c r="C61" s="696"/>
      <c r="D61" s="721"/>
      <c r="E61" s="722">
        <f>SUM(E24,E60)</f>
        <v>1979772.14</v>
      </c>
      <c r="F61" s="722">
        <f>SUM(F24,F60)</f>
        <v>960052.1699999999</v>
      </c>
      <c r="G61" s="741">
        <f>F61*100/E61</f>
        <v>48.49306395431951</v>
      </c>
      <c r="H61" s="719">
        <f>SUM(H24,H60)</f>
        <v>1979772.14</v>
      </c>
      <c r="I61" s="719">
        <f>SUM(I24,I60)</f>
        <v>960052.1699999999</v>
      </c>
      <c r="J61" s="731">
        <f>I61*100/H61</f>
        <v>48.49306395431951</v>
      </c>
    </row>
    <row r="62" spans="4:9" ht="15">
      <c r="D62" s="724"/>
      <c r="E62" s="723"/>
      <c r="F62" s="723"/>
      <c r="H62" s="723"/>
      <c r="I62" s="723"/>
    </row>
    <row r="63" spans="4:9" ht="15">
      <c r="D63" s="724"/>
      <c r="E63" s="723"/>
      <c r="F63" s="723"/>
      <c r="H63" s="723"/>
      <c r="I63" s="723"/>
    </row>
    <row r="64" spans="4:10" ht="12.75">
      <c r="D64" s="724"/>
      <c r="E64" s="51"/>
      <c r="F64" s="51"/>
      <c r="G64" s="732"/>
      <c r="J64" s="732"/>
    </row>
    <row r="65" spans="4:10" ht="12.75">
      <c r="D65" s="724"/>
      <c r="E65" s="51"/>
      <c r="F65" s="51"/>
      <c r="G65" s="732"/>
      <c r="J65" s="732"/>
    </row>
    <row r="66" ht="12.75">
      <c r="D66" s="724"/>
    </row>
    <row r="67" ht="12.75">
      <c r="D67" s="724"/>
    </row>
    <row r="68" ht="12.75">
      <c r="D68" s="724"/>
    </row>
    <row r="69" ht="12" customHeight="1">
      <c r="D69" s="724"/>
    </row>
    <row r="70" ht="12.75">
      <c r="D70" s="724"/>
    </row>
    <row r="71" ht="12.75">
      <c r="D71" s="724"/>
    </row>
    <row r="72" ht="12.75">
      <c r="D72" s="724"/>
    </row>
    <row r="73" ht="12.75">
      <c r="D73" s="724"/>
    </row>
    <row r="74" ht="12.75">
      <c r="D74" s="724"/>
    </row>
    <row r="75" ht="12.75">
      <c r="D75" s="724"/>
    </row>
    <row r="76" ht="12.75">
      <c r="D76" s="724"/>
    </row>
    <row r="77" ht="12.75">
      <c r="D77" s="724"/>
    </row>
    <row r="78" ht="12.75">
      <c r="D78" s="724"/>
    </row>
    <row r="79" ht="12.75">
      <c r="D79" s="724"/>
    </row>
    <row r="80" ht="12.75">
      <c r="D80" s="724"/>
    </row>
    <row r="81" ht="12.75">
      <c r="D81" s="724"/>
    </row>
    <row r="82" ht="12.75">
      <c r="D82" s="724"/>
    </row>
    <row r="83" ht="12.75">
      <c r="D83" s="724"/>
    </row>
    <row r="84" ht="12.75">
      <c r="D84" s="724"/>
    </row>
    <row r="85" ht="12.75">
      <c r="D85" s="724"/>
    </row>
    <row r="86" ht="12.75">
      <c r="D86" s="724"/>
    </row>
    <row r="87" ht="12.75">
      <c r="D87" s="724"/>
    </row>
    <row r="88" ht="12.75">
      <c r="D88" s="724"/>
    </row>
    <row r="89" ht="12.75">
      <c r="D89" s="724"/>
    </row>
    <row r="90" ht="12.75">
      <c r="D90" s="724"/>
    </row>
    <row r="91" ht="12.75">
      <c r="D91" s="724"/>
    </row>
    <row r="92" ht="12.75">
      <c r="D92" s="724"/>
    </row>
    <row r="93" ht="12.75">
      <c r="D93" s="724"/>
    </row>
    <row r="94" ht="12.75">
      <c r="D94" s="724"/>
    </row>
    <row r="95" ht="12.75">
      <c r="D95" s="724"/>
    </row>
    <row r="96" ht="12.75">
      <c r="D96" s="724"/>
    </row>
    <row r="97" ht="12.75">
      <c r="D97" s="724"/>
    </row>
    <row r="98" ht="12.75">
      <c r="D98" s="724"/>
    </row>
    <row r="99" ht="12.75">
      <c r="D99" s="724"/>
    </row>
    <row r="100" ht="12.75">
      <c r="D100" s="724"/>
    </row>
    <row r="101" ht="12.75">
      <c r="D101" s="724"/>
    </row>
    <row r="102" ht="12.75">
      <c r="D102" s="724"/>
    </row>
    <row r="103" ht="12.75">
      <c r="D103" s="724"/>
    </row>
    <row r="104" ht="12.75">
      <c r="D104" s="724"/>
    </row>
    <row r="105" ht="12.75">
      <c r="D105" s="724"/>
    </row>
    <row r="106" ht="12.75">
      <c r="D106" s="724"/>
    </row>
    <row r="107" ht="12.75">
      <c r="D107" s="724"/>
    </row>
    <row r="108" ht="12.75">
      <c r="D108" s="724"/>
    </row>
    <row r="109" ht="12.75">
      <c r="D109" s="724"/>
    </row>
    <row r="110" ht="12.75">
      <c r="D110" s="724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7">
      <selection activeCell="K45" sqref="K45"/>
    </sheetView>
  </sheetViews>
  <sheetFormatPr defaultColWidth="9.140625" defaultRowHeight="12.75"/>
  <cols>
    <col min="1" max="1" width="5.28125" style="299" customWidth="1"/>
    <col min="2" max="2" width="6.00390625" style="299" customWidth="1"/>
    <col min="3" max="3" width="5.421875" style="299" customWidth="1"/>
    <col min="4" max="4" width="36.421875" style="299" customWidth="1"/>
    <col min="5" max="5" width="16.7109375" style="298" customWidth="1"/>
    <col min="6" max="6" width="16.8515625" style="298" customWidth="1"/>
    <col min="7" max="7" width="6.28125" style="298" customWidth="1"/>
    <col min="8" max="8" width="11.57421875" style="298" customWidth="1"/>
    <col min="9" max="9" width="10.00390625" style="298" bestFit="1" customWidth="1"/>
    <col min="10" max="10" width="10.00390625" style="297" bestFit="1" customWidth="1"/>
    <col min="11" max="16384" width="9.140625" style="299" customWidth="1"/>
  </cols>
  <sheetData>
    <row r="1" spans="1:8" ht="12.75">
      <c r="A1" s="297"/>
      <c r="B1" s="297"/>
      <c r="C1" s="297"/>
      <c r="D1" s="297"/>
      <c r="E1" s="1021"/>
      <c r="F1" s="1021"/>
      <c r="G1" s="1021"/>
      <c r="H1" s="1021"/>
    </row>
    <row r="2" spans="1:10" s="1025" customFormat="1" ht="20.25">
      <c r="A2" s="1022"/>
      <c r="B2" s="1022"/>
      <c r="C2" s="1022"/>
      <c r="D2" s="1022"/>
      <c r="E2" s="1023"/>
      <c r="F2" s="1024" t="s">
        <v>824</v>
      </c>
      <c r="G2" s="744"/>
      <c r="H2" s="1023"/>
      <c r="I2" s="1023"/>
      <c r="J2" s="1022"/>
    </row>
    <row r="3" spans="1:10" s="1025" customFormat="1" ht="14.25" customHeight="1">
      <c r="A3" s="1022"/>
      <c r="B3" s="1022"/>
      <c r="C3" s="1022"/>
      <c r="D3" s="1022"/>
      <c r="E3" s="744"/>
      <c r="F3" s="744"/>
      <c r="G3" s="744"/>
      <c r="H3" s="1023"/>
      <c r="I3" s="1023"/>
      <c r="J3" s="1022"/>
    </row>
    <row r="4" spans="1:8" ht="12.75">
      <c r="A4" s="297"/>
      <c r="B4" s="297"/>
      <c r="C4" s="297"/>
      <c r="D4" s="297"/>
      <c r="H4" s="1021"/>
    </row>
    <row r="5" spans="1:10" s="1025" customFormat="1" ht="19.5" customHeight="1">
      <c r="A5" s="139" t="s">
        <v>825</v>
      </c>
      <c r="B5" s="160"/>
      <c r="C5" s="160"/>
      <c r="D5" s="160"/>
      <c r="E5" s="668"/>
      <c r="F5" s="668"/>
      <c r="G5" s="668"/>
      <c r="H5" s="1026"/>
      <c r="I5" s="1023"/>
      <c r="J5" s="1022"/>
    </row>
    <row r="6" spans="1:10" s="1025" customFormat="1" ht="15.75" customHeight="1">
      <c r="A6" s="139" t="s">
        <v>826</v>
      </c>
      <c r="B6" s="139"/>
      <c r="C6" s="139"/>
      <c r="D6" s="139"/>
      <c r="E6" s="139"/>
      <c r="F6" s="139"/>
      <c r="G6" s="139"/>
      <c r="H6" s="1026"/>
      <c r="I6" s="1023"/>
      <c r="J6" s="1022"/>
    </row>
    <row r="7" spans="1:10" s="1025" customFormat="1" ht="16.5" customHeight="1">
      <c r="A7" s="139" t="s">
        <v>827</v>
      </c>
      <c r="B7" s="160"/>
      <c r="C7" s="160"/>
      <c r="D7" s="160"/>
      <c r="E7" s="668"/>
      <c r="F7" s="668"/>
      <c r="G7" s="668"/>
      <c r="H7" s="1026"/>
      <c r="I7" s="1023"/>
      <c r="J7" s="1022"/>
    </row>
    <row r="8" spans="1:10" s="1025" customFormat="1" ht="18" customHeight="1">
      <c r="A8" s="1027" t="s">
        <v>831</v>
      </c>
      <c r="B8" s="1028"/>
      <c r="C8" s="467"/>
      <c r="D8" s="457"/>
      <c r="E8" s="668"/>
      <c r="F8" s="668"/>
      <c r="G8" s="668"/>
      <c r="H8" s="1026"/>
      <c r="I8" s="1023"/>
      <c r="J8" s="1022"/>
    </row>
    <row r="9" spans="1:10" s="1025" customFormat="1" ht="12.75">
      <c r="A9" s="1029"/>
      <c r="B9" s="1030"/>
      <c r="C9" s="1031"/>
      <c r="D9" s="1032"/>
      <c r="E9" s="1026"/>
      <c r="F9" s="1026"/>
      <c r="G9" s="1026"/>
      <c r="H9" s="1026"/>
      <c r="I9" s="1023"/>
      <c r="J9" s="1022"/>
    </row>
    <row r="10" spans="1:10" s="1025" customFormat="1" ht="12.75">
      <c r="A10" s="1031" t="s">
        <v>410</v>
      </c>
      <c r="B10" s="1030"/>
      <c r="C10" s="1031"/>
      <c r="D10" s="1032"/>
      <c r="E10" s="1033"/>
      <c r="F10" s="1033"/>
      <c r="G10" s="1034"/>
      <c r="H10" s="1026"/>
      <c r="I10" s="1023"/>
      <c r="J10" s="1022"/>
    </row>
    <row r="11" spans="1:10" s="1025" customFormat="1" ht="12.75">
      <c r="A11" s="1031"/>
      <c r="B11" s="1030"/>
      <c r="C11" s="1031"/>
      <c r="D11" s="1032"/>
      <c r="E11" s="1033"/>
      <c r="F11" s="1034" t="s">
        <v>828</v>
      </c>
      <c r="G11" s="1034"/>
      <c r="H11" s="1026"/>
      <c r="I11" s="1023"/>
      <c r="J11" s="1022"/>
    </row>
    <row r="12" spans="1:10" s="1025" customFormat="1" ht="39.75" customHeight="1">
      <c r="A12" s="1035" t="s">
        <v>412</v>
      </c>
      <c r="B12" s="1035" t="s">
        <v>413</v>
      </c>
      <c r="C12" s="1035" t="s">
        <v>439</v>
      </c>
      <c r="D12" s="1036" t="s">
        <v>172</v>
      </c>
      <c r="E12" s="1037" t="s">
        <v>542</v>
      </c>
      <c r="F12" s="1038" t="s">
        <v>238</v>
      </c>
      <c r="G12" s="1038" t="s">
        <v>239</v>
      </c>
      <c r="H12" s="1039"/>
      <c r="I12" s="1023"/>
      <c r="J12" s="1022"/>
    </row>
    <row r="13" spans="1:10" s="1025" customFormat="1" ht="18.75" customHeight="1">
      <c r="A13" s="1149" t="s">
        <v>616</v>
      </c>
      <c r="B13" s="1150"/>
      <c r="C13" s="1150"/>
      <c r="D13" s="1151"/>
      <c r="E13" s="1040">
        <f>E17</f>
        <v>628300</v>
      </c>
      <c r="F13" s="1040">
        <f>F14+F17</f>
        <v>317724.48</v>
      </c>
      <c r="G13" s="1041">
        <f>F13/E13*100</f>
        <v>50.56891293967849</v>
      </c>
      <c r="H13" s="1042"/>
      <c r="I13" s="1023"/>
      <c r="J13" s="1022"/>
    </row>
    <row r="14" spans="1:10" s="1025" customFormat="1" ht="18.75" customHeight="1">
      <c r="A14" s="1043">
        <v>750</v>
      </c>
      <c r="B14" s="1043"/>
      <c r="C14" s="1043"/>
      <c r="D14" s="1043" t="s">
        <v>545</v>
      </c>
      <c r="E14" s="1040">
        <f>E15</f>
        <v>0</v>
      </c>
      <c r="F14" s="1044">
        <f>F15</f>
        <v>1302</v>
      </c>
      <c r="G14" s="1041"/>
      <c r="H14" s="1042"/>
      <c r="I14" s="1023"/>
      <c r="J14" s="1022"/>
    </row>
    <row r="15" spans="1:10" s="1025" customFormat="1" ht="18.75" customHeight="1">
      <c r="A15" s="1045"/>
      <c r="B15" s="1046">
        <v>75011</v>
      </c>
      <c r="C15" s="1046"/>
      <c r="D15" s="1047" t="s">
        <v>617</v>
      </c>
      <c r="E15" s="1048">
        <f>E16</f>
        <v>0</v>
      </c>
      <c r="F15" s="1049">
        <f>F16</f>
        <v>1302</v>
      </c>
      <c r="G15" s="1050"/>
      <c r="H15" s="1042"/>
      <c r="I15" s="1023"/>
      <c r="J15" s="1022"/>
    </row>
    <row r="16" spans="1:10" s="1025" customFormat="1" ht="21" customHeight="1">
      <c r="A16" s="1051"/>
      <c r="B16" s="1043"/>
      <c r="C16" s="1052" t="s">
        <v>618</v>
      </c>
      <c r="D16" s="1053" t="s">
        <v>619</v>
      </c>
      <c r="E16" s="1054">
        <v>0</v>
      </c>
      <c r="F16" s="1055">
        <v>1302</v>
      </c>
      <c r="G16" s="1056"/>
      <c r="H16" s="1042"/>
      <c r="I16" s="1023"/>
      <c r="J16" s="1022"/>
    </row>
    <row r="17" spans="1:10" s="1025" customFormat="1" ht="21" customHeight="1">
      <c r="A17" s="1057">
        <v>852</v>
      </c>
      <c r="B17" s="1058" t="s">
        <v>410</v>
      </c>
      <c r="C17" s="1058"/>
      <c r="D17" s="1059" t="s">
        <v>424</v>
      </c>
      <c r="E17" s="1060">
        <f>E18+E20+E25</f>
        <v>628300</v>
      </c>
      <c r="F17" s="1060">
        <f>F18+F20+F25</f>
        <v>316422.48</v>
      </c>
      <c r="G17" s="1050">
        <f>F17/E17*100</f>
        <v>50.36168709215343</v>
      </c>
      <c r="H17" s="1061"/>
      <c r="I17" s="1062"/>
      <c r="J17" s="1022"/>
    </row>
    <row r="18" spans="1:10" s="1072" customFormat="1" ht="21" customHeight="1">
      <c r="A18" s="1063"/>
      <c r="B18" s="1064">
        <v>85203</v>
      </c>
      <c r="C18" s="1065"/>
      <c r="D18" s="1066" t="s">
        <v>620</v>
      </c>
      <c r="E18" s="1067">
        <f>SUM(E19:E19)</f>
        <v>2000</v>
      </c>
      <c r="F18" s="1068">
        <f>SUM(F19:F19)</f>
        <v>754.55</v>
      </c>
      <c r="G18" s="1041"/>
      <c r="H18" s="1069"/>
      <c r="I18" s="1070"/>
      <c r="J18" s="1071"/>
    </row>
    <row r="19" spans="1:10" s="1082" customFormat="1" ht="21" customHeight="1">
      <c r="A19" s="1073"/>
      <c r="B19" s="1074"/>
      <c r="C19" s="1075" t="s">
        <v>621</v>
      </c>
      <c r="D19" s="1076" t="s">
        <v>622</v>
      </c>
      <c r="E19" s="1077">
        <v>2000</v>
      </c>
      <c r="F19" s="1078">
        <v>754.55</v>
      </c>
      <c r="G19" s="1050"/>
      <c r="H19" s="1079"/>
      <c r="I19" s="1080"/>
      <c r="J19" s="1081"/>
    </row>
    <row r="20" spans="1:10" s="1082" customFormat="1" ht="41.25" customHeight="1">
      <c r="A20" s="1073"/>
      <c r="B20" s="1065">
        <v>85212</v>
      </c>
      <c r="C20" s="1083"/>
      <c r="D20" s="1084" t="s">
        <v>162</v>
      </c>
      <c r="E20" s="1067">
        <f>SUM(E21:E24)</f>
        <v>614300</v>
      </c>
      <c r="F20" s="1068">
        <f>SUM(F21:F24)</f>
        <v>310088.83999999997</v>
      </c>
      <c r="G20" s="1050"/>
      <c r="H20" s="1079"/>
      <c r="I20" s="1080"/>
      <c r="J20" s="1081"/>
    </row>
    <row r="21" spans="1:10" s="1082" customFormat="1" ht="21" customHeight="1">
      <c r="A21" s="1073"/>
      <c r="B21" s="1085"/>
      <c r="C21" s="1075" t="s">
        <v>618</v>
      </c>
      <c r="D21" s="1053" t="s">
        <v>619</v>
      </c>
      <c r="E21" s="1086"/>
      <c r="F21" s="1087">
        <v>61.6</v>
      </c>
      <c r="G21" s="1050"/>
      <c r="H21" s="1079"/>
      <c r="I21" s="1080"/>
      <c r="J21" s="1081"/>
    </row>
    <row r="22" spans="1:10" s="1082" customFormat="1" ht="21" customHeight="1">
      <c r="A22" s="1073"/>
      <c r="B22" s="1074"/>
      <c r="C22" s="1075" t="s">
        <v>504</v>
      </c>
      <c r="D22" s="1088" t="s">
        <v>443</v>
      </c>
      <c r="E22" s="1077"/>
      <c r="F22" s="1078">
        <v>62637.14</v>
      </c>
      <c r="G22" s="1050"/>
      <c r="H22" s="1079"/>
      <c r="I22" s="1080"/>
      <c r="J22" s="1081"/>
    </row>
    <row r="23" spans="1:10" s="1082" customFormat="1" ht="21" customHeight="1">
      <c r="A23" s="1073"/>
      <c r="B23" s="1074"/>
      <c r="C23" s="1075" t="s">
        <v>355</v>
      </c>
      <c r="D23" s="1089" t="s">
        <v>356</v>
      </c>
      <c r="E23" s="1077"/>
      <c r="F23" s="1078">
        <v>44661.17</v>
      </c>
      <c r="G23" s="1050"/>
      <c r="H23" s="1079"/>
      <c r="I23" s="1080"/>
      <c r="J23" s="1081"/>
    </row>
    <row r="24" spans="1:10" s="1082" customFormat="1" ht="29.25" customHeight="1">
      <c r="A24" s="1073"/>
      <c r="B24" s="1074"/>
      <c r="C24" s="1075" t="s">
        <v>829</v>
      </c>
      <c r="D24" s="1076" t="s">
        <v>830</v>
      </c>
      <c r="E24" s="1077">
        <v>614300</v>
      </c>
      <c r="F24" s="1078">
        <v>202728.93</v>
      </c>
      <c r="G24" s="1050"/>
      <c r="H24" s="1079"/>
      <c r="I24" s="1080"/>
      <c r="J24" s="1081"/>
    </row>
    <row r="25" spans="1:10" s="1025" customFormat="1" ht="30" customHeight="1">
      <c r="A25" s="1090"/>
      <c r="B25" s="1091">
        <v>85228</v>
      </c>
      <c r="C25" s="1092" t="s">
        <v>410</v>
      </c>
      <c r="D25" s="1066" t="s">
        <v>341</v>
      </c>
      <c r="E25" s="1067">
        <f>SUM(E26:E26)</f>
        <v>12000</v>
      </c>
      <c r="F25" s="1068">
        <f>SUM(F26:F26)</f>
        <v>5579.09</v>
      </c>
      <c r="G25" s="1050"/>
      <c r="H25" s="1093"/>
      <c r="I25" s="1023"/>
      <c r="J25" s="1022"/>
    </row>
    <row r="26" spans="1:10" s="1082" customFormat="1" ht="21" customHeight="1">
      <c r="A26" s="1094"/>
      <c r="B26" s="1097"/>
      <c r="C26" s="1095" t="s">
        <v>621</v>
      </c>
      <c r="D26" s="1089" t="s">
        <v>622</v>
      </c>
      <c r="E26" s="1077">
        <v>12000</v>
      </c>
      <c r="F26" s="1078">
        <v>5579.09</v>
      </c>
      <c r="G26" s="1056"/>
      <c r="H26" s="1096"/>
      <c r="I26" s="1080"/>
      <c r="J26" s="1081"/>
    </row>
    <row r="27" spans="1:10" s="1025" customFormat="1" ht="22.5" customHeight="1">
      <c r="A27" s="1149" t="s">
        <v>589</v>
      </c>
      <c r="B27" s="1150"/>
      <c r="C27" s="1150"/>
      <c r="D27" s="1151"/>
      <c r="E27" s="1040">
        <f>E28+E36</f>
        <v>2802000</v>
      </c>
      <c r="F27" s="1040">
        <f>F28+F36</f>
        <v>2678122.39</v>
      </c>
      <c r="G27" s="1056">
        <f>F27/E27*100</f>
        <v>95.57895753033549</v>
      </c>
      <c r="H27" s="1042"/>
      <c r="I27" s="1023"/>
      <c r="J27" s="1022"/>
    </row>
    <row r="28" spans="1:10" s="1025" customFormat="1" ht="22.5" customHeight="1">
      <c r="A28" s="1057">
        <v>700</v>
      </c>
      <c r="B28" s="1058"/>
      <c r="C28" s="1058"/>
      <c r="D28" s="1098" t="s">
        <v>416</v>
      </c>
      <c r="E28" s="1060">
        <f>SUM(E29)</f>
        <v>2790000</v>
      </c>
      <c r="F28" s="1060">
        <f>SUM(F29)</f>
        <v>2672326.25</v>
      </c>
      <c r="G28" s="1041">
        <f>F28/E28*100</f>
        <v>95.78230286738352</v>
      </c>
      <c r="H28" s="1061"/>
      <c r="I28" s="1023"/>
      <c r="J28" s="1022"/>
    </row>
    <row r="29" spans="1:10" s="1025" customFormat="1" ht="29.25" customHeight="1">
      <c r="A29" s="1099"/>
      <c r="B29" s="1092">
        <v>70005</v>
      </c>
      <c r="C29" s="1092"/>
      <c r="D29" s="1100" t="s">
        <v>543</v>
      </c>
      <c r="E29" s="1067">
        <f>E30+E31+E32+E33+E34+E35</f>
        <v>2790000</v>
      </c>
      <c r="F29" s="1068">
        <f>F30+F31+F32+F33+F34+F35</f>
        <v>2672326.25</v>
      </c>
      <c r="G29" s="1041"/>
      <c r="H29" s="1093"/>
      <c r="I29" s="1062"/>
      <c r="J29" s="1022"/>
    </row>
    <row r="30" spans="1:10" s="1082" customFormat="1" ht="29.25" customHeight="1">
      <c r="A30" s="1094"/>
      <c r="B30" s="1101"/>
      <c r="C30" s="1102" t="s">
        <v>623</v>
      </c>
      <c r="D30" s="393" t="s">
        <v>685</v>
      </c>
      <c r="E30" s="1077">
        <v>2340000</v>
      </c>
      <c r="F30" s="1078">
        <v>2542949.39</v>
      </c>
      <c r="G30" s="1050"/>
      <c r="H30" s="1096"/>
      <c r="I30" s="1103"/>
      <c r="J30" s="1081"/>
    </row>
    <row r="31" spans="1:10" s="1082" customFormat="1" ht="72" customHeight="1">
      <c r="A31" s="1094"/>
      <c r="B31" s="1101"/>
      <c r="C31" s="1102" t="s">
        <v>624</v>
      </c>
      <c r="D31" s="1088" t="s">
        <v>350</v>
      </c>
      <c r="E31" s="1077">
        <v>4000</v>
      </c>
      <c r="F31" s="1078">
        <v>7707.79</v>
      </c>
      <c r="G31" s="1050"/>
      <c r="H31" s="1096"/>
      <c r="I31" s="1103"/>
      <c r="J31" s="1081"/>
    </row>
    <row r="32" spans="1:10" s="1082" customFormat="1" ht="43.5" customHeight="1">
      <c r="A32" s="1094"/>
      <c r="B32" s="1101"/>
      <c r="C32" s="1102" t="s">
        <v>351</v>
      </c>
      <c r="D32" s="1088" t="s">
        <v>352</v>
      </c>
      <c r="E32" s="1077">
        <v>50000</v>
      </c>
      <c r="F32" s="1078">
        <v>57444.68</v>
      </c>
      <c r="G32" s="1050"/>
      <c r="H32" s="1096"/>
      <c r="I32" s="1103"/>
      <c r="J32" s="1081"/>
    </row>
    <row r="33" spans="1:10" s="1082" customFormat="1" ht="42" customHeight="1">
      <c r="A33" s="1094"/>
      <c r="B33" s="1101"/>
      <c r="C33" s="1102" t="s">
        <v>353</v>
      </c>
      <c r="D33" s="1088" t="s">
        <v>354</v>
      </c>
      <c r="E33" s="1077">
        <v>384000</v>
      </c>
      <c r="F33" s="1078">
        <v>46806.84</v>
      </c>
      <c r="G33" s="1050"/>
      <c r="H33" s="1096"/>
      <c r="I33" s="1103"/>
      <c r="J33" s="1081"/>
    </row>
    <row r="34" spans="1:10" s="1082" customFormat="1" ht="21" customHeight="1">
      <c r="A34" s="1094"/>
      <c r="B34" s="1101"/>
      <c r="C34" s="1102" t="s">
        <v>504</v>
      </c>
      <c r="D34" s="1088" t="s">
        <v>443</v>
      </c>
      <c r="E34" s="1077">
        <v>12000</v>
      </c>
      <c r="F34" s="1078">
        <v>15451.61</v>
      </c>
      <c r="G34" s="1050"/>
      <c r="H34" s="1096"/>
      <c r="I34" s="1103"/>
      <c r="J34" s="1081"/>
    </row>
    <row r="35" spans="1:10" s="1082" customFormat="1" ht="21" customHeight="1">
      <c r="A35" s="1094"/>
      <c r="B35" s="1101"/>
      <c r="C35" s="1095" t="s">
        <v>355</v>
      </c>
      <c r="D35" s="1089" t="s">
        <v>356</v>
      </c>
      <c r="E35" s="1077">
        <v>0</v>
      </c>
      <c r="F35" s="1078">
        <v>1965.94</v>
      </c>
      <c r="G35" s="1056"/>
      <c r="H35" s="1096"/>
      <c r="I35" s="1103"/>
      <c r="J35" s="1081"/>
    </row>
    <row r="36" spans="1:10" s="1025" customFormat="1" ht="34.5" customHeight="1">
      <c r="A36" s="1057">
        <v>754</v>
      </c>
      <c r="B36" s="1058"/>
      <c r="C36" s="1058"/>
      <c r="D36" s="1098" t="s">
        <v>546</v>
      </c>
      <c r="E36" s="1060">
        <f>SUM(E37)</f>
        <v>12000</v>
      </c>
      <c r="F36" s="1060">
        <f>SUM(F37)</f>
        <v>5796.14</v>
      </c>
      <c r="G36" s="1050">
        <f>F36/E36*100</f>
        <v>48.30116666666667</v>
      </c>
      <c r="H36" s="1104"/>
      <c r="I36" s="1062"/>
      <c r="J36" s="1022"/>
    </row>
    <row r="37" spans="1:10" s="1025" customFormat="1" ht="27" customHeight="1">
      <c r="A37" s="1099"/>
      <c r="B37" s="1091">
        <v>75411</v>
      </c>
      <c r="C37" s="1092"/>
      <c r="D37" s="1100" t="s">
        <v>456</v>
      </c>
      <c r="E37" s="1105">
        <f>SUM(E38:E40)</f>
        <v>12000</v>
      </c>
      <c r="F37" s="1106">
        <f>SUM(F38:F40)</f>
        <v>5796.14</v>
      </c>
      <c r="G37" s="1041"/>
      <c r="H37" s="1104"/>
      <c r="I37" s="1062"/>
      <c r="J37" s="1107"/>
    </row>
    <row r="38" spans="1:10" s="1025" customFormat="1" ht="21" customHeight="1">
      <c r="A38" s="1108"/>
      <c r="B38" s="1109"/>
      <c r="C38" s="1110" t="s">
        <v>618</v>
      </c>
      <c r="D38" s="1076" t="s">
        <v>619</v>
      </c>
      <c r="E38" s="1086">
        <v>88</v>
      </c>
      <c r="F38" s="1087">
        <v>44</v>
      </c>
      <c r="G38" s="1050"/>
      <c r="H38" s="1104"/>
      <c r="I38" s="1023"/>
      <c r="J38" s="1022"/>
    </row>
    <row r="39" spans="1:10" s="1025" customFormat="1" ht="66" customHeight="1">
      <c r="A39" s="1108"/>
      <c r="B39" s="1111"/>
      <c r="C39" s="1112" t="s">
        <v>624</v>
      </c>
      <c r="D39" s="1089" t="s">
        <v>350</v>
      </c>
      <c r="E39" s="1086">
        <v>11856</v>
      </c>
      <c r="F39" s="1087">
        <v>5564.04</v>
      </c>
      <c r="G39" s="1050"/>
      <c r="H39" s="1104"/>
      <c r="I39" s="1023"/>
      <c r="J39" s="1022"/>
    </row>
    <row r="40" spans="1:10" s="1082" customFormat="1" ht="21" customHeight="1">
      <c r="A40" s="1094"/>
      <c r="B40" s="1101"/>
      <c r="C40" s="1095" t="s">
        <v>355</v>
      </c>
      <c r="D40" s="1089" t="s">
        <v>356</v>
      </c>
      <c r="E40" s="1086">
        <v>56</v>
      </c>
      <c r="F40" s="1078">
        <v>188.1</v>
      </c>
      <c r="G40" s="1056"/>
      <c r="H40" s="1096"/>
      <c r="I40" s="1080"/>
      <c r="J40" s="1081"/>
    </row>
    <row r="41" spans="1:10" s="1025" customFormat="1" ht="27" customHeight="1">
      <c r="A41" s="1152" t="s">
        <v>510</v>
      </c>
      <c r="B41" s="1153"/>
      <c r="C41" s="1153"/>
      <c r="D41" s="1154"/>
      <c r="E41" s="1060">
        <f>E27+E13</f>
        <v>3430300</v>
      </c>
      <c r="F41" s="1060">
        <f>F27+F13</f>
        <v>2995846.87</v>
      </c>
      <c r="G41" s="1056">
        <f>F41/E41*100</f>
        <v>87.33483572865347</v>
      </c>
      <c r="H41" s="1061"/>
      <c r="I41" s="1062"/>
      <c r="J41" s="1107"/>
    </row>
    <row r="42" spans="5:10" s="1025" customFormat="1" ht="12.75">
      <c r="E42" s="1023"/>
      <c r="F42" s="1023"/>
      <c r="G42" s="1023"/>
      <c r="H42" s="1023"/>
      <c r="I42" s="1023"/>
      <c r="J42" s="1022"/>
    </row>
    <row r="43" spans="5:10" s="1025" customFormat="1" ht="12.75">
      <c r="E43" s="1023"/>
      <c r="F43" s="1023"/>
      <c r="G43" s="1023"/>
      <c r="H43" s="1023"/>
      <c r="I43" s="1023"/>
      <c r="J43" s="1022"/>
    </row>
    <row r="44" spans="5:10" s="1025" customFormat="1" ht="12.75">
      <c r="E44" s="1023"/>
      <c r="F44" s="1023"/>
      <c r="G44" s="1023"/>
      <c r="H44" s="1023"/>
      <c r="I44" s="1023"/>
      <c r="J44" s="1022"/>
    </row>
    <row r="45" spans="5:10" s="1025" customFormat="1" ht="12.75">
      <c r="E45" s="1023"/>
      <c r="F45" s="1023"/>
      <c r="G45" s="1023"/>
      <c r="H45" s="1023"/>
      <c r="I45" s="1023"/>
      <c r="J45" s="1022"/>
    </row>
    <row r="46" spans="5:10" s="1025" customFormat="1" ht="12.75">
      <c r="E46" s="1023"/>
      <c r="F46" s="1023"/>
      <c r="G46" s="1023"/>
      <c r="H46" s="1023"/>
      <c r="I46" s="1023"/>
      <c r="J46" s="1022"/>
    </row>
    <row r="47" spans="4:10" s="1025" customFormat="1" ht="12.75">
      <c r="D47" s="1062"/>
      <c r="E47" s="1023"/>
      <c r="F47" s="1023"/>
      <c r="G47" s="1023"/>
      <c r="H47" s="1023"/>
      <c r="I47" s="1023"/>
      <c r="J47" s="1022"/>
    </row>
    <row r="48" spans="4:10" s="1025" customFormat="1" ht="12.75">
      <c r="D48" s="1062"/>
      <c r="E48" s="1023"/>
      <c r="F48" s="1023"/>
      <c r="G48" s="1023"/>
      <c r="H48" s="1023"/>
      <c r="I48" s="1023"/>
      <c r="J48" s="1022"/>
    </row>
    <row r="49" spans="4:10" s="1025" customFormat="1" ht="12.75">
      <c r="D49" s="1062"/>
      <c r="E49" s="1023"/>
      <c r="F49" s="1023"/>
      <c r="G49" s="1023"/>
      <c r="H49" s="1023"/>
      <c r="I49" s="1023"/>
      <c r="J49" s="1022"/>
    </row>
    <row r="50" spans="4:10" s="1025" customFormat="1" ht="12.75">
      <c r="D50" s="1062"/>
      <c r="E50" s="1023"/>
      <c r="F50" s="1023"/>
      <c r="G50" s="1023"/>
      <c r="H50" s="1023"/>
      <c r="I50" s="1023"/>
      <c r="J50" s="1022"/>
    </row>
    <row r="51" ht="12.75">
      <c r="D51" s="1062"/>
    </row>
    <row r="52" ht="12.75">
      <c r="D52" s="1062"/>
    </row>
    <row r="53" spans="1:8" ht="12.75">
      <c r="A53" s="297"/>
      <c r="B53" s="297"/>
      <c r="C53" s="297"/>
      <c r="D53" s="1113"/>
      <c r="E53" s="1021"/>
      <c r="F53" s="1021"/>
      <c r="G53" s="1021"/>
      <c r="H53" s="1021"/>
    </row>
    <row r="54" spans="1:7" ht="15">
      <c r="A54" s="297"/>
      <c r="B54" s="297"/>
      <c r="C54" s="297"/>
      <c r="D54" s="1113"/>
      <c r="E54" s="1114"/>
      <c r="F54" s="1114"/>
      <c r="G54" s="1114"/>
    </row>
    <row r="55" spans="1:7" ht="12.75">
      <c r="A55" s="297"/>
      <c r="B55" s="297"/>
      <c r="C55" s="297"/>
      <c r="D55" s="1113"/>
      <c r="E55" s="300"/>
      <c r="F55" s="300"/>
      <c r="G55" s="300"/>
    </row>
    <row r="56" spans="1:7" ht="12.75">
      <c r="A56" s="297"/>
      <c r="B56" s="297"/>
      <c r="C56" s="297"/>
      <c r="D56" s="1113"/>
      <c r="E56" s="300"/>
      <c r="F56" s="300"/>
      <c r="G56" s="300"/>
    </row>
    <row r="57" spans="1:7" ht="12.75">
      <c r="A57" s="297"/>
      <c r="B57" s="297"/>
      <c r="C57" s="297"/>
      <c r="D57" s="1113"/>
      <c r="E57" s="300"/>
      <c r="F57" s="300"/>
      <c r="G57" s="300"/>
    </row>
    <row r="58" spans="1:7" ht="12.75">
      <c r="A58" s="297"/>
      <c r="B58" s="297"/>
      <c r="C58" s="297"/>
      <c r="D58" s="1113"/>
      <c r="E58" s="300"/>
      <c r="F58" s="300"/>
      <c r="G58" s="300"/>
    </row>
    <row r="59" spans="4:7" ht="12.75">
      <c r="D59" s="1115"/>
      <c r="E59" s="300"/>
      <c r="F59" s="300"/>
      <c r="G59" s="300"/>
    </row>
    <row r="60" spans="4:7" ht="12.75">
      <c r="D60" s="1115"/>
      <c r="E60" s="300"/>
      <c r="F60" s="300"/>
      <c r="G60" s="300"/>
    </row>
    <row r="61" spans="4:7" ht="12.75">
      <c r="D61" s="1115"/>
      <c r="E61" s="300"/>
      <c r="F61" s="300"/>
      <c r="G61" s="300"/>
    </row>
    <row r="62" spans="4:7" ht="12.75">
      <c r="D62" s="1115"/>
      <c r="E62" s="300"/>
      <c r="F62" s="300"/>
      <c r="G62" s="300"/>
    </row>
    <row r="63" spans="4:7" ht="12.75">
      <c r="D63" s="1115"/>
      <c r="E63" s="300"/>
      <c r="F63" s="300"/>
      <c r="G63" s="300"/>
    </row>
    <row r="64" spans="5:7" ht="12.75">
      <c r="E64" s="300"/>
      <c r="F64" s="300"/>
      <c r="G64" s="300"/>
    </row>
    <row r="65" spans="5:7" ht="12.75">
      <c r="E65" s="300"/>
      <c r="F65" s="300"/>
      <c r="G65" s="300"/>
    </row>
    <row r="66" spans="5:7" ht="12.75">
      <c r="E66" s="300"/>
      <c r="F66" s="300"/>
      <c r="G66" s="300"/>
    </row>
    <row r="67" spans="5:7" ht="12.75">
      <c r="E67" s="300"/>
      <c r="F67" s="300"/>
      <c r="G67" s="300"/>
    </row>
    <row r="68" spans="5:7" ht="12.75">
      <c r="E68" s="300"/>
      <c r="F68" s="300"/>
      <c r="G68" s="300"/>
    </row>
    <row r="69" spans="5:7" ht="12.75">
      <c r="E69" s="300"/>
      <c r="F69" s="300"/>
      <c r="G69" s="300"/>
    </row>
  </sheetData>
  <sheetProtection/>
  <mergeCells count="3">
    <mergeCell ref="A13:D13"/>
    <mergeCell ref="A27:D27"/>
    <mergeCell ref="A41:D41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5.421875" style="78" customWidth="1"/>
    <col min="2" max="2" width="7.140625" style="78" customWidth="1"/>
    <col min="3" max="3" width="6.8515625" style="78" customWidth="1"/>
    <col min="4" max="4" width="24.00390625" style="295" customWidth="1"/>
    <col min="5" max="5" width="11.28125" style="43" customWidth="1"/>
    <col min="6" max="6" width="10.8515625" style="43" customWidth="1"/>
    <col min="7" max="7" width="5.8515625" style="43" customWidth="1"/>
    <col min="8" max="8" width="11.140625" style="161" customWidth="1"/>
    <col min="9" max="9" width="11.421875" style="78" customWidth="1"/>
    <col min="10" max="10" width="6.00390625" style="78" customWidth="1"/>
    <col min="11" max="16384" width="9.140625" style="78" customWidth="1"/>
  </cols>
  <sheetData>
    <row r="1" spans="5:9" ht="20.25">
      <c r="E1" s="743"/>
      <c r="F1" s="743"/>
      <c r="G1" s="282" t="s">
        <v>254</v>
      </c>
      <c r="I1" s="744"/>
    </row>
    <row r="2" spans="5:9" ht="18.75">
      <c r="E2" s="743"/>
      <c r="F2" s="743"/>
      <c r="G2" s="743"/>
      <c r="I2" s="744"/>
    </row>
    <row r="3" spans="1:8" ht="12.75">
      <c r="A3" s="160"/>
      <c r="B3" s="160"/>
      <c r="C3" s="160"/>
      <c r="D3" s="667"/>
      <c r="E3" s="668"/>
      <c r="F3" s="668"/>
      <c r="G3" s="668"/>
      <c r="H3" s="745"/>
    </row>
    <row r="4" spans="1:8" ht="18.75">
      <c r="A4" s="669" t="s">
        <v>248</v>
      </c>
      <c r="B4" s="160"/>
      <c r="C4" s="160"/>
      <c r="D4" s="667"/>
      <c r="E4" s="668"/>
      <c r="F4" s="668"/>
      <c r="G4" s="668"/>
      <c r="H4" s="160"/>
    </row>
    <row r="5" spans="1:8" ht="18.75">
      <c r="A5" s="669" t="s">
        <v>249</v>
      </c>
      <c r="B5" s="160"/>
      <c r="C5" s="160"/>
      <c r="D5" s="667"/>
      <c r="E5" s="668"/>
      <c r="F5" s="668"/>
      <c r="G5" s="668"/>
      <c r="H5" s="160"/>
    </row>
    <row r="6" spans="1:8" ht="18.75">
      <c r="A6" s="669" t="s">
        <v>250</v>
      </c>
      <c r="B6" s="160"/>
      <c r="C6" s="160"/>
      <c r="D6" s="667"/>
      <c r="E6" s="668"/>
      <c r="F6" s="668"/>
      <c r="G6" s="668"/>
      <c r="H6" s="160"/>
    </row>
    <row r="7" spans="1:8" ht="12.75">
      <c r="A7" s="702"/>
      <c r="B7" s="160"/>
      <c r="C7" s="160"/>
      <c r="D7" s="667"/>
      <c r="E7" s="668"/>
      <c r="F7" s="668"/>
      <c r="G7" s="668"/>
      <c r="H7" s="160"/>
    </row>
    <row r="8" spans="1:9" ht="16.5" customHeight="1">
      <c r="A8" s="467" t="s">
        <v>410</v>
      </c>
      <c r="B8" s="467"/>
      <c r="C8" s="467"/>
      <c r="D8" s="671"/>
      <c r="E8" s="672"/>
      <c r="F8" s="672"/>
      <c r="G8" s="672"/>
      <c r="H8" s="746"/>
      <c r="I8" s="746" t="s">
        <v>411</v>
      </c>
    </row>
    <row r="9" spans="1:10" ht="50.25" customHeight="1">
      <c r="A9" s="747" t="s">
        <v>412</v>
      </c>
      <c r="B9" s="747" t="s">
        <v>413</v>
      </c>
      <c r="C9" s="747" t="s">
        <v>439</v>
      </c>
      <c r="D9" s="674" t="s">
        <v>172</v>
      </c>
      <c r="E9" s="674" t="s">
        <v>251</v>
      </c>
      <c r="F9" s="674" t="s">
        <v>238</v>
      </c>
      <c r="G9" s="242" t="s">
        <v>239</v>
      </c>
      <c r="H9" s="674" t="s">
        <v>240</v>
      </c>
      <c r="I9" s="674" t="s">
        <v>238</v>
      </c>
      <c r="J9" s="242" t="s">
        <v>239</v>
      </c>
    </row>
    <row r="10" spans="1:10" ht="36" customHeight="1">
      <c r="A10" s="748">
        <v>710</v>
      </c>
      <c r="B10" s="749"/>
      <c r="C10" s="748"/>
      <c r="D10" s="750" t="s">
        <v>553</v>
      </c>
      <c r="E10" s="751">
        <f>SUM(E11)</f>
        <v>32000</v>
      </c>
      <c r="F10" s="751">
        <f>SUM(F11)</f>
        <v>32000</v>
      </c>
      <c r="G10" s="733">
        <f>F10*100/E10</f>
        <v>100</v>
      </c>
      <c r="H10" s="751">
        <f>SUM(H11)</f>
        <v>32000</v>
      </c>
      <c r="I10" s="751">
        <f>SUM(I11)</f>
        <v>0</v>
      </c>
      <c r="J10" s="733"/>
    </row>
    <row r="11" spans="1:10" ht="28.5" customHeight="1">
      <c r="A11" s="752"/>
      <c r="B11" s="753">
        <v>71035</v>
      </c>
      <c r="C11" s="754"/>
      <c r="D11" s="755" t="s">
        <v>369</v>
      </c>
      <c r="E11" s="756">
        <f>E12</f>
        <v>32000</v>
      </c>
      <c r="F11" s="756">
        <f>F12</f>
        <v>32000</v>
      </c>
      <c r="G11" s="734">
        <f>F11*100/E11</f>
        <v>100</v>
      </c>
      <c r="H11" s="756">
        <f>H13</f>
        <v>32000</v>
      </c>
      <c r="I11" s="756">
        <f>I13</f>
        <v>0</v>
      </c>
      <c r="J11" s="734"/>
    </row>
    <row r="12" spans="1:10" ht="81" customHeight="1">
      <c r="A12" s="752"/>
      <c r="B12" s="757"/>
      <c r="C12" s="758">
        <v>2020</v>
      </c>
      <c r="D12" s="784" t="s">
        <v>252</v>
      </c>
      <c r="E12" s="756">
        <v>32000</v>
      </c>
      <c r="F12" s="756">
        <v>32000</v>
      </c>
      <c r="G12" s="734"/>
      <c r="H12" s="756"/>
      <c r="I12" s="756"/>
      <c r="J12" s="734"/>
    </row>
    <row r="13" spans="1:10" ht="77.25" customHeight="1">
      <c r="A13" s="760"/>
      <c r="B13" s="761"/>
      <c r="C13" s="310">
        <v>4340</v>
      </c>
      <c r="D13" s="785" t="s">
        <v>253</v>
      </c>
      <c r="E13" s="756"/>
      <c r="F13" s="756"/>
      <c r="G13" s="734"/>
      <c r="H13" s="756">
        <v>32000</v>
      </c>
      <c r="I13" s="756">
        <v>0</v>
      </c>
      <c r="J13" s="734"/>
    </row>
    <row r="14" spans="1:10" ht="36" customHeight="1">
      <c r="A14" s="762" t="s">
        <v>243</v>
      </c>
      <c r="B14" s="763"/>
      <c r="C14" s="758"/>
      <c r="D14" s="759"/>
      <c r="E14" s="764">
        <f>E10</f>
        <v>32000</v>
      </c>
      <c r="F14" s="764">
        <f>F10</f>
        <v>32000</v>
      </c>
      <c r="G14" s="780">
        <f>F14*100/E14</f>
        <v>100</v>
      </c>
      <c r="H14" s="764">
        <f>H10</f>
        <v>32000</v>
      </c>
      <c r="I14" s="764">
        <f>I10</f>
        <v>0</v>
      </c>
      <c r="J14" s="780"/>
    </row>
    <row r="15" spans="1:10" s="765" customFormat="1" ht="36.75" customHeight="1">
      <c r="A15" s="748">
        <v>750</v>
      </c>
      <c r="B15" s="749"/>
      <c r="C15" s="748"/>
      <c r="D15" s="750" t="s">
        <v>545</v>
      </c>
      <c r="E15" s="751">
        <f>SUM(E16)</f>
        <v>3000</v>
      </c>
      <c r="F15" s="751">
        <f>SUM(F16)</f>
        <v>2925</v>
      </c>
      <c r="G15" s="733">
        <f>F15*100/E15</f>
        <v>97.5</v>
      </c>
      <c r="H15" s="751">
        <f>SUM(H16)</f>
        <v>3000</v>
      </c>
      <c r="I15" s="751">
        <f>SUM(I16)</f>
        <v>2925</v>
      </c>
      <c r="J15" s="733">
        <f>I15*100/H15</f>
        <v>97.5</v>
      </c>
    </row>
    <row r="16" spans="1:10" s="765" customFormat="1" ht="27" customHeight="1">
      <c r="A16" s="752"/>
      <c r="B16" s="753">
        <v>75045</v>
      </c>
      <c r="C16" s="754"/>
      <c r="D16" s="755" t="s">
        <v>637</v>
      </c>
      <c r="E16" s="766">
        <f>SUM(E17:E18)</f>
        <v>3000</v>
      </c>
      <c r="F16" s="766">
        <f>SUM(F17:F18)</f>
        <v>2925</v>
      </c>
      <c r="G16" s="730">
        <f>F16*100/E16</f>
        <v>97.5</v>
      </c>
      <c r="H16" s="766">
        <f>H17+H18</f>
        <v>3000</v>
      </c>
      <c r="I16" s="766">
        <f>I17+I18</f>
        <v>2925</v>
      </c>
      <c r="J16" s="730">
        <f>I16*100/H16</f>
        <v>97.5</v>
      </c>
    </row>
    <row r="17" spans="1:10" ht="81.75" customHeight="1">
      <c r="A17" s="752"/>
      <c r="B17" s="757"/>
      <c r="C17" s="758">
        <v>2120</v>
      </c>
      <c r="D17" s="784" t="s">
        <v>146</v>
      </c>
      <c r="E17" s="767">
        <v>3000</v>
      </c>
      <c r="F17" s="767">
        <v>2925</v>
      </c>
      <c r="G17" s="781"/>
      <c r="H17" s="768"/>
      <c r="I17" s="767"/>
      <c r="J17" s="730"/>
    </row>
    <row r="18" spans="1:10" ht="29.25" customHeight="1">
      <c r="A18" s="760"/>
      <c r="B18" s="761"/>
      <c r="C18" s="310">
        <v>4300</v>
      </c>
      <c r="D18" s="785" t="s">
        <v>599</v>
      </c>
      <c r="E18" s="769"/>
      <c r="F18" s="769"/>
      <c r="G18" s="782"/>
      <c r="H18" s="769">
        <v>3000</v>
      </c>
      <c r="I18" s="769">
        <v>2925</v>
      </c>
      <c r="J18" s="782"/>
    </row>
    <row r="19" spans="1:10" s="774" customFormat="1" ht="33" customHeight="1">
      <c r="A19" s="762" t="s">
        <v>246</v>
      </c>
      <c r="B19" s="770"/>
      <c r="C19" s="771"/>
      <c r="D19" s="772"/>
      <c r="E19" s="773">
        <f>SUM(E15,)</f>
        <v>3000</v>
      </c>
      <c r="F19" s="773">
        <f>SUM(F15,)</f>
        <v>2925</v>
      </c>
      <c r="G19" s="783">
        <f>F19*100/E19</f>
        <v>97.5</v>
      </c>
      <c r="H19" s="773">
        <f>SUM(H15,)</f>
        <v>3000</v>
      </c>
      <c r="I19" s="773">
        <f>SUM(I15,)</f>
        <v>2925</v>
      </c>
      <c r="J19" s="783">
        <f>I19*100/H19</f>
        <v>97.5</v>
      </c>
    </row>
    <row r="20" spans="1:10" s="776" customFormat="1" ht="26.25" customHeight="1">
      <c r="A20" s="1155" t="s">
        <v>511</v>
      </c>
      <c r="B20" s="1156"/>
      <c r="C20" s="1156"/>
      <c r="D20" s="1157"/>
      <c r="E20" s="775">
        <f>E14+E19</f>
        <v>35000</v>
      </c>
      <c r="F20" s="775">
        <f>F14+F19</f>
        <v>34925</v>
      </c>
      <c r="G20" s="731">
        <f>F20*100/E20</f>
        <v>99.78571428571429</v>
      </c>
      <c r="H20" s="775">
        <f>H14+H19</f>
        <v>35000</v>
      </c>
      <c r="I20" s="775">
        <f>I14+I19</f>
        <v>2925</v>
      </c>
      <c r="J20" s="731">
        <f>I20*100/H20</f>
        <v>8.357142857142858</v>
      </c>
    </row>
    <row r="21" spans="1:10" ht="12.75">
      <c r="A21" s="777"/>
      <c r="B21" s="777"/>
      <c r="C21" s="778"/>
      <c r="D21" s="779"/>
      <c r="E21" s="369"/>
      <c r="F21" s="369"/>
      <c r="G21" s="160"/>
      <c r="H21" s="777"/>
      <c r="J21" s="161"/>
    </row>
    <row r="22" spans="1:8" ht="12.75">
      <c r="A22" s="777"/>
      <c r="B22" s="777"/>
      <c r="C22" s="778"/>
      <c r="D22" s="779"/>
      <c r="E22" s="369"/>
      <c r="F22" s="369"/>
      <c r="G22" s="369"/>
      <c r="H22" s="777"/>
    </row>
    <row r="23" spans="3:4" ht="12.75">
      <c r="C23" s="275"/>
      <c r="D23" s="296"/>
    </row>
    <row r="24" spans="3:4" ht="12.75">
      <c r="C24" s="275"/>
      <c r="D24" s="296"/>
    </row>
    <row r="25" spans="3:4" ht="12.75">
      <c r="C25" s="275"/>
      <c r="D25" s="296"/>
    </row>
    <row r="26" spans="3:4" ht="12.75">
      <c r="C26" s="275"/>
      <c r="D26" s="296"/>
    </row>
    <row r="27" spans="3:4" ht="12.75">
      <c r="C27" s="275"/>
      <c r="D27" s="296"/>
    </row>
    <row r="28" spans="3:4" ht="12.75">
      <c r="C28" s="275"/>
      <c r="D28" s="296"/>
    </row>
    <row r="29" spans="3:4" ht="12.75">
      <c r="C29" s="275"/>
      <c r="D29" s="296"/>
    </row>
    <row r="30" spans="3:4" ht="12.75">
      <c r="C30" s="275"/>
      <c r="D30" s="296"/>
    </row>
    <row r="31" ht="12.75">
      <c r="C31" s="275"/>
    </row>
    <row r="32" ht="12.75">
      <c r="C32" s="275"/>
    </row>
    <row r="33" ht="12.75">
      <c r="C33" s="275"/>
    </row>
    <row r="34" ht="12.75">
      <c r="C34" s="275"/>
    </row>
    <row r="35" ht="12.75">
      <c r="C35" s="275"/>
    </row>
    <row r="36" ht="12.75">
      <c r="C36" s="275"/>
    </row>
    <row r="37" ht="12.75">
      <c r="C37" s="275"/>
    </row>
    <row r="38" ht="12.75">
      <c r="C38" s="275"/>
    </row>
    <row r="39" ht="12.75">
      <c r="C39" s="275"/>
    </row>
    <row r="40" ht="12.75">
      <c r="C40" s="275"/>
    </row>
    <row r="41" ht="12.75">
      <c r="C41" s="275"/>
    </row>
    <row r="42" ht="12.75">
      <c r="C42" s="275"/>
    </row>
    <row r="43" ht="12.75">
      <c r="C43" s="275"/>
    </row>
    <row r="44" ht="12.75">
      <c r="C44" s="275"/>
    </row>
    <row r="45" ht="12.75">
      <c r="C45" s="275"/>
    </row>
    <row r="46" ht="12.75">
      <c r="C46" s="275"/>
    </row>
    <row r="47" ht="12.75">
      <c r="C47" s="275"/>
    </row>
    <row r="48" ht="12.75">
      <c r="C48" s="275"/>
    </row>
    <row r="49" ht="12.75">
      <c r="C49" s="275"/>
    </row>
    <row r="50" ht="12.75">
      <c r="C50" s="275"/>
    </row>
    <row r="51" ht="12.75">
      <c r="C51" s="275"/>
    </row>
    <row r="52" ht="12.75">
      <c r="C52" s="275"/>
    </row>
    <row r="53" ht="12.75">
      <c r="C53" s="275"/>
    </row>
    <row r="54" ht="12.75">
      <c r="C54" s="275"/>
    </row>
    <row r="55" ht="12.75">
      <c r="C55" s="275"/>
    </row>
    <row r="56" ht="12.75">
      <c r="C56" s="275"/>
    </row>
    <row r="57" ht="12.75">
      <c r="C57" s="275"/>
    </row>
    <row r="58" ht="12.75">
      <c r="C58" s="275"/>
    </row>
    <row r="59" ht="12.75">
      <c r="C59" s="275"/>
    </row>
    <row r="60" ht="12.75">
      <c r="C60" s="275"/>
    </row>
    <row r="61" ht="12.75">
      <c r="C61" s="275"/>
    </row>
    <row r="62" ht="12.75">
      <c r="C62" s="275"/>
    </row>
    <row r="63" ht="12.75">
      <c r="C63" s="275"/>
    </row>
    <row r="64" ht="12.75">
      <c r="C64" s="275"/>
    </row>
    <row r="65" ht="12.75">
      <c r="C65" s="275"/>
    </row>
    <row r="66" ht="12.75">
      <c r="C66" s="275"/>
    </row>
    <row r="67" ht="12.75">
      <c r="C67" s="275"/>
    </row>
  </sheetData>
  <sheetProtection/>
  <mergeCells count="1">
    <mergeCell ref="A20:D20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4">
      <selection activeCell="N14" sqref="N14"/>
    </sheetView>
  </sheetViews>
  <sheetFormatPr defaultColWidth="9.140625" defaultRowHeight="12.75"/>
  <cols>
    <col min="1" max="1" width="5.140625" style="78" customWidth="1"/>
    <col min="2" max="2" width="7.140625" style="78" customWidth="1"/>
    <col min="3" max="3" width="5.8515625" style="78" customWidth="1"/>
    <col min="4" max="4" width="23.57421875" style="78" customWidth="1"/>
    <col min="5" max="5" width="12.421875" style="78" customWidth="1"/>
    <col min="6" max="6" width="11.28125" style="78" customWidth="1"/>
    <col min="7" max="7" width="6.57421875" style="78" customWidth="1"/>
    <col min="8" max="8" width="11.7109375" style="82" customWidth="1"/>
    <col min="9" max="9" width="11.28125" style="78" customWidth="1"/>
    <col min="10" max="10" width="6.8515625" style="78" customWidth="1"/>
    <col min="11" max="16384" width="9.140625" style="78" customWidth="1"/>
  </cols>
  <sheetData>
    <row r="1" spans="5:7" ht="20.25">
      <c r="E1" s="786"/>
      <c r="F1" s="786"/>
      <c r="G1" s="282" t="s">
        <v>259</v>
      </c>
    </row>
    <row r="2" spans="5:7" ht="18.75">
      <c r="E2" s="138"/>
      <c r="F2" s="138"/>
      <c r="G2" s="138"/>
    </row>
    <row r="3" spans="1:7" ht="12.75">
      <c r="A3" s="160"/>
      <c r="B3" s="160"/>
      <c r="C3" s="160"/>
      <c r="D3" s="160"/>
      <c r="E3" s="160"/>
      <c r="F3" s="160"/>
      <c r="G3" s="160"/>
    </row>
    <row r="4" spans="1:7" ht="18.75">
      <c r="A4" s="669" t="s">
        <v>255</v>
      </c>
      <c r="B4" s="160"/>
      <c r="C4" s="160"/>
      <c r="D4" s="160"/>
      <c r="E4" s="160"/>
      <c r="F4" s="160"/>
      <c r="G4" s="160"/>
    </row>
    <row r="5" spans="1:7" ht="18.75">
      <c r="A5" s="669" t="s">
        <v>235</v>
      </c>
      <c r="B5" s="160"/>
      <c r="C5" s="160"/>
      <c r="D5" s="160"/>
      <c r="E5" s="160"/>
      <c r="F5" s="160"/>
      <c r="G5" s="160"/>
    </row>
    <row r="6" spans="1:7" ht="18.75">
      <c r="A6" s="670" t="s">
        <v>256</v>
      </c>
      <c r="B6" s="787"/>
      <c r="C6" s="467"/>
      <c r="D6" s="457"/>
      <c r="E6" s="457"/>
      <c r="F6" s="457"/>
      <c r="G6" s="457"/>
    </row>
    <row r="7" spans="1:7" ht="18.75">
      <c r="A7" s="669" t="s">
        <v>250</v>
      </c>
      <c r="B7" s="787"/>
      <c r="C7" s="467"/>
      <c r="D7" s="457"/>
      <c r="E7" s="457"/>
      <c r="F7" s="457"/>
      <c r="G7" s="457"/>
    </row>
    <row r="8" spans="1:7" ht="12.75">
      <c r="A8" s="702"/>
      <c r="B8" s="787"/>
      <c r="C8" s="467"/>
      <c r="D8" s="457"/>
      <c r="E8" s="457"/>
      <c r="F8" s="457"/>
      <c r="G8" s="457"/>
    </row>
    <row r="9" spans="1:9" ht="12.75">
      <c r="A9" s="467" t="s">
        <v>410</v>
      </c>
      <c r="B9" s="467"/>
      <c r="C9" s="467"/>
      <c r="D9" s="457"/>
      <c r="E9" s="457"/>
      <c r="F9" s="457"/>
      <c r="G9" s="457"/>
      <c r="H9" s="788"/>
      <c r="I9" s="788" t="s">
        <v>411</v>
      </c>
    </row>
    <row r="10" spans="1:10" s="161" customFormat="1" ht="52.5" customHeight="1">
      <c r="A10" s="67" t="s">
        <v>412</v>
      </c>
      <c r="B10" s="67" t="s">
        <v>413</v>
      </c>
      <c r="C10" s="67" t="s">
        <v>439</v>
      </c>
      <c r="D10" s="477" t="s">
        <v>172</v>
      </c>
      <c r="E10" s="477" t="s">
        <v>251</v>
      </c>
      <c r="F10" s="674" t="s">
        <v>238</v>
      </c>
      <c r="G10" s="674" t="s">
        <v>239</v>
      </c>
      <c r="H10" s="477" t="s">
        <v>240</v>
      </c>
      <c r="I10" s="674" t="s">
        <v>238</v>
      </c>
      <c r="J10" s="674" t="s">
        <v>239</v>
      </c>
    </row>
    <row r="11" spans="1:10" ht="28.5" customHeight="1">
      <c r="A11" s="52" t="s">
        <v>589</v>
      </c>
      <c r="B11" s="789"/>
      <c r="C11" s="789"/>
      <c r="D11" s="790"/>
      <c r="E11" s="791"/>
      <c r="F11" s="791"/>
      <c r="G11" s="791"/>
      <c r="H11" s="792"/>
      <c r="I11" s="791"/>
      <c r="J11" s="793"/>
    </row>
    <row r="12" spans="1:10" ht="50.25" customHeight="1">
      <c r="A12" s="748">
        <v>853</v>
      </c>
      <c r="B12" s="748"/>
      <c r="C12" s="748"/>
      <c r="D12" s="794" t="s">
        <v>257</v>
      </c>
      <c r="E12" s="795">
        <f>SUM(E13)</f>
        <v>276863</v>
      </c>
      <c r="F12" s="795">
        <f>SUM(F13)</f>
        <v>143830</v>
      </c>
      <c r="G12" s="795">
        <f>F12*100/E12</f>
        <v>51.94988134925938</v>
      </c>
      <c r="H12" s="795">
        <f>H13</f>
        <v>276863</v>
      </c>
      <c r="I12" s="795">
        <f>I13</f>
        <v>143830</v>
      </c>
      <c r="J12" s="795">
        <f>I12*100/H12</f>
        <v>51.94988134925938</v>
      </c>
    </row>
    <row r="13" spans="1:10" s="258" customFormat="1" ht="54.75" customHeight="1">
      <c r="A13" s="796"/>
      <c r="B13" s="754">
        <v>85321</v>
      </c>
      <c r="C13" s="754"/>
      <c r="D13" s="797" t="s">
        <v>469</v>
      </c>
      <c r="E13" s="798">
        <f>SUM(E14)</f>
        <v>276863</v>
      </c>
      <c r="F13" s="798">
        <f>SUM(F14)</f>
        <v>143830</v>
      </c>
      <c r="G13" s="798">
        <f>F13*100/E13</f>
        <v>51.94988134925938</v>
      </c>
      <c r="H13" s="798">
        <f>SUM(H15:H21)</f>
        <v>276863</v>
      </c>
      <c r="I13" s="798">
        <f>SUM(I15:I21)</f>
        <v>143830</v>
      </c>
      <c r="J13" s="798">
        <f>I13*100/H13</f>
        <v>51.94988134925938</v>
      </c>
    </row>
    <row r="14" spans="1:10" ht="83.25" customHeight="1">
      <c r="A14" s="799"/>
      <c r="B14" s="796"/>
      <c r="C14" s="758">
        <v>2320</v>
      </c>
      <c r="D14" s="800" t="s">
        <v>154</v>
      </c>
      <c r="E14" s="801">
        <f>262496+14367</f>
        <v>276863</v>
      </c>
      <c r="F14" s="801">
        <v>143830</v>
      </c>
      <c r="G14" s="801"/>
      <c r="H14" s="802"/>
      <c r="I14" s="801"/>
      <c r="J14" s="801"/>
    </row>
    <row r="15" spans="1:10" ht="28.5" customHeight="1">
      <c r="A15" s="803"/>
      <c r="B15" s="804"/>
      <c r="C15" s="805">
        <v>4010</v>
      </c>
      <c r="D15" s="806" t="s">
        <v>643</v>
      </c>
      <c r="E15" s="801"/>
      <c r="F15" s="801"/>
      <c r="G15" s="801"/>
      <c r="H15" s="802">
        <v>155977</v>
      </c>
      <c r="I15" s="798">
        <v>79450.45</v>
      </c>
      <c r="J15" s="798">
        <f>I15*100/H15</f>
        <v>50.93728562544478</v>
      </c>
    </row>
    <row r="16" spans="1:10" ht="28.5" customHeight="1">
      <c r="A16" s="803"/>
      <c r="B16" s="804"/>
      <c r="C16" s="805">
        <v>4040</v>
      </c>
      <c r="D16" s="806" t="s">
        <v>644</v>
      </c>
      <c r="E16" s="807"/>
      <c r="F16" s="807"/>
      <c r="G16" s="807"/>
      <c r="H16" s="802">
        <f>16390-820.5</f>
        <v>15569.5</v>
      </c>
      <c r="I16" s="798">
        <v>15569.5</v>
      </c>
      <c r="J16" s="798">
        <f aca="true" t="shared" si="0" ref="J16:J21">I16*100/H16</f>
        <v>100</v>
      </c>
    </row>
    <row r="17" spans="1:10" ht="28.5" customHeight="1">
      <c r="A17" s="803"/>
      <c r="B17" s="804"/>
      <c r="C17" s="805">
        <v>4110</v>
      </c>
      <c r="D17" s="806" t="s">
        <v>645</v>
      </c>
      <c r="E17" s="807"/>
      <c r="F17" s="807"/>
      <c r="G17" s="807"/>
      <c r="H17" s="802">
        <v>23373</v>
      </c>
      <c r="I17" s="798">
        <v>16535.35</v>
      </c>
      <c r="J17" s="798">
        <f t="shared" si="0"/>
        <v>70.7455183331194</v>
      </c>
    </row>
    <row r="18" spans="1:10" ht="28.5" customHeight="1">
      <c r="A18" s="803"/>
      <c r="B18" s="804"/>
      <c r="C18" s="808">
        <v>4120</v>
      </c>
      <c r="D18" s="809" t="s">
        <v>646</v>
      </c>
      <c r="E18" s="807"/>
      <c r="F18" s="807"/>
      <c r="G18" s="807"/>
      <c r="H18" s="802">
        <v>4249</v>
      </c>
      <c r="I18" s="798">
        <v>1797.96</v>
      </c>
      <c r="J18" s="798">
        <f t="shared" si="0"/>
        <v>42.31489762297011</v>
      </c>
    </row>
    <row r="19" spans="1:10" ht="28.5" customHeight="1">
      <c r="A19" s="803"/>
      <c r="B19" s="804"/>
      <c r="C19" s="808">
        <v>4170</v>
      </c>
      <c r="D19" s="809" t="s">
        <v>652</v>
      </c>
      <c r="E19" s="807"/>
      <c r="F19" s="807"/>
      <c r="G19" s="807"/>
      <c r="H19" s="802">
        <f>13963+5045</f>
        <v>19008</v>
      </c>
      <c r="I19" s="798">
        <v>7896.87</v>
      </c>
      <c r="J19" s="798">
        <f t="shared" si="0"/>
        <v>41.54498106060606</v>
      </c>
    </row>
    <row r="20" spans="1:10" ht="28.5" customHeight="1">
      <c r="A20" s="803"/>
      <c r="B20" s="804"/>
      <c r="C20" s="805">
        <v>4300</v>
      </c>
      <c r="D20" s="806" t="s">
        <v>599</v>
      </c>
      <c r="E20" s="807"/>
      <c r="F20" s="807"/>
      <c r="G20" s="807"/>
      <c r="H20" s="802">
        <f>43336+9322-839.33-972</f>
        <v>50846.67</v>
      </c>
      <c r="I20" s="798">
        <v>16700</v>
      </c>
      <c r="J20" s="798">
        <f t="shared" si="0"/>
        <v>32.843842084447225</v>
      </c>
    </row>
    <row r="21" spans="1:10" ht="33.75" customHeight="1">
      <c r="A21" s="803"/>
      <c r="B21" s="804"/>
      <c r="C21" s="808">
        <v>4440</v>
      </c>
      <c r="D21" s="809" t="s">
        <v>647</v>
      </c>
      <c r="E21" s="810"/>
      <c r="F21" s="810"/>
      <c r="G21" s="810"/>
      <c r="H21" s="802">
        <f>5208+1659.83+972</f>
        <v>7839.83</v>
      </c>
      <c r="I21" s="798">
        <v>5879.87</v>
      </c>
      <c r="J21" s="798">
        <f t="shared" si="0"/>
        <v>74.99996811155344</v>
      </c>
    </row>
    <row r="22" spans="1:10" ht="33.75" customHeight="1">
      <c r="A22" s="811" t="s">
        <v>258</v>
      </c>
      <c r="B22" s="789"/>
      <c r="C22" s="789"/>
      <c r="D22" s="812"/>
      <c r="E22" s="795">
        <f>SUM(E12)</f>
        <v>276863</v>
      </c>
      <c r="F22" s="795">
        <f>SUM(F12)</f>
        <v>143830</v>
      </c>
      <c r="G22" s="795">
        <f>F22*100/E22</f>
        <v>51.94988134925938</v>
      </c>
      <c r="H22" s="813">
        <f>SUM(H15:H21)</f>
        <v>276863</v>
      </c>
      <c r="I22" s="813">
        <f>SUM(I15:I21)</f>
        <v>143830</v>
      </c>
      <c r="J22" s="795">
        <f>I22*100/H22</f>
        <v>51.94988134925938</v>
      </c>
    </row>
    <row r="23" spans="1:8" ht="15.75">
      <c r="A23" s="777"/>
      <c r="B23" s="777"/>
      <c r="C23" s="777"/>
      <c r="D23" s="777"/>
      <c r="E23" s="814"/>
      <c r="F23" s="814"/>
      <c r="G23" s="814"/>
      <c r="H23" s="815"/>
    </row>
    <row r="24" spans="1:7" ht="12.75">
      <c r="A24" s="777"/>
      <c r="B24" s="777"/>
      <c r="C24" s="777"/>
      <c r="D24" s="777"/>
      <c r="E24" s="777"/>
      <c r="F24" s="777"/>
      <c r="G24" s="777"/>
    </row>
    <row r="25" spans="1:7" ht="12.75">
      <c r="A25" s="777"/>
      <c r="B25" s="777"/>
      <c r="C25" s="777"/>
      <c r="D25" s="777"/>
      <c r="E25" s="777"/>
      <c r="F25" s="777"/>
      <c r="G25" s="777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4">
      <selection activeCell="I16" sqref="I16"/>
    </sheetView>
  </sheetViews>
  <sheetFormatPr defaultColWidth="9.140625" defaultRowHeight="12.75"/>
  <cols>
    <col min="1" max="1" width="3.57421875" style="78" customWidth="1"/>
    <col min="2" max="2" width="41.57421875" style="78" customWidth="1"/>
    <col min="3" max="3" width="16.421875" style="78" customWidth="1"/>
    <col min="4" max="4" width="15.421875" style="78" customWidth="1"/>
    <col min="5" max="5" width="16.140625" style="78" customWidth="1"/>
    <col min="6" max="6" width="16.00390625" style="78" customWidth="1"/>
    <col min="7" max="7" width="16.28125" style="78" customWidth="1"/>
    <col min="8" max="8" width="16.00390625" style="78" customWidth="1"/>
    <col min="9" max="9" width="21.421875" style="200" customWidth="1"/>
    <col min="10" max="10" width="21.8515625" style="78" customWidth="1"/>
    <col min="11" max="11" width="20.57421875" style="161" customWidth="1"/>
    <col min="12" max="12" width="14.57421875" style="78" customWidth="1"/>
    <col min="13" max="13" width="9.140625" style="78" customWidth="1"/>
    <col min="14" max="14" width="18.00390625" style="78" customWidth="1"/>
    <col min="15" max="15" width="21.28125" style="78" customWidth="1"/>
    <col min="16" max="18" width="9.140625" style="78" customWidth="1"/>
    <col min="19" max="19" width="20.57421875" style="78" customWidth="1"/>
    <col min="20" max="16384" width="9.140625" style="78" customWidth="1"/>
  </cols>
  <sheetData>
    <row r="1" spans="3:7" ht="20.25">
      <c r="C1" s="268"/>
      <c r="D1" s="268"/>
      <c r="E1" s="268"/>
      <c r="F1" s="282" t="s">
        <v>129</v>
      </c>
      <c r="G1" s="274"/>
    </row>
    <row r="2" spans="3:7" ht="18.75">
      <c r="C2" s="274"/>
      <c r="D2" s="274"/>
      <c r="E2" s="274"/>
      <c r="F2" s="274"/>
      <c r="G2" s="274"/>
    </row>
    <row r="3" spans="3:7" ht="18.75">
      <c r="C3" s="138"/>
      <c r="D3" s="138"/>
      <c r="E3" s="138"/>
      <c r="F3" s="138"/>
      <c r="G3" s="274"/>
    </row>
    <row r="4" spans="2:13" ht="15.75">
      <c r="B4" s="201"/>
      <c r="C4" s="201"/>
      <c r="D4" s="201"/>
      <c r="E4" s="201"/>
      <c r="F4" s="201"/>
      <c r="G4" s="201"/>
      <c r="H4" s="202"/>
      <c r="I4" s="203"/>
      <c r="J4" s="201"/>
      <c r="K4" s="202"/>
      <c r="L4" s="201"/>
      <c r="M4" s="201"/>
    </row>
    <row r="5" spans="2:13" ht="19.5">
      <c r="B5" s="365" t="s">
        <v>571</v>
      </c>
      <c r="C5" s="201"/>
      <c r="D5" s="201"/>
      <c r="E5" s="201"/>
      <c r="F5" s="201"/>
      <c r="G5" s="201"/>
      <c r="H5" s="202"/>
      <c r="I5" s="203"/>
      <c r="J5" s="201"/>
      <c r="K5" s="202"/>
      <c r="L5" s="201"/>
      <c r="M5" s="201"/>
    </row>
    <row r="6" spans="1:25" s="57" customFormat="1" ht="19.5">
      <c r="A6" s="381"/>
      <c r="B6" s="382" t="s">
        <v>573</v>
      </c>
      <c r="C6" s="382"/>
      <c r="D6" s="383"/>
      <c r="E6" s="384"/>
      <c r="F6" s="385"/>
      <c r="G6" s="384"/>
      <c r="H6" s="385"/>
      <c r="I6" s="254"/>
      <c r="J6" s="254"/>
      <c r="K6" s="254"/>
      <c r="L6" s="265"/>
      <c r="M6" s="254"/>
      <c r="N6" s="254"/>
      <c r="O6" s="254"/>
      <c r="P6" s="254"/>
      <c r="Q6" s="254"/>
      <c r="R6" s="254"/>
      <c r="S6" s="254"/>
      <c r="T6" s="364"/>
      <c r="U6" s="364"/>
      <c r="V6" s="364"/>
      <c r="W6" s="364"/>
      <c r="X6" s="364"/>
      <c r="Y6" s="364"/>
    </row>
    <row r="7" spans="2:13" ht="19.5">
      <c r="B7" s="365"/>
      <c r="C7" s="201"/>
      <c r="D7" s="201"/>
      <c r="E7" s="201"/>
      <c r="F7" s="201"/>
      <c r="G7" s="201"/>
      <c r="H7" s="202"/>
      <c r="I7" s="203"/>
      <c r="J7" s="201"/>
      <c r="K7" s="202"/>
      <c r="L7" s="201"/>
      <c r="M7" s="201"/>
    </row>
    <row r="8" spans="2:13" ht="18.75">
      <c r="B8" s="204"/>
      <c r="C8" s="201"/>
      <c r="D8" s="201"/>
      <c r="E8" s="201"/>
      <c r="F8" s="201"/>
      <c r="G8" s="366"/>
      <c r="H8" s="366" t="s">
        <v>411</v>
      </c>
      <c r="I8" s="203"/>
      <c r="J8" s="201"/>
      <c r="K8" s="202"/>
      <c r="L8" s="201"/>
      <c r="M8" s="201"/>
    </row>
    <row r="9" spans="2:13" s="208" customFormat="1" ht="24.75" customHeight="1">
      <c r="B9" s="1158" t="s">
        <v>172</v>
      </c>
      <c r="C9" s="367" t="s">
        <v>574</v>
      </c>
      <c r="D9" s="273"/>
      <c r="E9" s="273"/>
      <c r="F9" s="368"/>
      <c r="G9" s="367" t="s">
        <v>570</v>
      </c>
      <c r="H9" s="372"/>
      <c r="I9" s="269"/>
      <c r="J9" s="207"/>
      <c r="K9" s="205"/>
      <c r="L9" s="207"/>
      <c r="M9" s="207"/>
    </row>
    <row r="10" spans="2:13" ht="65.25" customHeight="1">
      <c r="B10" s="1159"/>
      <c r="C10" s="371" t="s">
        <v>486</v>
      </c>
      <c r="D10" s="363" t="s">
        <v>569</v>
      </c>
      <c r="E10" s="370" t="s">
        <v>556</v>
      </c>
      <c r="F10" s="363" t="s">
        <v>569</v>
      </c>
      <c r="G10" s="209" t="s">
        <v>487</v>
      </c>
      <c r="H10" s="373" t="s">
        <v>569</v>
      </c>
      <c r="I10" s="210"/>
      <c r="J10" s="211"/>
      <c r="K10" s="212"/>
      <c r="L10" s="213"/>
      <c r="M10" s="201"/>
    </row>
    <row r="11" spans="2:13" s="218" customFormat="1" ht="27.75" customHeight="1">
      <c r="B11" s="214" t="s">
        <v>160</v>
      </c>
      <c r="C11" s="375">
        <f aca="true" t="shared" si="0" ref="C11:H11">C12</f>
        <v>19272000</v>
      </c>
      <c r="D11" s="375">
        <f t="shared" si="0"/>
        <v>0</v>
      </c>
      <c r="E11" s="375">
        <f t="shared" si="0"/>
        <v>10900000</v>
      </c>
      <c r="F11" s="375">
        <f t="shared" si="0"/>
        <v>10900000</v>
      </c>
      <c r="G11" s="375">
        <f t="shared" si="0"/>
        <v>23585724.840000004</v>
      </c>
      <c r="H11" s="375">
        <f t="shared" si="0"/>
        <v>11772862.420000002</v>
      </c>
      <c r="I11" s="215"/>
      <c r="J11" s="211"/>
      <c r="K11" s="212"/>
      <c r="L11" s="216"/>
      <c r="M11" s="217"/>
    </row>
    <row r="12" spans="2:13" s="218" customFormat="1" ht="52.5" customHeight="1">
      <c r="B12" s="219" t="s">
        <v>161</v>
      </c>
      <c r="C12" s="374">
        <f aca="true" t="shared" si="1" ref="C12:H12">SUM(C13:C18)</f>
        <v>19272000</v>
      </c>
      <c r="D12" s="374">
        <f t="shared" si="1"/>
        <v>0</v>
      </c>
      <c r="E12" s="374">
        <f t="shared" si="1"/>
        <v>10900000</v>
      </c>
      <c r="F12" s="374">
        <f t="shared" si="1"/>
        <v>10900000</v>
      </c>
      <c r="G12" s="374">
        <f t="shared" si="1"/>
        <v>23585724.840000004</v>
      </c>
      <c r="H12" s="374">
        <f t="shared" si="1"/>
        <v>11772862.420000002</v>
      </c>
      <c r="I12" s="220"/>
      <c r="J12" s="211"/>
      <c r="K12" s="221"/>
      <c r="L12" s="221"/>
      <c r="M12" s="217"/>
    </row>
    <row r="13" spans="2:13" s="218" customFormat="1" ht="23.25" customHeight="1">
      <c r="B13" s="222" t="s">
        <v>557</v>
      </c>
      <c r="C13" s="374"/>
      <c r="D13" s="374"/>
      <c r="E13" s="376">
        <v>10900000</v>
      </c>
      <c r="F13" s="376">
        <v>10900000</v>
      </c>
      <c r="G13" s="374"/>
      <c r="H13" s="377"/>
      <c r="I13" s="220"/>
      <c r="J13" s="211"/>
      <c r="K13" s="221"/>
      <c r="L13" s="221"/>
      <c r="M13" s="217"/>
    </row>
    <row r="14" spans="2:13" ht="24.75" customHeight="1">
      <c r="B14" s="222" t="s">
        <v>639</v>
      </c>
      <c r="C14" s="378"/>
      <c r="D14" s="378"/>
      <c r="E14" s="378"/>
      <c r="F14" s="378"/>
      <c r="G14" s="378">
        <v>360000</v>
      </c>
      <c r="H14" s="376">
        <v>160000</v>
      </c>
      <c r="I14" s="220"/>
      <c r="J14" s="211"/>
      <c r="K14" s="224"/>
      <c r="L14" s="225"/>
      <c r="M14" s="207"/>
    </row>
    <row r="15" spans="2:13" ht="36.75" customHeight="1">
      <c r="B15" s="222" t="s">
        <v>299</v>
      </c>
      <c r="C15" s="378"/>
      <c r="D15" s="379"/>
      <c r="E15" s="379"/>
      <c r="F15" s="379"/>
      <c r="G15" s="380">
        <v>6037948.92</v>
      </c>
      <c r="H15" s="376">
        <f>961581.78+2057392.68</f>
        <v>3018974.46</v>
      </c>
      <c r="I15" s="220"/>
      <c r="J15" s="211"/>
      <c r="K15" s="226"/>
      <c r="L15" s="227"/>
      <c r="M15" s="207"/>
    </row>
    <row r="16" spans="2:13" ht="39.75" customHeight="1">
      <c r="B16" s="222" t="s">
        <v>131</v>
      </c>
      <c r="C16" s="379">
        <v>2822000</v>
      </c>
      <c r="D16" s="379"/>
      <c r="E16" s="379"/>
      <c r="F16" s="379"/>
      <c r="G16" s="380"/>
      <c r="H16" s="376"/>
      <c r="I16" s="220"/>
      <c r="J16" s="211"/>
      <c r="K16" s="226"/>
      <c r="L16" s="227"/>
      <c r="M16" s="207"/>
    </row>
    <row r="17" spans="2:13" ht="22.5" customHeight="1">
      <c r="B17" s="228" t="s">
        <v>387</v>
      </c>
      <c r="C17" s="379">
        <f>16450000</f>
        <v>16450000</v>
      </c>
      <c r="D17" s="379"/>
      <c r="E17" s="379"/>
      <c r="F17" s="379"/>
      <c r="G17" s="380"/>
      <c r="H17" s="376"/>
      <c r="I17" s="220"/>
      <c r="J17" s="211"/>
      <c r="K17" s="226"/>
      <c r="L17" s="227"/>
      <c r="M17" s="207"/>
    </row>
    <row r="18" spans="2:13" ht="24.75" customHeight="1">
      <c r="B18" s="228" t="s">
        <v>396</v>
      </c>
      <c r="C18" s="379"/>
      <c r="D18" s="379"/>
      <c r="E18" s="379"/>
      <c r="F18" s="379"/>
      <c r="G18" s="379">
        <v>17187775.92</v>
      </c>
      <c r="H18" s="376">
        <f>999600+1554999.96+2149998+1114290+1500000+1275000</f>
        <v>8593887.96</v>
      </c>
      <c r="I18" s="220"/>
      <c r="J18" s="211"/>
      <c r="K18" s="205"/>
      <c r="L18" s="207"/>
      <c r="M18" s="207"/>
    </row>
    <row r="19" spans="2:13" ht="26.25" customHeight="1">
      <c r="B19" s="229"/>
      <c r="C19" s="223"/>
      <c r="D19" s="223"/>
      <c r="E19" s="223"/>
      <c r="F19" s="223"/>
      <c r="G19" s="230"/>
      <c r="H19" s="226"/>
      <c r="I19" s="206"/>
      <c r="J19" s="207"/>
      <c r="K19" s="205"/>
      <c r="L19" s="227"/>
      <c r="M19" s="207"/>
    </row>
    <row r="20" spans="12:22" ht="15.75"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0:22" ht="15.75">
      <c r="J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0:22" ht="15.75">
      <c r="J22" s="409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3:22" ht="15.75">
      <c r="C23" s="235"/>
      <c r="D23" s="235"/>
      <c r="E23" s="235"/>
      <c r="F23" s="235"/>
      <c r="G23" s="235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3:22" ht="15.75">
      <c r="C24" s="235"/>
      <c r="D24" s="235"/>
      <c r="E24" s="235"/>
      <c r="F24" s="235"/>
      <c r="G24" s="235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3:22" ht="15.75">
      <c r="C25" s="235"/>
      <c r="D25" s="235"/>
      <c r="E25" s="235"/>
      <c r="F25" s="235"/>
      <c r="G25" s="235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3:22" ht="15.75">
      <c r="C26" s="235"/>
      <c r="D26" s="235"/>
      <c r="E26" s="235"/>
      <c r="F26" s="235"/>
      <c r="G26" s="235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3:22" ht="15.75">
      <c r="C27" s="235"/>
      <c r="D27" s="235"/>
      <c r="E27" s="235"/>
      <c r="F27" s="235"/>
      <c r="G27" s="235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3:22" ht="15.75">
      <c r="C28" s="235"/>
      <c r="D28" s="235"/>
      <c r="E28" s="235"/>
      <c r="F28" s="235"/>
      <c r="G28" s="235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3:22" ht="15.75">
      <c r="C29" s="233"/>
      <c r="D29" s="233"/>
      <c r="E29" s="233"/>
      <c r="F29" s="233"/>
      <c r="G29" s="235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3:22" ht="15.75">
      <c r="C30" s="235"/>
      <c r="D30" s="235"/>
      <c r="E30" s="235"/>
      <c r="F30" s="235"/>
      <c r="G30" s="235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3:22" ht="15.75">
      <c r="C31" s="235"/>
      <c r="D31" s="235"/>
      <c r="E31" s="235"/>
      <c r="F31" s="235"/>
      <c r="G31" s="235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3:22" ht="15.75">
      <c r="C32" s="235"/>
      <c r="D32" s="235"/>
      <c r="E32" s="235"/>
      <c r="F32" s="235"/>
      <c r="G32" s="235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3:22" ht="15.75">
      <c r="C33" s="235"/>
      <c r="D33" s="235"/>
      <c r="E33" s="235"/>
      <c r="F33" s="235"/>
      <c r="G33" s="235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3:22" ht="15.75">
      <c r="C34" s="233"/>
      <c r="D34" s="233"/>
      <c r="E34" s="233"/>
      <c r="F34" s="233"/>
      <c r="G34" s="235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3:22" ht="15.75">
      <c r="C35" s="235"/>
      <c r="D35" s="235"/>
      <c r="E35" s="235"/>
      <c r="F35" s="235"/>
      <c r="G35" s="235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3:7" ht="15.75">
      <c r="C36" s="235"/>
      <c r="D36" s="235"/>
      <c r="E36" s="235"/>
      <c r="F36" s="235"/>
      <c r="G36" s="235"/>
    </row>
    <row r="37" spans="3:7" ht="15.75">
      <c r="C37" s="235"/>
      <c r="D37" s="235"/>
      <c r="E37" s="235"/>
      <c r="F37" s="235"/>
      <c r="G37" s="235"/>
    </row>
    <row r="38" spans="3:7" ht="15.75">
      <c r="C38" s="235"/>
      <c r="D38" s="235"/>
      <c r="E38" s="235"/>
      <c r="F38" s="235"/>
      <c r="G38" s="235"/>
    </row>
    <row r="39" spans="3:7" ht="15.75">
      <c r="C39" s="235"/>
      <c r="D39" s="235"/>
      <c r="E39" s="235"/>
      <c r="F39" s="235"/>
      <c r="G39" s="235"/>
    </row>
    <row r="40" spans="3:7" ht="15.75">
      <c r="C40" s="233"/>
      <c r="D40" s="233"/>
      <c r="E40" s="233"/>
      <c r="F40" s="233"/>
      <c r="G40" s="235"/>
    </row>
    <row r="41" spans="3:7" ht="15.75">
      <c r="C41" s="235"/>
      <c r="D41" s="235"/>
      <c r="E41" s="235"/>
      <c r="F41" s="235"/>
      <c r="G41" s="235"/>
    </row>
    <row r="42" spans="3:7" ht="15.75">
      <c r="C42" s="235"/>
      <c r="D42" s="235"/>
      <c r="E42" s="235"/>
      <c r="F42" s="235"/>
      <c r="G42" s="235"/>
    </row>
    <row r="43" spans="3:7" ht="15.75">
      <c r="C43" s="235"/>
      <c r="D43" s="235"/>
      <c r="E43" s="235"/>
      <c r="F43" s="235"/>
      <c r="G43" s="235"/>
    </row>
    <row r="44" spans="3:7" ht="15.75">
      <c r="C44" s="235"/>
      <c r="D44" s="235"/>
      <c r="E44" s="235"/>
      <c r="F44" s="235"/>
      <c r="G44" s="235"/>
    </row>
  </sheetData>
  <sheetProtection/>
  <mergeCells count="1">
    <mergeCell ref="B9:B10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57421875" style="43" customWidth="1"/>
    <col min="2" max="2" width="24.7109375" style="43" customWidth="1"/>
    <col min="3" max="3" width="31.140625" style="279" customWidth="1"/>
    <col min="4" max="4" width="18.28125" style="43" customWidth="1"/>
    <col min="5" max="5" width="16.140625" style="43" customWidth="1"/>
    <col min="6" max="6" width="7.28125" style="43" customWidth="1"/>
    <col min="7" max="16384" width="9.140625" style="43" customWidth="1"/>
  </cols>
  <sheetData>
    <row r="1" spans="3:4" ht="19.5" customHeight="1">
      <c r="C1" s="786"/>
      <c r="D1" s="282" t="s">
        <v>788</v>
      </c>
    </row>
    <row r="2" ht="19.5" customHeight="1">
      <c r="C2" s="138"/>
    </row>
    <row r="3" ht="15" customHeight="1"/>
    <row r="4" ht="14.25" customHeight="1"/>
    <row r="5" spans="1:5" s="723" customFormat="1" ht="19.5" customHeight="1">
      <c r="A5" s="139" t="s">
        <v>260</v>
      </c>
      <c r="B5" s="816"/>
      <c r="C5" s="93"/>
      <c r="D5" s="43"/>
      <c r="E5" s="43"/>
    </row>
    <row r="6" spans="1:5" s="723" customFormat="1" ht="19.5" customHeight="1">
      <c r="A6" s="139" t="s">
        <v>261</v>
      </c>
      <c r="B6" s="816"/>
      <c r="C6" s="93"/>
      <c r="D6" s="43"/>
      <c r="E6" s="43"/>
    </row>
    <row r="7" spans="1:3" ht="18.75" customHeight="1">
      <c r="A7" s="139" t="s">
        <v>250</v>
      </c>
      <c r="B7" s="40"/>
      <c r="C7" s="93"/>
    </row>
    <row r="8" spans="1:2" ht="13.5">
      <c r="A8" s="702" t="s">
        <v>410</v>
      </c>
      <c r="B8" s="817"/>
    </row>
    <row r="9" spans="3:5" ht="11.25" customHeight="1">
      <c r="C9" s="818"/>
      <c r="D9" s="673"/>
      <c r="E9" s="673" t="s">
        <v>411</v>
      </c>
    </row>
    <row r="10" spans="1:6" ht="42.75" customHeight="1">
      <c r="A10" s="587" t="s">
        <v>412</v>
      </c>
      <c r="B10" s="587" t="s">
        <v>484</v>
      </c>
      <c r="C10" s="3" t="s">
        <v>262</v>
      </c>
      <c r="D10" s="674" t="s">
        <v>263</v>
      </c>
      <c r="E10" s="674" t="s">
        <v>264</v>
      </c>
      <c r="F10" s="674" t="s">
        <v>239</v>
      </c>
    </row>
    <row r="11" spans="1:6" s="40" customFormat="1" ht="22.5" customHeight="1">
      <c r="A11" s="819" t="s">
        <v>243</v>
      </c>
      <c r="B11" s="820"/>
      <c r="C11" s="821"/>
      <c r="D11" s="775">
        <f>D12+D26</f>
        <v>9325162.07</v>
      </c>
      <c r="E11" s="775">
        <f>E12+E26</f>
        <v>4086406.37</v>
      </c>
      <c r="F11" s="176">
        <f aca="true" t="shared" si="0" ref="F11:F28">E11*100/D11</f>
        <v>43.82129060412137</v>
      </c>
    </row>
    <row r="12" spans="1:6" s="40" customFormat="1" ht="24.75" customHeight="1">
      <c r="A12" s="4" t="s">
        <v>265</v>
      </c>
      <c r="B12" s="822"/>
      <c r="C12" s="823"/>
      <c r="D12" s="775">
        <f>D13</f>
        <v>2023158</v>
      </c>
      <c r="E12" s="775">
        <f>E13</f>
        <v>1081644.95</v>
      </c>
      <c r="F12" s="176">
        <f t="shared" si="0"/>
        <v>53.463197140312325</v>
      </c>
    </row>
    <row r="13" spans="1:6" s="40" customFormat="1" ht="30" customHeight="1">
      <c r="A13" s="824">
        <v>801</v>
      </c>
      <c r="B13" s="825" t="s">
        <v>549</v>
      </c>
      <c r="C13" s="826"/>
      <c r="D13" s="176">
        <f>SUM(D14:D25)</f>
        <v>2023158</v>
      </c>
      <c r="E13" s="176">
        <f>SUM(E14:E25)</f>
        <v>1081644.95</v>
      </c>
      <c r="F13" s="176">
        <f t="shared" si="0"/>
        <v>53.463197140312325</v>
      </c>
    </row>
    <row r="14" spans="1:6" s="40" customFormat="1" ht="27" customHeight="1">
      <c r="A14" s="827"/>
      <c r="B14" s="31"/>
      <c r="C14" s="826" t="s">
        <v>266</v>
      </c>
      <c r="D14" s="165">
        <v>40000</v>
      </c>
      <c r="E14" s="165">
        <v>0</v>
      </c>
      <c r="F14" s="828">
        <f t="shared" si="0"/>
        <v>0</v>
      </c>
    </row>
    <row r="15" spans="1:6" s="40" customFormat="1" ht="17.25" customHeight="1">
      <c r="A15" s="829"/>
      <c r="B15" s="830"/>
      <c r="C15" s="565" t="s">
        <v>267</v>
      </c>
      <c r="D15" s="165">
        <f>325260-20000</f>
        <v>305260</v>
      </c>
      <c r="E15" s="165">
        <v>160968</v>
      </c>
      <c r="F15" s="828">
        <f t="shared" si="0"/>
        <v>52.73144204940051</v>
      </c>
    </row>
    <row r="16" spans="1:6" s="40" customFormat="1" ht="18.75" customHeight="1">
      <c r="A16" s="829"/>
      <c r="B16" s="830"/>
      <c r="C16" s="565" t="s">
        <v>268</v>
      </c>
      <c r="D16" s="831">
        <f>587136-20000</f>
        <v>567136</v>
      </c>
      <c r="E16" s="831">
        <v>292296</v>
      </c>
      <c r="F16" s="828">
        <f t="shared" si="0"/>
        <v>51.538960672572365</v>
      </c>
    </row>
    <row r="17" spans="1:6" s="40" customFormat="1" ht="18.75" customHeight="1">
      <c r="A17" s="829"/>
      <c r="B17" s="832"/>
      <c r="C17" s="565" t="s">
        <v>269</v>
      </c>
      <c r="D17" s="831">
        <f>66720-15000</f>
        <v>51720</v>
      </c>
      <c r="E17" s="831">
        <v>0</v>
      </c>
      <c r="F17" s="828">
        <f t="shared" si="0"/>
        <v>0</v>
      </c>
    </row>
    <row r="18" spans="1:6" s="40" customFormat="1" ht="18.75" customHeight="1">
      <c r="A18" s="829"/>
      <c r="B18" s="830"/>
      <c r="C18" s="565" t="s">
        <v>270</v>
      </c>
      <c r="D18" s="831">
        <f>108982-90000</f>
        <v>18982</v>
      </c>
      <c r="E18" s="831">
        <v>2154.6</v>
      </c>
      <c r="F18" s="828">
        <f t="shared" si="0"/>
        <v>11.350753345274471</v>
      </c>
    </row>
    <row r="19" spans="1:6" s="40" customFormat="1" ht="18.75" customHeight="1">
      <c r="A19" s="829"/>
      <c r="B19" s="830"/>
      <c r="C19" s="565" t="s">
        <v>271</v>
      </c>
      <c r="D19" s="831">
        <v>70060</v>
      </c>
      <c r="E19" s="831">
        <v>0</v>
      </c>
      <c r="F19" s="828">
        <f t="shared" si="0"/>
        <v>0</v>
      </c>
    </row>
    <row r="20" spans="1:6" s="40" customFormat="1" ht="18.75" customHeight="1">
      <c r="A20" s="829"/>
      <c r="B20" s="830"/>
      <c r="C20" s="565" t="s">
        <v>272</v>
      </c>
      <c r="D20" s="831">
        <v>570172</v>
      </c>
      <c r="E20" s="831">
        <v>410728.32</v>
      </c>
      <c r="F20" s="828">
        <f t="shared" si="0"/>
        <v>72.0358628624345</v>
      </c>
    </row>
    <row r="21" spans="1:6" s="40" customFormat="1" ht="27" customHeight="1">
      <c r="A21" s="829"/>
      <c r="B21" s="830"/>
      <c r="C21" s="565" t="s">
        <v>273</v>
      </c>
      <c r="D21" s="831">
        <f>80880-30000</f>
        <v>50880</v>
      </c>
      <c r="E21" s="831">
        <v>42558.77</v>
      </c>
      <c r="F21" s="828">
        <f t="shared" si="0"/>
        <v>83.64538128930818</v>
      </c>
    </row>
    <row r="22" spans="1:6" s="40" customFormat="1" ht="18.75" customHeight="1">
      <c r="A22" s="829"/>
      <c r="B22" s="832"/>
      <c r="C22" s="565" t="s">
        <v>274</v>
      </c>
      <c r="D22" s="831">
        <v>133548</v>
      </c>
      <c r="E22" s="831">
        <v>60528.78</v>
      </c>
      <c r="F22" s="828">
        <f t="shared" si="0"/>
        <v>45.3236139814898</v>
      </c>
    </row>
    <row r="23" spans="1:6" s="40" customFormat="1" ht="21" customHeight="1">
      <c r="A23" s="829"/>
      <c r="B23" s="832"/>
      <c r="C23" s="565" t="s">
        <v>275</v>
      </c>
      <c r="D23" s="831">
        <v>60312</v>
      </c>
      <c r="E23" s="831">
        <v>33146.68</v>
      </c>
      <c r="F23" s="828">
        <f t="shared" si="0"/>
        <v>54.95868152274838</v>
      </c>
    </row>
    <row r="24" spans="1:6" s="40" customFormat="1" ht="21" customHeight="1">
      <c r="A24" s="829"/>
      <c r="B24" s="830"/>
      <c r="C24" s="565" t="s">
        <v>276</v>
      </c>
      <c r="D24" s="833">
        <v>103392</v>
      </c>
      <c r="E24" s="833">
        <v>52962.63</v>
      </c>
      <c r="F24" s="828">
        <f t="shared" si="0"/>
        <v>51.22507544103993</v>
      </c>
    </row>
    <row r="25" spans="1:6" s="40" customFormat="1" ht="21" customHeight="1">
      <c r="A25" s="829"/>
      <c r="B25" s="834"/>
      <c r="C25" s="826" t="s">
        <v>277</v>
      </c>
      <c r="D25" s="833">
        <v>51696</v>
      </c>
      <c r="E25" s="833">
        <v>26301.17</v>
      </c>
      <c r="F25" s="828">
        <f t="shared" si="0"/>
        <v>50.87660554008047</v>
      </c>
    </row>
    <row r="26" spans="1:6" s="40" customFormat="1" ht="24.75" customHeight="1">
      <c r="A26" s="4" t="s">
        <v>833</v>
      </c>
      <c r="B26" s="835"/>
      <c r="C26" s="823"/>
      <c r="D26" s="836">
        <f>D27+D69+D79+D89+D93+D97</f>
        <v>7302004.07</v>
      </c>
      <c r="E26" s="836">
        <f>E27+E69+E79+E89+E93+E97</f>
        <v>3004761.42</v>
      </c>
      <c r="F26" s="176">
        <f t="shared" si="0"/>
        <v>41.149818477162256</v>
      </c>
    </row>
    <row r="27" spans="1:6" s="40" customFormat="1" ht="21.75" customHeight="1">
      <c r="A27" s="74">
        <v>851</v>
      </c>
      <c r="B27" s="711" t="s">
        <v>409</v>
      </c>
      <c r="C27" s="837"/>
      <c r="D27" s="838">
        <f>SUM(D28:D66)</f>
        <v>970100</v>
      </c>
      <c r="E27" s="838">
        <f>E28+E31+E40+E43+E44+E54+E57+E60+E63+E66</f>
        <v>569100</v>
      </c>
      <c r="F27" s="176">
        <f t="shared" si="0"/>
        <v>58.66405525203587</v>
      </c>
    </row>
    <row r="28" spans="1:6" s="40" customFormat="1" ht="47.25" customHeight="1">
      <c r="A28" s="63"/>
      <c r="B28" s="839"/>
      <c r="C28" s="840" t="s">
        <v>278</v>
      </c>
      <c r="D28" s="833">
        <v>95000</v>
      </c>
      <c r="E28" s="841">
        <v>57000</v>
      </c>
      <c r="F28" s="842">
        <f t="shared" si="0"/>
        <v>60</v>
      </c>
    </row>
    <row r="29" spans="1:6" s="40" customFormat="1" ht="18.75" customHeight="1">
      <c r="A29" s="73"/>
      <c r="B29" s="843"/>
      <c r="C29" s="844" t="s">
        <v>279</v>
      </c>
      <c r="D29" s="845"/>
      <c r="E29" s="845"/>
      <c r="F29" s="842"/>
    </row>
    <row r="30" spans="1:6" s="40" customFormat="1" ht="27" customHeight="1">
      <c r="A30" s="73"/>
      <c r="B30" s="843"/>
      <c r="C30" s="846" t="s">
        <v>280</v>
      </c>
      <c r="D30" s="847"/>
      <c r="E30" s="847"/>
      <c r="F30" s="848"/>
    </row>
    <row r="31" spans="1:6" s="40" customFormat="1" ht="27.75" customHeight="1">
      <c r="A31" s="73"/>
      <c r="B31" s="849"/>
      <c r="C31" s="844" t="s">
        <v>281</v>
      </c>
      <c r="D31" s="845">
        <v>440000</v>
      </c>
      <c r="E31" s="850">
        <f>SUM(E33:E39)</f>
        <v>220000</v>
      </c>
      <c r="F31" s="842">
        <f>E31*100/D31</f>
        <v>50</v>
      </c>
    </row>
    <row r="32" spans="1:6" s="40" customFormat="1" ht="18.75" customHeight="1">
      <c r="A32" s="73"/>
      <c r="B32" s="851"/>
      <c r="C32" s="580" t="s">
        <v>279</v>
      </c>
      <c r="D32" s="852"/>
      <c r="E32" s="852"/>
      <c r="F32" s="848"/>
    </row>
    <row r="33" spans="1:6" s="40" customFormat="1" ht="27.75" customHeight="1">
      <c r="A33" s="73"/>
      <c r="B33" s="851"/>
      <c r="C33" s="846" t="s">
        <v>282</v>
      </c>
      <c r="D33" s="847"/>
      <c r="E33" s="847">
        <v>46600</v>
      </c>
      <c r="F33" s="842"/>
    </row>
    <row r="34" spans="1:6" s="40" customFormat="1" ht="18.75" customHeight="1">
      <c r="A34" s="73"/>
      <c r="B34" s="851"/>
      <c r="C34" s="520" t="s">
        <v>283</v>
      </c>
      <c r="D34" s="845"/>
      <c r="E34" s="845">
        <v>46000</v>
      </c>
      <c r="F34" s="848"/>
    </row>
    <row r="35" spans="1:6" s="40" customFormat="1" ht="18.75" customHeight="1">
      <c r="A35" s="73"/>
      <c r="B35" s="851"/>
      <c r="C35" s="520" t="s">
        <v>284</v>
      </c>
      <c r="D35" s="845"/>
      <c r="E35" s="845">
        <v>22900</v>
      </c>
      <c r="F35" s="848"/>
    </row>
    <row r="36" spans="1:6" s="40" customFormat="1" ht="18.75" customHeight="1">
      <c r="A36" s="73"/>
      <c r="B36" s="851"/>
      <c r="C36" s="520" t="s">
        <v>285</v>
      </c>
      <c r="D36" s="845"/>
      <c r="E36" s="845">
        <v>23600</v>
      </c>
      <c r="F36" s="848"/>
    </row>
    <row r="37" spans="1:6" s="40" customFormat="1" ht="26.25" customHeight="1">
      <c r="A37" s="73"/>
      <c r="B37" s="851"/>
      <c r="C37" s="520" t="s">
        <v>286</v>
      </c>
      <c r="D37" s="845"/>
      <c r="E37" s="845">
        <v>18600</v>
      </c>
      <c r="F37" s="848"/>
    </row>
    <row r="38" spans="1:6" s="40" customFormat="1" ht="18.75" customHeight="1">
      <c r="A38" s="73"/>
      <c r="B38" s="851"/>
      <c r="C38" s="520" t="s">
        <v>287</v>
      </c>
      <c r="D38" s="845"/>
      <c r="E38" s="845">
        <v>23100</v>
      </c>
      <c r="F38" s="848"/>
    </row>
    <row r="39" spans="1:6" s="40" customFormat="1" ht="31.5" customHeight="1">
      <c r="A39" s="73"/>
      <c r="B39" s="851"/>
      <c r="C39" s="520" t="s">
        <v>288</v>
      </c>
      <c r="D39" s="845"/>
      <c r="E39" s="845">
        <v>39200</v>
      </c>
      <c r="F39" s="853"/>
    </row>
    <row r="40" spans="1:6" s="40" customFormat="1" ht="66.75" customHeight="1">
      <c r="A40" s="73"/>
      <c r="B40" s="851"/>
      <c r="C40" s="844" t="s">
        <v>687</v>
      </c>
      <c r="D40" s="845">
        <v>50000</v>
      </c>
      <c r="E40" s="850">
        <v>25000</v>
      </c>
      <c r="F40" s="848">
        <f>E40*100/D40</f>
        <v>50</v>
      </c>
    </row>
    <row r="41" spans="1:6" s="40" customFormat="1" ht="18.75" customHeight="1">
      <c r="A41" s="73"/>
      <c r="B41" s="851"/>
      <c r="C41" s="844" t="s">
        <v>279</v>
      </c>
      <c r="D41" s="845"/>
      <c r="E41" s="845"/>
      <c r="F41" s="842"/>
    </row>
    <row r="42" spans="1:6" s="40" customFormat="1" ht="21.75" customHeight="1">
      <c r="A42" s="73"/>
      <c r="B42" s="851"/>
      <c r="C42" s="527" t="s">
        <v>284</v>
      </c>
      <c r="D42" s="852"/>
      <c r="E42" s="852"/>
      <c r="F42" s="853"/>
    </row>
    <row r="43" spans="1:6" s="40" customFormat="1" ht="34.5" customHeight="1">
      <c r="A43" s="73"/>
      <c r="B43" s="854"/>
      <c r="C43" s="855" t="s">
        <v>688</v>
      </c>
      <c r="D43" s="856">
        <v>10000</v>
      </c>
      <c r="E43" s="857">
        <v>0</v>
      </c>
      <c r="F43" s="848">
        <f>E43*100/D43</f>
        <v>0</v>
      </c>
    </row>
    <row r="44" spans="1:6" s="40" customFormat="1" ht="67.5" customHeight="1">
      <c r="A44" s="73"/>
      <c r="B44" s="851"/>
      <c r="C44" s="844" t="s">
        <v>689</v>
      </c>
      <c r="D44" s="845">
        <f>35000+67000-8900</f>
        <v>93100</v>
      </c>
      <c r="E44" s="850">
        <f>SUM(E46:E53)</f>
        <v>93100</v>
      </c>
      <c r="F44" s="842">
        <f>E44*100/D44</f>
        <v>100</v>
      </c>
    </row>
    <row r="45" spans="1:6" s="40" customFormat="1" ht="18.75" customHeight="1">
      <c r="A45" s="73"/>
      <c r="B45" s="851"/>
      <c r="C45" s="580" t="s">
        <v>279</v>
      </c>
      <c r="D45" s="852"/>
      <c r="E45" s="852"/>
      <c r="F45" s="848"/>
    </row>
    <row r="46" spans="1:6" s="40" customFormat="1" ht="28.5" customHeight="1">
      <c r="A46" s="73"/>
      <c r="B46" s="851"/>
      <c r="C46" s="527" t="s">
        <v>690</v>
      </c>
      <c r="D46" s="852"/>
      <c r="E46" s="852">
        <v>10000</v>
      </c>
      <c r="F46" s="842"/>
    </row>
    <row r="47" spans="1:6" s="40" customFormat="1" ht="26.25" customHeight="1">
      <c r="A47" s="73"/>
      <c r="B47" s="851"/>
      <c r="C47" s="1" t="s">
        <v>691</v>
      </c>
      <c r="D47" s="852"/>
      <c r="E47" s="852">
        <v>10000</v>
      </c>
      <c r="F47" s="848"/>
    </row>
    <row r="48" spans="1:6" s="40" customFormat="1" ht="36.75" customHeight="1">
      <c r="A48" s="73"/>
      <c r="B48" s="851"/>
      <c r="C48" s="527" t="s">
        <v>692</v>
      </c>
      <c r="D48" s="852"/>
      <c r="E48" s="852">
        <v>11000</v>
      </c>
      <c r="F48" s="848"/>
    </row>
    <row r="49" spans="1:6" s="40" customFormat="1" ht="18.75" customHeight="1">
      <c r="A49" s="73"/>
      <c r="B49" s="851"/>
      <c r="C49" s="527" t="s">
        <v>287</v>
      </c>
      <c r="D49" s="852"/>
      <c r="E49" s="852">
        <v>4000</v>
      </c>
      <c r="F49" s="848"/>
    </row>
    <row r="50" spans="1:6" s="40" customFormat="1" ht="28.5" customHeight="1">
      <c r="A50" s="73"/>
      <c r="B50" s="851"/>
      <c r="C50" s="1" t="s">
        <v>693</v>
      </c>
      <c r="D50" s="852"/>
      <c r="E50" s="852">
        <v>16000</v>
      </c>
      <c r="F50" s="848"/>
    </row>
    <row r="51" spans="1:6" s="40" customFormat="1" ht="26.25" customHeight="1">
      <c r="A51" s="73"/>
      <c r="B51" s="851"/>
      <c r="C51" s="527" t="s">
        <v>694</v>
      </c>
      <c r="D51" s="852"/>
      <c r="E51" s="852">
        <v>14500</v>
      </c>
      <c r="F51" s="848"/>
    </row>
    <row r="52" spans="1:6" s="40" customFormat="1" ht="36.75" customHeight="1">
      <c r="A52" s="73"/>
      <c r="B52" s="851"/>
      <c r="C52" s="527" t="s">
        <v>695</v>
      </c>
      <c r="D52" s="852"/>
      <c r="E52" s="852">
        <v>19600</v>
      </c>
      <c r="F52" s="848"/>
    </row>
    <row r="53" spans="1:6" s="40" customFormat="1" ht="18.75" customHeight="1">
      <c r="A53" s="73"/>
      <c r="B53" s="851"/>
      <c r="C53" s="527" t="s">
        <v>696</v>
      </c>
      <c r="D53" s="852"/>
      <c r="E53" s="852">
        <v>8000</v>
      </c>
      <c r="F53" s="853"/>
    </row>
    <row r="54" spans="1:6" s="40" customFormat="1" ht="43.5" customHeight="1">
      <c r="A54" s="73"/>
      <c r="B54" s="851"/>
      <c r="C54" s="580" t="s">
        <v>697</v>
      </c>
      <c r="D54" s="852">
        <v>60000</v>
      </c>
      <c r="E54" s="858">
        <v>60000</v>
      </c>
      <c r="F54" s="853">
        <f>E54*100/D54</f>
        <v>100</v>
      </c>
    </row>
    <row r="55" spans="1:6" s="40" customFormat="1" ht="18.75" customHeight="1">
      <c r="A55" s="73"/>
      <c r="B55" s="851"/>
      <c r="C55" s="844" t="s">
        <v>279</v>
      </c>
      <c r="D55" s="845"/>
      <c r="E55" s="845"/>
      <c r="F55" s="842"/>
    </row>
    <row r="56" spans="1:6" s="40" customFormat="1" ht="27" customHeight="1">
      <c r="A56" s="73"/>
      <c r="B56" s="851"/>
      <c r="C56" s="527" t="s">
        <v>698</v>
      </c>
      <c r="D56" s="852"/>
      <c r="E56" s="852"/>
      <c r="F56" s="848"/>
    </row>
    <row r="57" spans="1:6" s="40" customFormat="1" ht="40.5" customHeight="1">
      <c r="A57" s="73"/>
      <c r="B57" s="851"/>
      <c r="C57" s="844" t="s">
        <v>699</v>
      </c>
      <c r="D57" s="845">
        <v>101000</v>
      </c>
      <c r="E57" s="850">
        <v>50500</v>
      </c>
      <c r="F57" s="842">
        <f>E57*100/D57</f>
        <v>50</v>
      </c>
    </row>
    <row r="58" spans="1:6" s="40" customFormat="1" ht="18.75" customHeight="1">
      <c r="A58" s="73"/>
      <c r="B58" s="851"/>
      <c r="C58" s="844" t="s">
        <v>279</v>
      </c>
      <c r="D58" s="845"/>
      <c r="E58" s="845"/>
      <c r="F58" s="842"/>
    </row>
    <row r="59" spans="1:6" s="40" customFormat="1" ht="18.75" customHeight="1">
      <c r="A59" s="73"/>
      <c r="B59" s="851"/>
      <c r="C59" s="527" t="s">
        <v>700</v>
      </c>
      <c r="D59" s="852"/>
      <c r="E59" s="852"/>
      <c r="F59" s="853"/>
    </row>
    <row r="60" spans="1:6" s="40" customFormat="1" ht="30.75" customHeight="1">
      <c r="A60" s="73"/>
      <c r="B60" s="851"/>
      <c r="C60" s="580" t="s">
        <v>701</v>
      </c>
      <c r="D60" s="852">
        <v>90000</v>
      </c>
      <c r="E60" s="858">
        <v>45000</v>
      </c>
      <c r="F60" s="853">
        <f>E60*100/D60</f>
        <v>50</v>
      </c>
    </row>
    <row r="61" spans="1:6" s="40" customFormat="1" ht="18.75" customHeight="1">
      <c r="A61" s="73"/>
      <c r="B61" s="851"/>
      <c r="C61" s="844" t="s">
        <v>279</v>
      </c>
      <c r="D61" s="845"/>
      <c r="E61" s="845"/>
      <c r="F61" s="842"/>
    </row>
    <row r="62" spans="1:6" s="40" customFormat="1" ht="18.75" customHeight="1">
      <c r="A62" s="73"/>
      <c r="B62" s="851"/>
      <c r="C62" s="32" t="s">
        <v>702</v>
      </c>
      <c r="D62" s="847"/>
      <c r="E62" s="847"/>
      <c r="F62" s="848"/>
    </row>
    <row r="63" spans="1:6" s="40" customFormat="1" ht="29.25" customHeight="1">
      <c r="A63" s="73"/>
      <c r="B63" s="854"/>
      <c r="C63" s="557" t="s">
        <v>703</v>
      </c>
      <c r="D63" s="165">
        <v>25000</v>
      </c>
      <c r="E63" s="176">
        <v>12500</v>
      </c>
      <c r="F63" s="828">
        <f>E63*100/D63</f>
        <v>50</v>
      </c>
    </row>
    <row r="64" spans="1:6" s="40" customFormat="1" ht="18.75" customHeight="1">
      <c r="A64" s="73"/>
      <c r="B64" s="851"/>
      <c r="C64" s="844" t="s">
        <v>279</v>
      </c>
      <c r="D64" s="845"/>
      <c r="E64" s="845"/>
      <c r="F64" s="842"/>
    </row>
    <row r="65" spans="1:6" s="40" customFormat="1" ht="25.5" customHeight="1">
      <c r="A65" s="73"/>
      <c r="B65" s="854"/>
      <c r="C65" s="32" t="s">
        <v>704</v>
      </c>
      <c r="D65" s="859"/>
      <c r="E65" s="859"/>
      <c r="F65" s="853"/>
    </row>
    <row r="66" spans="1:6" s="40" customFormat="1" ht="23.25" customHeight="1">
      <c r="A66" s="73"/>
      <c r="B66" s="854"/>
      <c r="C66" s="855" t="s">
        <v>705</v>
      </c>
      <c r="D66" s="859">
        <v>6000</v>
      </c>
      <c r="E66" s="175">
        <v>6000</v>
      </c>
      <c r="F66" s="842">
        <f>E66*100/D66</f>
        <v>100</v>
      </c>
    </row>
    <row r="67" spans="1:6" s="40" customFormat="1" ht="18.75" customHeight="1">
      <c r="A67" s="73"/>
      <c r="B67" s="851"/>
      <c r="C67" s="840" t="s">
        <v>279</v>
      </c>
      <c r="D67" s="860"/>
      <c r="E67" s="845"/>
      <c r="F67" s="842"/>
    </row>
    <row r="68" spans="1:6" s="40" customFormat="1" ht="23.25" customHeight="1">
      <c r="A68" s="73"/>
      <c r="B68" s="851"/>
      <c r="C68" s="32" t="s">
        <v>702</v>
      </c>
      <c r="D68" s="861"/>
      <c r="E68" s="852"/>
      <c r="F68" s="853"/>
    </row>
    <row r="69" spans="1:6" s="40" customFormat="1" ht="31.5" customHeight="1">
      <c r="A69" s="63">
        <v>852</v>
      </c>
      <c r="B69" s="862" t="s">
        <v>424</v>
      </c>
      <c r="C69" s="837"/>
      <c r="D69" s="863">
        <f>SUM(D70:D76)</f>
        <v>1485000</v>
      </c>
      <c r="E69" s="863">
        <f>SUM(E70:E76)</f>
        <v>742500</v>
      </c>
      <c r="F69" s="175">
        <f>E69*100/D69</f>
        <v>50</v>
      </c>
    </row>
    <row r="70" spans="1:6" s="40" customFormat="1" ht="34.5" customHeight="1">
      <c r="A70" s="864"/>
      <c r="B70" s="839"/>
      <c r="C70" s="865" t="s">
        <v>706</v>
      </c>
      <c r="D70" s="833">
        <v>1200000</v>
      </c>
      <c r="E70" s="833">
        <v>600000</v>
      </c>
      <c r="F70" s="842">
        <f>E70*100/D70</f>
        <v>50</v>
      </c>
    </row>
    <row r="71" spans="1:6" s="40" customFormat="1" ht="18.75" customHeight="1">
      <c r="A71" s="73"/>
      <c r="B71" s="851"/>
      <c r="C71" s="844" t="s">
        <v>279</v>
      </c>
      <c r="D71" s="845"/>
      <c r="E71" s="845"/>
      <c r="F71" s="842"/>
    </row>
    <row r="72" spans="1:6" s="40" customFormat="1" ht="27" customHeight="1">
      <c r="A72" s="76"/>
      <c r="B72" s="866"/>
      <c r="C72" s="867" t="s">
        <v>707</v>
      </c>
      <c r="D72" s="852"/>
      <c r="E72" s="852"/>
      <c r="F72" s="853"/>
    </row>
    <row r="73" spans="1:6" s="40" customFormat="1" ht="31.5" customHeight="1">
      <c r="A73" s="76"/>
      <c r="B73" s="708"/>
      <c r="C73" s="868" t="s">
        <v>708</v>
      </c>
      <c r="D73" s="859">
        <f>200000</f>
        <v>200000</v>
      </c>
      <c r="E73" s="859">
        <v>100000</v>
      </c>
      <c r="F73" s="853">
        <f>E73*100/D73</f>
        <v>50</v>
      </c>
    </row>
    <row r="74" spans="1:6" s="40" customFormat="1" ht="18.75" customHeight="1">
      <c r="A74" s="76"/>
      <c r="B74" s="843"/>
      <c r="C74" s="869" t="s">
        <v>279</v>
      </c>
      <c r="D74" s="860"/>
      <c r="E74" s="845"/>
      <c r="F74" s="842"/>
    </row>
    <row r="75" spans="1:6" s="40" customFormat="1" ht="26.25" customHeight="1">
      <c r="A75" s="76"/>
      <c r="B75" s="866"/>
      <c r="C75" s="870" t="s">
        <v>709</v>
      </c>
      <c r="D75" s="861"/>
      <c r="E75" s="859"/>
      <c r="F75" s="853"/>
    </row>
    <row r="76" spans="1:6" s="40" customFormat="1" ht="45.75" customHeight="1">
      <c r="A76" s="76"/>
      <c r="B76" s="866"/>
      <c r="C76" s="871" t="s">
        <v>710</v>
      </c>
      <c r="D76" s="833">
        <v>85000</v>
      </c>
      <c r="E76" s="833">
        <v>42500</v>
      </c>
      <c r="F76" s="842">
        <f>E76*100/D76</f>
        <v>50</v>
      </c>
    </row>
    <row r="77" spans="1:6" s="40" customFormat="1" ht="18.75" customHeight="1">
      <c r="A77" s="76"/>
      <c r="B77" s="843"/>
      <c r="C77" s="872" t="s">
        <v>279</v>
      </c>
      <c r="D77" s="845"/>
      <c r="E77" s="845"/>
      <c r="F77" s="842"/>
    </row>
    <row r="78" spans="1:6" s="40" customFormat="1" ht="32.25" customHeight="1">
      <c r="A78" s="76"/>
      <c r="B78" s="711"/>
      <c r="C78" s="873" t="s">
        <v>711</v>
      </c>
      <c r="D78" s="852"/>
      <c r="E78" s="852"/>
      <c r="F78" s="853"/>
    </row>
    <row r="79" spans="1:6" s="40" customFormat="1" ht="39" customHeight="1">
      <c r="A79" s="62">
        <v>853</v>
      </c>
      <c r="B79" s="874" t="s">
        <v>592</v>
      </c>
      <c r="C79" s="875"/>
      <c r="D79" s="175">
        <f>SUM(D80:D88)</f>
        <v>2102904.07</v>
      </c>
      <c r="E79" s="175">
        <f>E80+E83+E86+E87+E88</f>
        <v>251925.66</v>
      </c>
      <c r="F79" s="175">
        <f>E79*100/D79</f>
        <v>11.979893119898714</v>
      </c>
    </row>
    <row r="80" spans="1:6" s="40" customFormat="1" ht="28.5" customHeight="1">
      <c r="A80" s="76"/>
      <c r="B80" s="839"/>
      <c r="C80" s="876" t="s">
        <v>712</v>
      </c>
      <c r="D80" s="833">
        <f>168000-10400</f>
        <v>157600</v>
      </c>
      <c r="E80" s="833">
        <v>18800</v>
      </c>
      <c r="F80" s="842">
        <f>E80*100/D80</f>
        <v>11.928934010152284</v>
      </c>
    </row>
    <row r="81" spans="1:6" s="40" customFormat="1" ht="18.75" customHeight="1">
      <c r="A81" s="73"/>
      <c r="B81" s="843"/>
      <c r="C81" s="844" t="s">
        <v>279</v>
      </c>
      <c r="D81" s="845"/>
      <c r="E81" s="845"/>
      <c r="F81" s="842"/>
    </row>
    <row r="82" spans="1:6" s="40" customFormat="1" ht="28.5" customHeight="1">
      <c r="A82" s="76"/>
      <c r="B82" s="866"/>
      <c r="C82" s="877" t="s">
        <v>713</v>
      </c>
      <c r="D82" s="847"/>
      <c r="E82" s="847"/>
      <c r="F82" s="848"/>
    </row>
    <row r="83" spans="1:6" s="40" customFormat="1" ht="36" customHeight="1">
      <c r="A83" s="76"/>
      <c r="B83" s="707"/>
      <c r="C83" s="876" t="s">
        <v>714</v>
      </c>
      <c r="D83" s="833">
        <f>9000+40000</f>
        <v>49000</v>
      </c>
      <c r="E83" s="833">
        <v>9000</v>
      </c>
      <c r="F83" s="828">
        <f>E83*100/D83</f>
        <v>18.367346938775512</v>
      </c>
    </row>
    <row r="84" spans="1:6" s="40" customFormat="1" ht="18.75" customHeight="1">
      <c r="A84" s="73"/>
      <c r="B84" s="851"/>
      <c r="C84" s="844" t="s">
        <v>279</v>
      </c>
      <c r="D84" s="845"/>
      <c r="E84" s="833"/>
      <c r="F84" s="878"/>
    </row>
    <row r="85" spans="1:6" s="40" customFormat="1" ht="36" customHeight="1">
      <c r="A85" s="76"/>
      <c r="B85" s="707"/>
      <c r="C85" s="879" t="s">
        <v>715</v>
      </c>
      <c r="D85" s="852"/>
      <c r="E85" s="859"/>
      <c r="F85" s="880"/>
    </row>
    <row r="86" spans="1:6" s="40" customFormat="1" ht="53.25" customHeight="1">
      <c r="A86" s="76"/>
      <c r="B86" s="708"/>
      <c r="C86" s="871" t="s">
        <v>716</v>
      </c>
      <c r="D86" s="859">
        <f>1360000+240000</f>
        <v>1600000</v>
      </c>
      <c r="E86" s="859">
        <v>0</v>
      </c>
      <c r="F86" s="853">
        <f aca="true" t="shared" si="1" ref="F86:F98">E86*100/D86</f>
        <v>0</v>
      </c>
    </row>
    <row r="87" spans="1:6" s="40" customFormat="1" ht="53.25" customHeight="1">
      <c r="A87" s="76"/>
      <c r="B87" s="708"/>
      <c r="C87" s="868" t="s">
        <v>717</v>
      </c>
      <c r="D87" s="165">
        <v>221000</v>
      </c>
      <c r="E87" s="165">
        <f>163118.96+28785.7</f>
        <v>191904.66</v>
      </c>
      <c r="F87" s="828">
        <f t="shared" si="1"/>
        <v>86.83468778280543</v>
      </c>
    </row>
    <row r="88" spans="1:6" s="40" customFormat="1" ht="57.75" customHeight="1">
      <c r="A88" s="76"/>
      <c r="B88" s="708"/>
      <c r="C88" s="868" t="s">
        <v>718</v>
      </c>
      <c r="D88" s="165">
        <f>58174.85+10266.15+6863.07</f>
        <v>75304.07</v>
      </c>
      <c r="E88" s="165">
        <f>27387.85+4833.15</f>
        <v>32221</v>
      </c>
      <c r="F88" s="828">
        <f t="shared" si="1"/>
        <v>42.78785993904446</v>
      </c>
    </row>
    <row r="89" spans="1:6" s="40" customFormat="1" ht="37.5" customHeight="1">
      <c r="A89" s="63">
        <v>900</v>
      </c>
      <c r="B89" s="881" t="s">
        <v>719</v>
      </c>
      <c r="C89" s="882"/>
      <c r="D89" s="775">
        <f>SUM(D90:D92)</f>
        <v>750000</v>
      </c>
      <c r="E89" s="775">
        <f>SUM(E90:E92)</f>
        <v>177955.76</v>
      </c>
      <c r="F89" s="176">
        <f t="shared" si="1"/>
        <v>23.727434666666667</v>
      </c>
    </row>
    <row r="90" spans="1:6" s="40" customFormat="1" ht="80.25" customHeight="1">
      <c r="A90" s="883"/>
      <c r="B90" s="884"/>
      <c r="C90" s="698" t="s">
        <v>720</v>
      </c>
      <c r="D90" s="165">
        <v>270000</v>
      </c>
      <c r="E90" s="165">
        <v>136500</v>
      </c>
      <c r="F90" s="828">
        <f t="shared" si="1"/>
        <v>50.55555555555556</v>
      </c>
    </row>
    <row r="91" spans="1:6" s="57" customFormat="1" ht="42.75" customHeight="1">
      <c r="A91" s="77"/>
      <c r="B91" s="885"/>
      <c r="C91" s="886" t="s">
        <v>721</v>
      </c>
      <c r="D91" s="766">
        <v>30000</v>
      </c>
      <c r="E91" s="766">
        <v>3505.76</v>
      </c>
      <c r="F91" s="828">
        <f t="shared" si="1"/>
        <v>11.685866666666668</v>
      </c>
    </row>
    <row r="92" spans="1:6" s="40" customFormat="1" ht="43.5" customHeight="1">
      <c r="A92" s="887"/>
      <c r="B92" s="888"/>
      <c r="C92" s="886" t="s">
        <v>722</v>
      </c>
      <c r="D92" s="165">
        <f>50000+100000+300000</f>
        <v>450000</v>
      </c>
      <c r="E92" s="165">
        <v>37950</v>
      </c>
      <c r="F92" s="828">
        <f t="shared" si="1"/>
        <v>8.433333333333334</v>
      </c>
    </row>
    <row r="93" spans="1:6" s="40" customFormat="1" ht="39" customHeight="1">
      <c r="A93" s="62">
        <v>921</v>
      </c>
      <c r="B93" s="889" t="s">
        <v>38</v>
      </c>
      <c r="C93" s="890"/>
      <c r="D93" s="775">
        <f>SUM(D94:D96)</f>
        <v>173000</v>
      </c>
      <c r="E93" s="775">
        <f>SUM(E94:E96)</f>
        <v>60000</v>
      </c>
      <c r="F93" s="176">
        <f t="shared" si="1"/>
        <v>34.68208092485549</v>
      </c>
    </row>
    <row r="94" spans="1:6" s="40" customFormat="1" ht="31.5" customHeight="1">
      <c r="A94" s="77"/>
      <c r="B94" s="884"/>
      <c r="C94" s="870" t="s">
        <v>723</v>
      </c>
      <c r="D94" s="831">
        <f>60000+40000</f>
        <v>100000</v>
      </c>
      <c r="E94" s="831">
        <v>60000</v>
      </c>
      <c r="F94" s="828">
        <f t="shared" si="1"/>
        <v>60</v>
      </c>
    </row>
    <row r="95" spans="1:6" s="40" customFormat="1" ht="43.5" customHeight="1">
      <c r="A95" s="77"/>
      <c r="B95" s="885"/>
      <c r="C95" s="891" t="s">
        <v>724</v>
      </c>
      <c r="D95" s="831">
        <f>45000</f>
        <v>45000</v>
      </c>
      <c r="E95" s="831">
        <v>0</v>
      </c>
      <c r="F95" s="828">
        <f t="shared" si="1"/>
        <v>0</v>
      </c>
    </row>
    <row r="96" spans="1:6" s="40" customFormat="1" ht="28.5" customHeight="1">
      <c r="A96" s="887"/>
      <c r="B96" s="888"/>
      <c r="C96" s="892" t="s">
        <v>725</v>
      </c>
      <c r="D96" s="831">
        <v>28000</v>
      </c>
      <c r="E96" s="831">
        <v>0</v>
      </c>
      <c r="F96" s="828">
        <f t="shared" si="1"/>
        <v>0</v>
      </c>
    </row>
    <row r="97" spans="1:9" s="40" customFormat="1" ht="29.25" customHeight="1">
      <c r="A97" s="74">
        <v>926</v>
      </c>
      <c r="B97" s="893" t="s">
        <v>726</v>
      </c>
      <c r="C97" s="839"/>
      <c r="D97" s="838">
        <f>SUM(D98:D127)</f>
        <v>1821000</v>
      </c>
      <c r="E97" s="838">
        <f>E98+E115+E127</f>
        <v>1203280</v>
      </c>
      <c r="F97" s="841">
        <f t="shared" si="1"/>
        <v>66.07797913234486</v>
      </c>
      <c r="G97" s="267"/>
      <c r="H97" s="267"/>
      <c r="I97" s="267"/>
    </row>
    <row r="98" spans="1:9" s="898" customFormat="1" ht="102.75" customHeight="1">
      <c r="A98" s="883"/>
      <c r="B98" s="884"/>
      <c r="C98" s="894" t="s">
        <v>727</v>
      </c>
      <c r="D98" s="895">
        <v>1700000</v>
      </c>
      <c r="E98" s="896">
        <f>SUM(E100:E114)</f>
        <v>1120280</v>
      </c>
      <c r="F98" s="842">
        <f t="shared" si="1"/>
        <v>65.89882352941177</v>
      </c>
      <c r="G98" s="897"/>
      <c r="H98" s="897"/>
      <c r="I98" s="897"/>
    </row>
    <row r="99" spans="1:6" s="40" customFormat="1" ht="18.75" customHeight="1">
      <c r="A99" s="76"/>
      <c r="B99" s="843"/>
      <c r="C99" s="573" t="s">
        <v>279</v>
      </c>
      <c r="D99" s="852"/>
      <c r="E99" s="852"/>
      <c r="F99" s="848"/>
    </row>
    <row r="100" spans="1:6" s="40" customFormat="1" ht="18.75" customHeight="1">
      <c r="A100" s="76"/>
      <c r="B100" s="843"/>
      <c r="C100" s="565" t="s">
        <v>728</v>
      </c>
      <c r="D100" s="852"/>
      <c r="E100" s="852">
        <v>247200</v>
      </c>
      <c r="F100" s="842"/>
    </row>
    <row r="101" spans="1:6" s="40" customFormat="1" ht="18.75" customHeight="1">
      <c r="A101" s="76"/>
      <c r="B101" s="843"/>
      <c r="C101" s="565" t="s">
        <v>729</v>
      </c>
      <c r="D101" s="852"/>
      <c r="E101" s="852">
        <v>9610</v>
      </c>
      <c r="F101" s="848"/>
    </row>
    <row r="102" spans="1:6" s="40" customFormat="1" ht="18.75" customHeight="1">
      <c r="A102" s="76"/>
      <c r="B102" s="843"/>
      <c r="C102" s="565" t="s">
        <v>730</v>
      </c>
      <c r="D102" s="852"/>
      <c r="E102" s="852">
        <v>15370</v>
      </c>
      <c r="F102" s="848"/>
    </row>
    <row r="103" spans="1:6" s="40" customFormat="1" ht="18.75" customHeight="1">
      <c r="A103" s="76"/>
      <c r="B103" s="843"/>
      <c r="C103" s="565" t="s">
        <v>731</v>
      </c>
      <c r="D103" s="852"/>
      <c r="E103" s="852">
        <v>15040</v>
      </c>
      <c r="F103" s="848"/>
    </row>
    <row r="104" spans="1:6" s="40" customFormat="1" ht="29.25" customHeight="1">
      <c r="A104" s="76"/>
      <c r="B104" s="843"/>
      <c r="C104" s="565" t="s">
        <v>732</v>
      </c>
      <c r="D104" s="852"/>
      <c r="E104" s="852">
        <v>87900</v>
      </c>
      <c r="F104" s="848"/>
    </row>
    <row r="105" spans="1:6" s="40" customFormat="1" ht="28.5" customHeight="1">
      <c r="A105" s="76"/>
      <c r="B105" s="843"/>
      <c r="C105" s="565" t="s">
        <v>733</v>
      </c>
      <c r="D105" s="852"/>
      <c r="E105" s="852">
        <v>200600</v>
      </c>
      <c r="F105" s="848"/>
    </row>
    <row r="106" spans="1:6" s="40" customFormat="1" ht="18.75" customHeight="1">
      <c r="A106" s="76"/>
      <c r="B106" s="843"/>
      <c r="C106" s="565" t="s">
        <v>734</v>
      </c>
      <c r="D106" s="852"/>
      <c r="E106" s="852">
        <v>10720</v>
      </c>
      <c r="F106" s="848"/>
    </row>
    <row r="107" spans="1:6" s="40" customFormat="1" ht="18.75" customHeight="1">
      <c r="A107" s="76"/>
      <c r="B107" s="843"/>
      <c r="C107" s="565" t="s">
        <v>735</v>
      </c>
      <c r="D107" s="852"/>
      <c r="E107" s="852">
        <v>147400</v>
      </c>
      <c r="F107" s="848"/>
    </row>
    <row r="108" spans="1:6" s="40" customFormat="1" ht="26.25" customHeight="1">
      <c r="A108" s="76"/>
      <c r="B108" s="843"/>
      <c r="C108" s="565" t="s">
        <v>736</v>
      </c>
      <c r="D108" s="852"/>
      <c r="E108" s="852">
        <v>136600</v>
      </c>
      <c r="F108" s="848"/>
    </row>
    <row r="109" spans="1:6" s="40" customFormat="1" ht="28.5" customHeight="1">
      <c r="A109" s="76"/>
      <c r="B109" s="843"/>
      <c r="C109" s="565" t="s">
        <v>737</v>
      </c>
      <c r="D109" s="852"/>
      <c r="E109" s="852">
        <v>87700</v>
      </c>
      <c r="F109" s="848"/>
    </row>
    <row r="110" spans="1:6" s="40" customFormat="1" ht="18.75" customHeight="1">
      <c r="A110" s="76"/>
      <c r="B110" s="843"/>
      <c r="C110" s="565" t="s">
        <v>738</v>
      </c>
      <c r="D110" s="852"/>
      <c r="E110" s="852">
        <v>40000</v>
      </c>
      <c r="F110" s="848"/>
    </row>
    <row r="111" spans="1:6" s="40" customFormat="1" ht="27" customHeight="1">
      <c r="A111" s="76"/>
      <c r="B111" s="843"/>
      <c r="C111" s="565" t="s">
        <v>739</v>
      </c>
      <c r="D111" s="852"/>
      <c r="E111" s="852">
        <v>36440</v>
      </c>
      <c r="F111" s="848"/>
    </row>
    <row r="112" spans="1:6" s="40" customFormat="1" ht="18.75" customHeight="1">
      <c r="A112" s="76"/>
      <c r="B112" s="843"/>
      <c r="C112" s="565" t="s">
        <v>740</v>
      </c>
      <c r="D112" s="852"/>
      <c r="E112" s="852">
        <v>12100</v>
      </c>
      <c r="F112" s="848"/>
    </row>
    <row r="113" spans="1:6" s="40" customFormat="1" ht="24.75" customHeight="1">
      <c r="A113" s="76"/>
      <c r="B113" s="843"/>
      <c r="C113" s="565" t="s">
        <v>741</v>
      </c>
      <c r="D113" s="852"/>
      <c r="E113" s="852">
        <v>49600</v>
      </c>
      <c r="F113" s="848"/>
    </row>
    <row r="114" spans="1:6" s="40" customFormat="1" ht="18.75" customHeight="1">
      <c r="A114" s="76"/>
      <c r="B114" s="843"/>
      <c r="C114" s="826" t="s">
        <v>742</v>
      </c>
      <c r="D114" s="847"/>
      <c r="E114" s="847">
        <v>24000</v>
      </c>
      <c r="F114" s="848"/>
    </row>
    <row r="115" spans="1:9" s="898" customFormat="1" ht="33" customHeight="1">
      <c r="A115" s="248"/>
      <c r="B115" s="68"/>
      <c r="C115" s="899" t="s">
        <v>743</v>
      </c>
      <c r="D115" s="895">
        <f>115000-19000</f>
        <v>96000</v>
      </c>
      <c r="E115" s="896">
        <f>SUM(E117:E126)</f>
        <v>64000</v>
      </c>
      <c r="F115" s="842">
        <f>E115*100/D115</f>
        <v>66.66666666666667</v>
      </c>
      <c r="G115" s="897"/>
      <c r="H115" s="897"/>
      <c r="I115" s="897"/>
    </row>
    <row r="116" spans="1:6" s="40" customFormat="1" ht="18.75" customHeight="1">
      <c r="A116" s="76"/>
      <c r="B116" s="843"/>
      <c r="C116" s="580" t="s">
        <v>279</v>
      </c>
      <c r="D116" s="852"/>
      <c r="E116" s="852"/>
      <c r="F116" s="848"/>
    </row>
    <row r="117" spans="1:6" s="40" customFormat="1" ht="36" customHeight="1">
      <c r="A117" s="76"/>
      <c r="B117" s="843"/>
      <c r="C117" s="1" t="s">
        <v>744</v>
      </c>
      <c r="D117" s="852"/>
      <c r="E117" s="852">
        <v>8000</v>
      </c>
      <c r="F117" s="842"/>
    </row>
    <row r="118" spans="1:6" s="40" customFormat="1" ht="26.25" customHeight="1">
      <c r="A118" s="76"/>
      <c r="B118" s="843"/>
      <c r="C118" s="1" t="s">
        <v>745</v>
      </c>
      <c r="D118" s="852"/>
      <c r="E118" s="852">
        <v>3000</v>
      </c>
      <c r="F118" s="848"/>
    </row>
    <row r="119" spans="1:6" s="40" customFormat="1" ht="27.75" customHeight="1">
      <c r="A119" s="76"/>
      <c r="B119" s="843"/>
      <c r="C119" s="1" t="s">
        <v>746</v>
      </c>
      <c r="D119" s="852"/>
      <c r="E119" s="852">
        <v>2000</v>
      </c>
      <c r="F119" s="848"/>
    </row>
    <row r="120" spans="1:6" s="40" customFormat="1" ht="18.75" customHeight="1">
      <c r="A120" s="76"/>
      <c r="B120" s="843"/>
      <c r="C120" s="1" t="s">
        <v>747</v>
      </c>
      <c r="D120" s="852"/>
      <c r="E120" s="852">
        <v>5000</v>
      </c>
      <c r="F120" s="848"/>
    </row>
    <row r="121" spans="1:9" s="898" customFormat="1" ht="27" customHeight="1">
      <c r="A121" s="248"/>
      <c r="B121" s="68"/>
      <c r="C121" s="900" t="s">
        <v>748</v>
      </c>
      <c r="D121" s="901"/>
      <c r="E121" s="902">
        <v>10000</v>
      </c>
      <c r="F121" s="848"/>
      <c r="G121" s="897"/>
      <c r="H121" s="897"/>
      <c r="I121" s="897"/>
    </row>
    <row r="122" spans="1:9" s="898" customFormat="1" ht="19.5" customHeight="1">
      <c r="A122" s="68"/>
      <c r="B122" s="68"/>
      <c r="C122" s="94" t="s">
        <v>749</v>
      </c>
      <c r="D122" s="901"/>
      <c r="E122" s="902">
        <v>5000</v>
      </c>
      <c r="F122" s="848"/>
      <c r="G122" s="897"/>
      <c r="H122" s="897"/>
      <c r="I122" s="897"/>
    </row>
    <row r="123" spans="1:9" s="898" customFormat="1" ht="19.5" customHeight="1">
      <c r="A123" s="68"/>
      <c r="B123" s="68"/>
      <c r="C123" s="94" t="s">
        <v>750</v>
      </c>
      <c r="D123" s="901"/>
      <c r="E123" s="902">
        <v>2500</v>
      </c>
      <c r="F123" s="848"/>
      <c r="G123" s="897"/>
      <c r="H123" s="897"/>
      <c r="I123" s="897"/>
    </row>
    <row r="124" spans="1:9" s="898" customFormat="1" ht="19.5" customHeight="1">
      <c r="A124" s="68"/>
      <c r="B124" s="68"/>
      <c r="C124" s="94" t="s">
        <v>751</v>
      </c>
      <c r="D124" s="901"/>
      <c r="E124" s="902">
        <v>15000</v>
      </c>
      <c r="F124" s="848"/>
      <c r="G124" s="897"/>
      <c r="H124" s="897"/>
      <c r="I124" s="897"/>
    </row>
    <row r="125" spans="1:9" s="898" customFormat="1" ht="19.5" customHeight="1">
      <c r="A125" s="68"/>
      <c r="B125" s="68"/>
      <c r="C125" s="94" t="s">
        <v>752</v>
      </c>
      <c r="D125" s="901"/>
      <c r="E125" s="902">
        <v>5500</v>
      </c>
      <c r="F125" s="848"/>
      <c r="G125" s="897"/>
      <c r="H125" s="897"/>
      <c r="I125" s="897"/>
    </row>
    <row r="126" spans="1:9" s="898" customFormat="1" ht="19.5" customHeight="1">
      <c r="A126" s="68"/>
      <c r="B126" s="68"/>
      <c r="C126" s="94" t="s">
        <v>753</v>
      </c>
      <c r="D126" s="903"/>
      <c r="E126" s="904">
        <v>8000</v>
      </c>
      <c r="F126" s="853"/>
      <c r="G126" s="897"/>
      <c r="H126" s="897"/>
      <c r="I126" s="897"/>
    </row>
    <row r="127" spans="1:9" s="40" customFormat="1" ht="33.75" customHeight="1">
      <c r="A127" s="68"/>
      <c r="B127" s="68"/>
      <c r="C127" s="894" t="s">
        <v>754</v>
      </c>
      <c r="D127" s="845">
        <v>25000</v>
      </c>
      <c r="E127" s="850">
        <f>SUM(E129:E132)</f>
        <v>19000</v>
      </c>
      <c r="F127" s="848">
        <f>E127*100/D127</f>
        <v>76</v>
      </c>
      <c r="G127" s="267"/>
      <c r="H127" s="267"/>
      <c r="I127" s="267"/>
    </row>
    <row r="128" spans="1:6" s="40" customFormat="1" ht="18.75" customHeight="1">
      <c r="A128" s="73"/>
      <c r="B128" s="843"/>
      <c r="C128" s="580" t="s">
        <v>279</v>
      </c>
      <c r="D128" s="852"/>
      <c r="E128" s="852"/>
      <c r="F128" s="848"/>
    </row>
    <row r="129" spans="1:6" s="40" customFormat="1" ht="28.5" customHeight="1">
      <c r="A129" s="73"/>
      <c r="B129" s="843"/>
      <c r="C129" s="1" t="s">
        <v>755</v>
      </c>
      <c r="D129" s="852"/>
      <c r="E129" s="852">
        <v>9000</v>
      </c>
      <c r="F129" s="842"/>
    </row>
    <row r="130" spans="1:6" s="40" customFormat="1" ht="18.75" customHeight="1">
      <c r="A130" s="73"/>
      <c r="B130" s="843"/>
      <c r="C130" s="1" t="s">
        <v>756</v>
      </c>
      <c r="D130" s="852"/>
      <c r="E130" s="852">
        <v>5000</v>
      </c>
      <c r="F130" s="848"/>
    </row>
    <row r="131" spans="1:6" s="40" customFormat="1" ht="31.5" customHeight="1">
      <c r="A131" s="73"/>
      <c r="B131" s="843"/>
      <c r="C131" s="1" t="s">
        <v>757</v>
      </c>
      <c r="D131" s="852"/>
      <c r="E131" s="852">
        <v>3000</v>
      </c>
      <c r="F131" s="848"/>
    </row>
    <row r="132" spans="1:6" s="40" customFormat="1" ht="30.75" customHeight="1">
      <c r="A132" s="74"/>
      <c r="B132" s="905"/>
      <c r="C132" s="1" t="s">
        <v>758</v>
      </c>
      <c r="D132" s="852"/>
      <c r="E132" s="852">
        <v>2000</v>
      </c>
      <c r="F132" s="853"/>
    </row>
    <row r="133" spans="1:9" s="40" customFormat="1" ht="30" customHeight="1">
      <c r="A133" s="52" t="s">
        <v>759</v>
      </c>
      <c r="B133" s="906"/>
      <c r="C133" s="907"/>
      <c r="D133" s="863">
        <f>D134+D162</f>
        <v>11076223</v>
      </c>
      <c r="E133" s="863">
        <f>E134+E162</f>
        <v>3685279.87</v>
      </c>
      <c r="F133" s="175">
        <f aca="true" t="shared" si="2" ref="F133:F177">E133*100/D133</f>
        <v>33.271990551291715</v>
      </c>
      <c r="G133" s="267"/>
      <c r="H133" s="267"/>
      <c r="I133" s="267"/>
    </row>
    <row r="134" spans="1:9" s="40" customFormat="1" ht="27" customHeight="1">
      <c r="A134" s="908" t="s">
        <v>265</v>
      </c>
      <c r="B134" s="909"/>
      <c r="C134" s="910"/>
      <c r="D134" s="911">
        <f>D135+D153+D160</f>
        <v>9786223</v>
      </c>
      <c r="E134" s="911">
        <f>E135+E153+E160</f>
        <v>3530679.87</v>
      </c>
      <c r="F134" s="176">
        <f t="shared" si="2"/>
        <v>36.07806474469262</v>
      </c>
      <c r="G134" s="267"/>
      <c r="H134" s="267"/>
      <c r="I134" s="267"/>
    </row>
    <row r="135" spans="1:9" s="40" customFormat="1" ht="19.5" customHeight="1">
      <c r="A135" s="824">
        <v>801</v>
      </c>
      <c r="B135" s="825" t="s">
        <v>549</v>
      </c>
      <c r="C135" s="1"/>
      <c r="D135" s="176">
        <f>SUM(D136:D152)</f>
        <v>8128118</v>
      </c>
      <c r="E135" s="176">
        <f>SUM(E136:E152)</f>
        <v>2619494.5500000003</v>
      </c>
      <c r="F135" s="176">
        <f t="shared" si="2"/>
        <v>32.227565470875305</v>
      </c>
      <c r="G135" s="267"/>
      <c r="H135" s="267"/>
      <c r="I135" s="267"/>
    </row>
    <row r="136" spans="1:9" s="40" customFormat="1" ht="24" customHeight="1">
      <c r="A136" s="912"/>
      <c r="B136" s="578"/>
      <c r="C136" s="305" t="s">
        <v>760</v>
      </c>
      <c r="D136" s="831">
        <f>460000+956468</f>
        <v>1416468</v>
      </c>
      <c r="E136" s="831">
        <f>148128.75+508306.05</f>
        <v>656434.8</v>
      </c>
      <c r="F136" s="828">
        <f t="shared" si="2"/>
        <v>46.34307305212685</v>
      </c>
      <c r="G136" s="267"/>
      <c r="H136" s="267"/>
      <c r="I136" s="267"/>
    </row>
    <row r="137" spans="1:9" s="40" customFormat="1" ht="26.25" customHeight="1">
      <c r="A137" s="913"/>
      <c r="B137" s="91"/>
      <c r="C137" s="1" t="s">
        <v>761</v>
      </c>
      <c r="D137" s="831">
        <f>200000+400000-183350</f>
        <v>416650</v>
      </c>
      <c r="E137" s="831">
        <f>18493.65+14633.72</f>
        <v>33127.37</v>
      </c>
      <c r="F137" s="828">
        <f t="shared" si="2"/>
        <v>7.95088683547342</v>
      </c>
      <c r="G137" s="267"/>
      <c r="H137" s="267"/>
      <c r="I137" s="267"/>
    </row>
    <row r="138" spans="1:9" s="40" customFormat="1" ht="25.5" customHeight="1">
      <c r="A138" s="913"/>
      <c r="B138" s="91"/>
      <c r="C138" s="305" t="s">
        <v>762</v>
      </c>
      <c r="D138" s="831">
        <f>400000</f>
        <v>400000</v>
      </c>
      <c r="E138" s="831">
        <f>81788.26</f>
        <v>81788.26</v>
      </c>
      <c r="F138" s="828">
        <f t="shared" si="2"/>
        <v>20.447065</v>
      </c>
      <c r="G138" s="267"/>
      <c r="H138" s="267"/>
      <c r="I138" s="267"/>
    </row>
    <row r="139" spans="1:9" s="40" customFormat="1" ht="25.5" customHeight="1">
      <c r="A139" s="913"/>
      <c r="B139" s="91"/>
      <c r="C139" s="914" t="s">
        <v>763</v>
      </c>
      <c r="D139" s="831">
        <v>670000</v>
      </c>
      <c r="E139" s="831">
        <f>254781.45</f>
        <v>254781.45</v>
      </c>
      <c r="F139" s="828">
        <f t="shared" si="2"/>
        <v>38.02708208955224</v>
      </c>
      <c r="G139" s="267"/>
      <c r="H139" s="267"/>
      <c r="I139" s="267"/>
    </row>
    <row r="140" spans="1:9" s="40" customFormat="1" ht="25.5" customHeight="1">
      <c r="A140" s="913"/>
      <c r="B140" s="91"/>
      <c r="C140" s="914" t="s">
        <v>267</v>
      </c>
      <c r="D140" s="831">
        <f>350000+175000+300000</f>
        <v>825000</v>
      </c>
      <c r="E140" s="831">
        <f>101867.4+96572.7+86902.2</f>
        <v>285342.3</v>
      </c>
      <c r="F140" s="828">
        <f t="shared" si="2"/>
        <v>34.58694545454546</v>
      </c>
      <c r="G140" s="267"/>
      <c r="H140" s="267"/>
      <c r="I140" s="267"/>
    </row>
    <row r="141" spans="1:9" s="40" customFormat="1" ht="29.25" customHeight="1">
      <c r="A141" s="913"/>
      <c r="B141" s="91"/>
      <c r="C141" s="914" t="s">
        <v>764</v>
      </c>
      <c r="D141" s="831">
        <f>700000+200000</f>
        <v>900000</v>
      </c>
      <c r="E141" s="831">
        <f>246701.7+37333.32</f>
        <v>284035.02</v>
      </c>
      <c r="F141" s="828">
        <f t="shared" si="2"/>
        <v>31.559446666666666</v>
      </c>
      <c r="G141" s="267"/>
      <c r="H141" s="267"/>
      <c r="I141" s="267"/>
    </row>
    <row r="142" spans="1:9" s="40" customFormat="1" ht="24.75" customHeight="1">
      <c r="A142" s="913"/>
      <c r="B142" s="91"/>
      <c r="C142" s="915" t="s">
        <v>765</v>
      </c>
      <c r="D142" s="831">
        <f>350000+800000</f>
        <v>1150000</v>
      </c>
      <c r="E142" s="831">
        <f>189963.9+343838.25</f>
        <v>533802.15</v>
      </c>
      <c r="F142" s="828">
        <f t="shared" si="2"/>
        <v>46.41757826086957</v>
      </c>
      <c r="G142" s="267"/>
      <c r="H142" s="267"/>
      <c r="I142" s="267"/>
    </row>
    <row r="143" spans="1:9" s="40" customFormat="1" ht="30.75" customHeight="1">
      <c r="A143" s="913"/>
      <c r="B143" s="885"/>
      <c r="C143" s="914" t="s">
        <v>766</v>
      </c>
      <c r="D143" s="831">
        <v>170000</v>
      </c>
      <c r="E143" s="831">
        <f>38423.7</f>
        <v>38423.7</v>
      </c>
      <c r="F143" s="828">
        <f t="shared" si="2"/>
        <v>22.602176470588233</v>
      </c>
      <c r="G143" s="267"/>
      <c r="H143" s="267"/>
      <c r="I143" s="267"/>
    </row>
    <row r="144" spans="1:9" s="40" customFormat="1" ht="23.25" customHeight="1">
      <c r="A144" s="913"/>
      <c r="B144" s="885"/>
      <c r="C144" s="915" t="s">
        <v>767</v>
      </c>
      <c r="D144" s="831">
        <f>200000+500000</f>
        <v>700000</v>
      </c>
      <c r="E144" s="831">
        <f>40937.4+82054.35</f>
        <v>122991.75</v>
      </c>
      <c r="F144" s="828">
        <f t="shared" si="2"/>
        <v>17.57025</v>
      </c>
      <c r="G144" s="267"/>
      <c r="H144" s="267"/>
      <c r="I144" s="267"/>
    </row>
    <row r="145" spans="1:9" s="40" customFormat="1" ht="27" customHeight="1">
      <c r="A145" s="913"/>
      <c r="B145" s="885"/>
      <c r="C145" s="915" t="s">
        <v>768</v>
      </c>
      <c r="D145" s="831">
        <f>70000+100000</f>
        <v>170000</v>
      </c>
      <c r="E145" s="831">
        <v>0</v>
      </c>
      <c r="F145" s="828">
        <f t="shared" si="2"/>
        <v>0</v>
      </c>
      <c r="G145" s="267"/>
      <c r="H145" s="267"/>
      <c r="I145" s="267"/>
    </row>
    <row r="146" spans="1:9" s="40" customFormat="1" ht="23.25" customHeight="1">
      <c r="A146" s="913"/>
      <c r="B146" s="91"/>
      <c r="C146" s="915" t="s">
        <v>769</v>
      </c>
      <c r="D146" s="831">
        <f>20000+60000</f>
        <v>80000</v>
      </c>
      <c r="E146" s="831">
        <v>0</v>
      </c>
      <c r="F146" s="828">
        <f t="shared" si="2"/>
        <v>0</v>
      </c>
      <c r="G146" s="267"/>
      <c r="H146" s="267"/>
      <c r="I146" s="267"/>
    </row>
    <row r="147" spans="1:9" s="40" customFormat="1" ht="24" customHeight="1">
      <c r="A147" s="913"/>
      <c r="B147" s="91"/>
      <c r="C147" s="915" t="s">
        <v>770</v>
      </c>
      <c r="D147" s="831">
        <v>100000</v>
      </c>
      <c r="E147" s="831">
        <v>0</v>
      </c>
      <c r="F147" s="828">
        <f t="shared" si="2"/>
        <v>0</v>
      </c>
      <c r="G147" s="267"/>
      <c r="H147" s="267"/>
      <c r="I147" s="267"/>
    </row>
    <row r="148" spans="1:9" s="40" customFormat="1" ht="27" customHeight="1">
      <c r="A148" s="913"/>
      <c r="B148" s="91"/>
      <c r="C148" s="915" t="s">
        <v>771</v>
      </c>
      <c r="D148" s="831">
        <f>50000</f>
        <v>50000</v>
      </c>
      <c r="E148" s="831">
        <v>0</v>
      </c>
      <c r="F148" s="828">
        <f t="shared" si="2"/>
        <v>0</v>
      </c>
      <c r="G148" s="267"/>
      <c r="H148" s="267"/>
      <c r="I148" s="267"/>
    </row>
    <row r="149" spans="1:9" s="40" customFormat="1" ht="24.75" customHeight="1">
      <c r="A149" s="913"/>
      <c r="B149" s="91"/>
      <c r="C149" s="914" t="s">
        <v>772</v>
      </c>
      <c r="D149" s="831">
        <f>50000+50000</f>
        <v>100000</v>
      </c>
      <c r="E149" s="831">
        <v>0</v>
      </c>
      <c r="F149" s="828">
        <f t="shared" si="2"/>
        <v>0</v>
      </c>
      <c r="G149" s="267"/>
      <c r="H149" s="267"/>
      <c r="I149" s="267"/>
    </row>
    <row r="150" spans="1:9" s="40" customFormat="1" ht="28.5" customHeight="1">
      <c r="A150" s="913"/>
      <c r="B150" s="91"/>
      <c r="C150" s="914" t="s">
        <v>773</v>
      </c>
      <c r="D150" s="766">
        <f>130000</f>
        <v>130000</v>
      </c>
      <c r="E150" s="766">
        <f>42553.35</f>
        <v>42553.35</v>
      </c>
      <c r="F150" s="828">
        <f t="shared" si="2"/>
        <v>32.733346153846156</v>
      </c>
      <c r="G150" s="267"/>
      <c r="H150" s="267"/>
      <c r="I150" s="267"/>
    </row>
    <row r="151" spans="1:9" s="40" customFormat="1" ht="28.5" customHeight="1">
      <c r="A151" s="913"/>
      <c r="B151" s="91"/>
      <c r="C151" s="914" t="s">
        <v>774</v>
      </c>
      <c r="D151" s="856">
        <v>250000</v>
      </c>
      <c r="E151" s="856">
        <f>44528.4</f>
        <v>44528.4</v>
      </c>
      <c r="F151" s="828">
        <f>E151*100/D151</f>
        <v>17.81136</v>
      </c>
      <c r="G151" s="267"/>
      <c r="H151" s="267"/>
      <c r="I151" s="267"/>
    </row>
    <row r="152" spans="1:9" s="40" customFormat="1" ht="29.25" customHeight="1">
      <c r="A152" s="916"/>
      <c r="B152" s="710"/>
      <c r="C152" s="917" t="s">
        <v>775</v>
      </c>
      <c r="D152" s="165">
        <v>600000</v>
      </c>
      <c r="E152" s="165">
        <v>241686</v>
      </c>
      <c r="F152" s="828">
        <f t="shared" si="2"/>
        <v>40.281</v>
      </c>
      <c r="G152" s="267"/>
      <c r="H152" s="267"/>
      <c r="I152" s="267"/>
    </row>
    <row r="153" spans="1:9" s="40" customFormat="1" ht="37.5" customHeight="1">
      <c r="A153" s="63">
        <v>853</v>
      </c>
      <c r="B153" s="825" t="s">
        <v>592</v>
      </c>
      <c r="C153" s="900"/>
      <c r="D153" s="838">
        <f>SUM(D154:D154)</f>
        <v>308105</v>
      </c>
      <c r="E153" s="838">
        <f>SUM(E154:E154)</f>
        <v>229121</v>
      </c>
      <c r="F153" s="841">
        <f t="shared" si="2"/>
        <v>74.36458350237744</v>
      </c>
      <c r="G153" s="267"/>
      <c r="H153" s="267"/>
      <c r="I153" s="267"/>
    </row>
    <row r="154" spans="1:9" s="458" customFormat="1" ht="40.5" customHeight="1">
      <c r="A154" s="864"/>
      <c r="B154" s="31"/>
      <c r="C154" s="894" t="s">
        <v>776</v>
      </c>
      <c r="D154" s="895">
        <v>308105</v>
      </c>
      <c r="E154" s="895">
        <f>SUM(E156:E159)</f>
        <v>229121</v>
      </c>
      <c r="F154" s="842">
        <f t="shared" si="2"/>
        <v>74.36458350237744</v>
      </c>
      <c r="G154" s="918"/>
      <c r="H154" s="918"/>
      <c r="I154" s="918"/>
    </row>
    <row r="155" spans="1:6" s="40" customFormat="1" ht="18.75" customHeight="1">
      <c r="A155" s="76"/>
      <c r="B155" s="843"/>
      <c r="C155" s="573" t="s">
        <v>279</v>
      </c>
      <c r="D155" s="852"/>
      <c r="E155" s="852"/>
      <c r="F155" s="848"/>
    </row>
    <row r="156" spans="1:9" s="458" customFormat="1" ht="36" customHeight="1">
      <c r="A156" s="76"/>
      <c r="B156" s="830"/>
      <c r="C156" s="94" t="s">
        <v>777</v>
      </c>
      <c r="D156" s="766"/>
      <c r="E156" s="767">
        <v>52875</v>
      </c>
      <c r="F156" s="842"/>
      <c r="G156" s="918"/>
      <c r="H156" s="918"/>
      <c r="I156" s="918"/>
    </row>
    <row r="157" spans="1:9" s="458" customFormat="1" ht="36" customHeight="1">
      <c r="A157" s="76"/>
      <c r="B157" s="830"/>
      <c r="C157" s="94" t="s">
        <v>711</v>
      </c>
      <c r="D157" s="766"/>
      <c r="E157" s="767">
        <v>46999</v>
      </c>
      <c r="F157" s="848"/>
      <c r="G157" s="918"/>
      <c r="H157" s="918"/>
      <c r="I157" s="918"/>
    </row>
    <row r="158" spans="1:9" s="458" customFormat="1" ht="30" customHeight="1">
      <c r="A158" s="76"/>
      <c r="B158" s="830"/>
      <c r="C158" s="94" t="s">
        <v>778</v>
      </c>
      <c r="D158" s="766"/>
      <c r="E158" s="767">
        <v>31332</v>
      </c>
      <c r="F158" s="848"/>
      <c r="G158" s="918"/>
      <c r="H158" s="918"/>
      <c r="I158" s="918"/>
    </row>
    <row r="159" spans="1:9" s="458" customFormat="1" ht="29.25" customHeight="1">
      <c r="A159" s="919"/>
      <c r="B159" s="834"/>
      <c r="C159" s="94" t="s">
        <v>779</v>
      </c>
      <c r="D159" s="766"/>
      <c r="E159" s="767">
        <v>97915</v>
      </c>
      <c r="F159" s="853"/>
      <c r="G159" s="918"/>
      <c r="H159" s="918"/>
      <c r="I159" s="918"/>
    </row>
    <row r="160" spans="1:9" s="40" customFormat="1" ht="33.75" customHeight="1">
      <c r="A160" s="748">
        <v>854</v>
      </c>
      <c r="B160" s="834" t="s">
        <v>455</v>
      </c>
      <c r="C160" s="1"/>
      <c r="D160" s="857">
        <f>D161</f>
        <v>1350000</v>
      </c>
      <c r="E160" s="857">
        <f>E161</f>
        <v>682064.32</v>
      </c>
      <c r="F160" s="175">
        <f t="shared" si="2"/>
        <v>50.523282962962966</v>
      </c>
      <c r="G160" s="267"/>
      <c r="H160" s="267"/>
      <c r="I160" s="267"/>
    </row>
    <row r="161" spans="1:9" s="40" customFormat="1" ht="37.5" customHeight="1">
      <c r="A161" s="920"/>
      <c r="B161" s="882"/>
      <c r="C161" s="1" t="s">
        <v>711</v>
      </c>
      <c r="D161" s="165">
        <v>1350000</v>
      </c>
      <c r="E161" s="165">
        <v>682064.32</v>
      </c>
      <c r="F161" s="828">
        <f t="shared" si="2"/>
        <v>50.523282962962966</v>
      </c>
      <c r="G161" s="267"/>
      <c r="H161" s="267"/>
      <c r="I161" s="267"/>
    </row>
    <row r="162" spans="1:9" s="40" customFormat="1" ht="26.25" customHeight="1">
      <c r="A162" s="4" t="s">
        <v>833</v>
      </c>
      <c r="B162" s="921"/>
      <c r="C162" s="140"/>
      <c r="D162" s="773">
        <f>D163+D171+D175</f>
        <v>1290000</v>
      </c>
      <c r="E162" s="773">
        <f>E163+E171+E175</f>
        <v>154600</v>
      </c>
      <c r="F162" s="176">
        <f t="shared" si="2"/>
        <v>11.984496124031008</v>
      </c>
      <c r="G162" s="267"/>
      <c r="H162" s="267"/>
      <c r="I162" s="267"/>
    </row>
    <row r="163" spans="1:9" s="40" customFormat="1" ht="28.5" customHeight="1">
      <c r="A163" s="73">
        <v>630</v>
      </c>
      <c r="B163" s="922" t="s">
        <v>201</v>
      </c>
      <c r="C163" s="923" t="s">
        <v>410</v>
      </c>
      <c r="D163" s="838">
        <f>SUM(D164:D167)</f>
        <v>90000</v>
      </c>
      <c r="E163" s="838">
        <f>E164+E167</f>
        <v>54600</v>
      </c>
      <c r="F163" s="841">
        <f t="shared" si="2"/>
        <v>60.666666666666664</v>
      </c>
      <c r="G163" s="267"/>
      <c r="H163" s="267"/>
      <c r="I163" s="267"/>
    </row>
    <row r="164" spans="1:9" s="40" customFormat="1" ht="44.25" customHeight="1">
      <c r="A164" s="864"/>
      <c r="B164" s="923"/>
      <c r="C164" s="899" t="s">
        <v>780</v>
      </c>
      <c r="D164" s="895">
        <f>30000+30000</f>
        <v>60000</v>
      </c>
      <c r="E164" s="895">
        <v>39000</v>
      </c>
      <c r="F164" s="842">
        <f t="shared" si="2"/>
        <v>65</v>
      </c>
      <c r="G164" s="267"/>
      <c r="H164" s="267"/>
      <c r="I164" s="267"/>
    </row>
    <row r="165" spans="1:6" s="40" customFormat="1" ht="18.75" customHeight="1">
      <c r="A165" s="76"/>
      <c r="B165" s="843"/>
      <c r="C165" s="924" t="s">
        <v>279</v>
      </c>
      <c r="D165" s="847"/>
      <c r="E165" s="847"/>
      <c r="F165" s="848"/>
    </row>
    <row r="166" spans="1:9" s="40" customFormat="1" ht="35.25" customHeight="1">
      <c r="A166" s="76"/>
      <c r="B166" s="922"/>
      <c r="C166" s="925" t="s">
        <v>781</v>
      </c>
      <c r="D166" s="904"/>
      <c r="E166" s="904"/>
      <c r="F166" s="848"/>
      <c r="G166" s="267"/>
      <c r="H166" s="267"/>
      <c r="I166" s="267"/>
    </row>
    <row r="167" spans="1:9" s="40" customFormat="1" ht="30" customHeight="1">
      <c r="A167" s="77"/>
      <c r="B167" s="48"/>
      <c r="C167" s="899" t="s">
        <v>782</v>
      </c>
      <c r="D167" s="845">
        <v>30000</v>
      </c>
      <c r="E167" s="845">
        <f>E169+E170</f>
        <v>15600</v>
      </c>
      <c r="F167" s="842">
        <f t="shared" si="2"/>
        <v>52</v>
      </c>
      <c r="G167" s="267"/>
      <c r="H167" s="267"/>
      <c r="I167" s="267"/>
    </row>
    <row r="168" spans="1:6" s="40" customFormat="1" ht="18.75" customHeight="1">
      <c r="A168" s="76"/>
      <c r="B168" s="926"/>
      <c r="C168" s="580" t="s">
        <v>279</v>
      </c>
      <c r="D168" s="852"/>
      <c r="E168" s="852"/>
      <c r="F168" s="848"/>
    </row>
    <row r="169" spans="1:9" s="40" customFormat="1" ht="30" customHeight="1">
      <c r="A169" s="77"/>
      <c r="B169" s="47"/>
      <c r="C169" s="927" t="s">
        <v>783</v>
      </c>
      <c r="D169" s="859"/>
      <c r="E169" s="852">
        <v>14400</v>
      </c>
      <c r="F169" s="842"/>
      <c r="G169" s="267"/>
      <c r="H169" s="267"/>
      <c r="I169" s="267"/>
    </row>
    <row r="170" spans="1:9" s="40" customFormat="1" ht="30" customHeight="1">
      <c r="A170" s="77"/>
      <c r="B170" s="47"/>
      <c r="C170" s="927" t="s">
        <v>784</v>
      </c>
      <c r="D170" s="859"/>
      <c r="E170" s="852">
        <v>1200</v>
      </c>
      <c r="F170" s="853"/>
      <c r="G170" s="267"/>
      <c r="H170" s="267"/>
      <c r="I170" s="267"/>
    </row>
    <row r="171" spans="1:9" s="40" customFormat="1" ht="26.25" customHeight="1">
      <c r="A171" s="62">
        <v>852</v>
      </c>
      <c r="B171" s="45" t="s">
        <v>424</v>
      </c>
      <c r="C171" s="892"/>
      <c r="D171" s="838">
        <f>SUM(D172:D172)</f>
        <v>200000</v>
      </c>
      <c r="E171" s="838">
        <f>SUM(E172:E172)</f>
        <v>100000</v>
      </c>
      <c r="F171" s="857">
        <f t="shared" si="2"/>
        <v>50</v>
      </c>
      <c r="G171" s="267"/>
      <c r="H171" s="267"/>
      <c r="I171" s="267"/>
    </row>
    <row r="172" spans="1:6" s="40" customFormat="1" ht="46.5" customHeight="1">
      <c r="A172" s="68"/>
      <c r="B172" s="248"/>
      <c r="C172" s="899" t="s">
        <v>785</v>
      </c>
      <c r="D172" s="845">
        <v>200000</v>
      </c>
      <c r="E172" s="845">
        <v>100000</v>
      </c>
      <c r="F172" s="842">
        <f t="shared" si="2"/>
        <v>50</v>
      </c>
    </row>
    <row r="173" spans="1:6" s="40" customFormat="1" ht="18.75" customHeight="1">
      <c r="A173" s="76"/>
      <c r="B173" s="926"/>
      <c r="C173" s="924" t="s">
        <v>279</v>
      </c>
      <c r="D173" s="847"/>
      <c r="E173" s="847"/>
      <c r="F173" s="848"/>
    </row>
    <row r="174" spans="1:6" s="40" customFormat="1" ht="29.25" customHeight="1">
      <c r="A174" s="68"/>
      <c r="B174" s="248"/>
      <c r="C174" s="928" t="s">
        <v>786</v>
      </c>
      <c r="D174" s="852"/>
      <c r="E174" s="852"/>
      <c r="F174" s="853"/>
    </row>
    <row r="175" spans="1:6" s="40" customFormat="1" ht="29.25" customHeight="1">
      <c r="A175" s="63">
        <v>853</v>
      </c>
      <c r="B175" s="825" t="s">
        <v>592</v>
      </c>
      <c r="C175" s="929"/>
      <c r="D175" s="175">
        <f>SUM(D176)</f>
        <v>1000000</v>
      </c>
      <c r="E175" s="175">
        <f>SUM(E176)</f>
        <v>0</v>
      </c>
      <c r="F175" s="175">
        <f t="shared" si="2"/>
        <v>0</v>
      </c>
    </row>
    <row r="176" spans="1:6" s="40" customFormat="1" ht="36.75" customHeight="1">
      <c r="A176" s="281"/>
      <c r="B176" s="281"/>
      <c r="C176" s="900" t="s">
        <v>787</v>
      </c>
      <c r="D176" s="165">
        <v>1000000</v>
      </c>
      <c r="E176" s="165">
        <v>0</v>
      </c>
      <c r="F176" s="828">
        <f t="shared" si="2"/>
        <v>0</v>
      </c>
    </row>
    <row r="177" spans="1:6" s="40" customFormat="1" ht="29.25" customHeight="1">
      <c r="A177" s="1160" t="s">
        <v>511</v>
      </c>
      <c r="B177" s="1161"/>
      <c r="C177" s="1162"/>
      <c r="D177" s="930">
        <f>D11+D133</f>
        <v>20401385.07</v>
      </c>
      <c r="E177" s="930">
        <f>E11+E133</f>
        <v>7771686.24</v>
      </c>
      <c r="F177" s="176">
        <f t="shared" si="2"/>
        <v>38.09391476771925</v>
      </c>
    </row>
    <row r="178" s="40" customFormat="1" ht="12.75">
      <c r="C178" s="93"/>
    </row>
    <row r="179" s="40" customFormat="1" ht="12.75">
      <c r="C179" s="93"/>
    </row>
    <row r="180" s="40" customFormat="1" ht="12.75">
      <c r="C180" s="93"/>
    </row>
    <row r="181" s="40" customFormat="1" ht="12.75">
      <c r="C181" s="93"/>
    </row>
    <row r="182" s="40" customFormat="1" ht="12.75">
      <c r="C182" s="93"/>
    </row>
    <row r="183" s="40" customFormat="1" ht="12.75">
      <c r="C183" s="93"/>
    </row>
    <row r="184" s="40" customFormat="1" ht="12.75">
      <c r="C184" s="93"/>
    </row>
    <row r="185" s="40" customFormat="1" ht="12.75">
      <c r="C185" s="93"/>
    </row>
    <row r="186" s="40" customFormat="1" ht="12.75">
      <c r="C186" s="93"/>
    </row>
    <row r="187" s="40" customFormat="1" ht="12.75">
      <c r="C187" s="93"/>
    </row>
    <row r="188" s="40" customFormat="1" ht="12.75">
      <c r="C188" s="93"/>
    </row>
    <row r="189" s="40" customFormat="1" ht="12.75">
      <c r="C189" s="93"/>
    </row>
    <row r="190" s="40" customFormat="1" ht="12.75">
      <c r="C190" s="93"/>
    </row>
    <row r="191" s="40" customFormat="1" ht="12.75">
      <c r="C191" s="93"/>
    </row>
    <row r="192" s="40" customFormat="1" ht="12.75">
      <c r="C192" s="93"/>
    </row>
    <row r="193" s="40" customFormat="1" ht="12.75">
      <c r="C193" s="93"/>
    </row>
    <row r="194" s="40" customFormat="1" ht="12.75">
      <c r="C194" s="93"/>
    </row>
    <row r="195" s="40" customFormat="1" ht="12.75">
      <c r="C195" s="93"/>
    </row>
  </sheetData>
  <sheetProtection/>
  <mergeCells count="1">
    <mergeCell ref="A177:C17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UM Konin</cp:lastModifiedBy>
  <cp:lastPrinted>2013-08-30T11:45:44Z</cp:lastPrinted>
  <dcterms:created xsi:type="dcterms:W3CDTF">2007-04-04T08:35:31Z</dcterms:created>
  <dcterms:modified xsi:type="dcterms:W3CDTF">2013-09-12T08:51:52Z</dcterms:modified>
  <cp:category/>
  <cp:version/>
  <cp:contentType/>
  <cp:contentStatus/>
</cp:coreProperties>
</file>