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Uch.nr      RM nr z   .09.2013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</sheets>
  <definedNames>
    <definedName name="_xlnm.Print_Titles" localSheetId="1">'zał. nr 1'!$10:$12</definedName>
    <definedName name="_xlnm.Print_Titles" localSheetId="2">'Zał. nr 2'!$12:$13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5'!$13:$13</definedName>
  </definedNames>
  <calcPr fullCalcOnLoad="1"/>
</workbook>
</file>

<file path=xl/sharedStrings.xml><?xml version="1.0" encoding="utf-8"?>
<sst xmlns="http://schemas.openxmlformats.org/spreadsheetml/2006/main" count="1453" uniqueCount="862">
  <si>
    <t>Wykonanie zabezpieczeń na  Bulwarze Nadwarciańskim w Koninie</t>
  </si>
  <si>
    <t>pkt 3) kwotę rezerwy celowej na inwestycjne i zakupy inwestycyjne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</si>
  <si>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</si>
  <si>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</si>
  <si>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</si>
  <si>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</si>
  <si>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>Zakup i montaż dźwigów  osobowych (platform)   w budynkach przy ul. Kosmonautów 10 i  ul. 11 Listopada 9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</si>
  <si>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</si>
  <si>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</si>
  <si>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</si>
  <si>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4040</t>
  </si>
  <si>
    <t>80103</t>
  </si>
  <si>
    <t>80148</t>
  </si>
  <si>
    <t>4240</t>
  </si>
  <si>
    <t>4170</t>
  </si>
  <si>
    <t>Opracowanie dokumentacji projektowej na budowę toalet  przy Bulwarze Nadwarciańskim w Koninie</t>
  </si>
  <si>
    <t xml:space="preserve">Uzupełnienie urządzeń zabawowych na placu zabaw pomiędzy budynkami ul.   Wieniawskiego i Noskowskiego w Koninie
</t>
  </si>
  <si>
    <t>realizacja zadań o których mowa w § 6 pkt 1 Uchwały nr 226 Rady Miasta Konina z dnia 26 października 2011 roku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</si>
  <si>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</si>
  <si>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</si>
  <si>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</si>
  <si>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</si>
  <si>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</si>
  <si>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</si>
  <si>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</si>
  <si>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</si>
  <si>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</si>
  <si>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</si>
  <si>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</si>
  <si>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Domy i ośrodki kultury, świetlice i kluby</t>
  </si>
  <si>
    <t>CKU/WO</t>
  </si>
  <si>
    <t>IILO.WO</t>
  </si>
  <si>
    <t>Licea ogólnokształcące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</si>
  <si>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</si>
  <si>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</si>
  <si>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</si>
  <si>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</si>
  <si>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</si>
  <si>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</si>
  <si>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</si>
  <si>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</si>
  <si>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</si>
  <si>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</si>
  <si>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6207</t>
  </si>
  <si>
    <t>6057</t>
  </si>
  <si>
    <t>60095</t>
  </si>
  <si>
    <t>§ 6050</t>
  </si>
  <si>
    <t>dz. 852 rozdz.85202 § 6060   zmniejsza się o kwotę</t>
  </si>
  <si>
    <t>dz. 852 rozdz.85202 § 6060  zwieksza się o kwotę</t>
  </si>
  <si>
    <t>Zakup kosiarki spalinowej dla DPS w Koninie</t>
  </si>
  <si>
    <t>zakup kosiarki spalinowej</t>
  </si>
  <si>
    <t>6059</t>
  </si>
  <si>
    <t>600</t>
  </si>
  <si>
    <t>60015</t>
  </si>
  <si>
    <t>6800</t>
  </si>
  <si>
    <t>80110</t>
  </si>
  <si>
    <t>60016</t>
  </si>
  <si>
    <t>700</t>
  </si>
  <si>
    <t>70095</t>
  </si>
  <si>
    <t>dz. 758 rozdz.75818 § 6800 zwiększa się o kwotę</t>
  </si>
  <si>
    <t xml:space="preserve">Wykonanie dokumentacji projektowej  budowy ulic: Bluszczowa, Gerberowa, </t>
  </si>
  <si>
    <t>Begoniowa, Kaktusowa, Nasturcjowa, Daliowa, Piwoniowa  w Koninie</t>
  </si>
  <si>
    <t>dz. 900 rozdz.90095   zmniejsza się o kwotę</t>
  </si>
  <si>
    <t>§ 6057   zmniejsza się o kwotę</t>
  </si>
  <si>
    <t>§ 6059   zmniejsza się o kwotę</t>
  </si>
  <si>
    <t xml:space="preserve">Budowa czterech domków mieszkalnych  oraz rozbudowa budynku gospodarczego </t>
  </si>
  <si>
    <t xml:space="preserve"> w Koninie przy ul. M. Dąbrowskiej</t>
  </si>
  <si>
    <t>Opracowanie dokumentacji projektowej na budowę instalacji centralnego ogrzewania</t>
  </si>
  <si>
    <t>koszty utrzymania dzieci  z miasta Konina umieszczonych w placówkach opiekuńczych na terenie kraju</t>
  </si>
  <si>
    <t>koszty utrzymania dzieci  z miasta Konina umieszczonych w rodzinach zastępczych na terenie kraju</t>
  </si>
  <si>
    <t>Budowa ogrodzenia zespołu garaży przy ulicy Gajowej w Koninie</t>
  </si>
  <si>
    <t>Zmniejsza się plan wydatków o kwotę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</si>
  <si>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</si>
  <si>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</si>
  <si>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</si>
  <si>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</si>
  <si>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</si>
  <si>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</si>
  <si>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Opracowanie dokumentacji projektowo-kosztorysowej na budowę łącznika od ul. Przemysłowej do ul. Kleczewskiej</t>
  </si>
  <si>
    <t>prowadzenie działalności Powiatowego Urzędu Pracy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</si>
  <si>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</si>
  <si>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</si>
  <si>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 xml:space="preserve">  </t>
  </si>
  <si>
    <t xml:space="preserve">  zastępuje się kwotą </t>
  </si>
  <si>
    <t xml:space="preserve">  zastępuje się kwotą</t>
  </si>
  <si>
    <t>Budowa - przedłużenie ulicy Solnej - odcinek od ul. Kaliskiej do ul. Świętojańskiej</t>
  </si>
  <si>
    <t>Budowa chodnika na ul. Działkowej w Koninie</t>
  </si>
  <si>
    <t>75818</t>
  </si>
  <si>
    <t>4810</t>
  </si>
  <si>
    <t>wykonanie schodów</t>
  </si>
  <si>
    <t>Komendy powiatowe Policji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</si>
  <si>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</si>
  <si>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</si>
  <si>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</si>
  <si>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 xml:space="preserve"> - kwotę dotacji celowych na zadania z zakresu administracji rządowej</t>
  </si>
  <si>
    <t xml:space="preserve">   zlecone ustawami do realizacji przez powiat</t>
  </si>
  <si>
    <t xml:space="preserve"> -kwotę wydatków na zadania z zakresu administracji rządowej</t>
  </si>
  <si>
    <t xml:space="preserve">  zlecone ustawami do realizacji przez powiat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</si>
  <si>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</si>
  <si>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</si>
  <si>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</si>
  <si>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</si>
  <si>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</si>
  <si>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</si>
  <si>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</si>
  <si>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</si>
  <si>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</si>
  <si>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</si>
  <si>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80101</t>
  </si>
  <si>
    <t>Budowa kanalizacji deszczowej w rejonie ulicy Gajowej w Koninie</t>
  </si>
  <si>
    <t>Przebudowa chodnika ul. Żeglarska w Koninie</t>
  </si>
  <si>
    <t>na realizację zadania pn. "Aglomeracja konińska -  współpraca JST kluczem do nowoczesnego rozwoju gospodarczego"</t>
  </si>
  <si>
    <t>(Dz. U. z 2013 r. poz. 594), art. 211 ustawy z dnia 27 sierpnia 2009 r.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</si>
  <si>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</si>
  <si>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</si>
  <si>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</si>
  <si>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</si>
  <si>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</si>
  <si>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</si>
  <si>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4220</t>
  </si>
  <si>
    <t>4410</t>
  </si>
  <si>
    <t>Zakup kotła elektrycznego dla Przedszkola nr 5 w Koninie</t>
  </si>
  <si>
    <t>P nr 5/WO</t>
  </si>
  <si>
    <t>zakup kotła elektrycznego</t>
  </si>
  <si>
    <t>4440</t>
  </si>
  <si>
    <t>2700</t>
  </si>
  <si>
    <t>752</t>
  </si>
  <si>
    <t>75212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</si>
  <si>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</si>
  <si>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</si>
  <si>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</si>
  <si>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</si>
  <si>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</si>
  <si>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</si>
  <si>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w tym;</t>
  </si>
  <si>
    <t>758</t>
  </si>
  <si>
    <t>4300</t>
  </si>
  <si>
    <t>900</t>
  </si>
  <si>
    <t>6050</t>
  </si>
  <si>
    <t>Przebudowa - likwidacja kolizji sieci elektroenergetycznej obręb Maliniec</t>
  </si>
  <si>
    <t>0970</t>
  </si>
  <si>
    <t xml:space="preserve">pkt 2)  kwotę rezerwy celowej oświatowej 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</si>
  <si>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</si>
  <si>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</si>
  <si>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</si>
  <si>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70005</t>
  </si>
  <si>
    <t>0770</t>
  </si>
  <si>
    <t>ZAŁĄCZNIK nr  2</t>
  </si>
  <si>
    <t>Limit  wydatków majątkowych   na  programy finansowane  z udziałem</t>
  </si>
  <si>
    <t>środków o których mowa w art. 5 ust. 1 pkt 2 i 3  ustawy</t>
  </si>
  <si>
    <t>o finansach publicznych na 2013 rok</t>
  </si>
  <si>
    <t xml:space="preserve">                     2013 rok</t>
  </si>
  <si>
    <t>Nazwa programu, cel i zadanie</t>
  </si>
  <si>
    <t>Jednostka organizacyjna</t>
  </si>
  <si>
    <t>Okres realizacji</t>
  </si>
  <si>
    <t>Środki budżetu państwa; środki własne gminy</t>
  </si>
  <si>
    <t>Środki z EFRR i EFS</t>
  </si>
  <si>
    <t>Zadania gminy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</si>
  <si>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</si>
  <si>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</si>
  <si>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</si>
  <si>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Zwiększenie atrakcyjności Konina i subregionu konińskiego w ramach projektu pt.: "Przygotowanie terenów inwestycyjnych w obrębie Konin-Międzylesie (działania studyjno-koncepcyjne)" </t>
  </si>
  <si>
    <t>2011-2013</t>
  </si>
  <si>
    <t>Europejski Fundusz Społeczny - Program  Operacyjny Kapitał Ludzki</t>
  </si>
  <si>
    <t>Urząd Miejski w Koninie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</si>
  <si>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</si>
  <si>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</si>
  <si>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Rozwój przedsiębiorczości w Mieście Koninie oraz poprawa sytuacji na rynku pracy poprzez wsparcie 70 osób zamierzających rozpocząć działalność gospodarczą w terminie od 2.01.2012 r. do 30.09.2013 r.</t>
  </si>
  <si>
    <t>Projekt Pt.  "Dobry pomysł na firmę - wspomagamy przedsiębiorczość w Koninie"</t>
  </si>
  <si>
    <t>2012-2013</t>
  </si>
  <si>
    <t xml:space="preserve">Przedszkole nr 32 w Koninie 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</si>
  <si>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</si>
  <si>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</si>
  <si>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</si>
  <si>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</si>
  <si>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</si>
  <si>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</si>
  <si>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</si>
  <si>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Przedszkolaka""</t>
  </si>
  <si>
    <t>2013-2015</t>
  </si>
  <si>
    <t>ZAŁĄCZNIK nr 3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</si>
  <si>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</si>
  <si>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</si>
  <si>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</si>
  <si>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</si>
  <si>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Środki z EFS ; WRPO, inne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</si>
  <si>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</si>
  <si>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</si>
  <si>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</si>
  <si>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</si>
  <si>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</si>
  <si>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</si>
  <si>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</si>
  <si>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</si>
  <si>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</si>
  <si>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</si>
  <si>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</si>
  <si>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</si>
  <si>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</si>
  <si>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</si>
  <si>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</si>
  <si>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</si>
  <si>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</si>
  <si>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</si>
  <si>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</si>
  <si>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</si>
  <si>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</si>
  <si>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</si>
  <si>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</si>
  <si>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</si>
  <si>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</si>
  <si>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</si>
  <si>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</si>
  <si>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</si>
  <si>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</si>
  <si>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</si>
  <si>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upowszechniania edukacji przedszkolnej na terenie miasta Konina i gminy Ślesin i Kramsk poprzez utworzenie nowego oddziału przedszkolnego dla dzieci z miasta Konina i gmin: Ślesin i Kramsk oraz  włączenie ich rodziców w proces edikacji w okresie od 01.01.2013r. do 30.06.2015r.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</si>
  <si>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</si>
  <si>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</si>
  <si>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</si>
  <si>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</si>
  <si>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</si>
  <si>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</si>
  <si>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</si>
  <si>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</si>
  <si>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</si>
  <si>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</si>
  <si>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</si>
  <si>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</si>
  <si>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</si>
  <si>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</si>
  <si>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</si>
  <si>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</si>
  <si>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</si>
  <si>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</si>
  <si>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„Uczenie się przez całe życie”  Leonardo da Vinci</t>
  </si>
  <si>
    <t>ZSB  w Koninie</t>
  </si>
  <si>
    <t>cel: doskonalenie kompetencji zwodowych  oraz szkolenie językowe i kulturowe</t>
  </si>
  <si>
    <t>„Mistrz w zawodzie - praktyki zagraniczne dla uczniów”</t>
  </si>
  <si>
    <t>80195</t>
  </si>
  <si>
    <t>2701</t>
  </si>
  <si>
    <t>4211</t>
  </si>
  <si>
    <t>4301</t>
  </si>
  <si>
    <t>4421</t>
  </si>
  <si>
    <t>Gimnazjum nr 1 w Koninie</t>
  </si>
  <si>
    <t>cel: Wymiana doświadczeń i uczenie się od siebie nawzajem w dziedzinie języków obcych</t>
  </si>
  <si>
    <t>2360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</si>
  <si>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</si>
  <si>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</si>
  <si>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</si>
  <si>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</si>
  <si>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</si>
  <si>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</si>
  <si>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</si>
  <si>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</si>
  <si>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</si>
  <si>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</si>
  <si>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</si>
  <si>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</si>
  <si>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</si>
  <si>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</si>
  <si>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</si>
  <si>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</si>
  <si>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</si>
  <si>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</si>
  <si>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</si>
  <si>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 xml:space="preserve">o finansach  publicznych (Dz. U.   Nr  157 poz. 1240 ze zm.)   R a d a    M i a s t a   K o n i n a  </t>
  </si>
  <si>
    <t xml:space="preserve"> u c h w a l a,  co następuje :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</si>
  <si>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</si>
  <si>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</si>
  <si>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</si>
  <si>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</si>
  <si>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</si>
  <si>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</si>
  <si>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</si>
  <si>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</si>
  <si>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</si>
  <si>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</si>
  <si>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</si>
  <si>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>Zagospodarowanie terenów pogórniczych os. Zatorze - w zakresie budowy ścieżki spacerowej - Etap IV</t>
  </si>
  <si>
    <t>dokumentacja projektowo-kosztorysowa, wykonawstwo</t>
  </si>
  <si>
    <t xml:space="preserve">          Zwiększa się</t>
  </si>
  <si>
    <t>Kwotę wydatków ogółem</t>
  </si>
  <si>
    <t xml:space="preserve">           1) kwotę  wydatków  gminy  ogółem                      </t>
  </si>
  <si>
    <t xml:space="preserve">                                     UCHWAŁA  NR   </t>
  </si>
  <si>
    <t>Konina z dnia 4 lipca 2013 r.; Nr 89/2013 Prezydenta Miasta Konina z dnia 15 lipca 2013 r.; Nr 90/2013 Prezydenta</t>
  </si>
  <si>
    <t>Miasta Konina z dnia 22 lipca 2013 r.; Nr 613 Rady Miasta Konina z dnia 31 lipca 2013 r.; Nr 97/2013 Prezydenta</t>
  </si>
  <si>
    <t>Miasta Konina z dnia 13 sierpnia 2013 r.; Nr 619 Rady Miasta Konina z dnia 26 sierpnia 2013 r.;</t>
  </si>
  <si>
    <t>75801</t>
  </si>
  <si>
    <t>2920</t>
  </si>
  <si>
    <t>W części dotyczącej dochodów  powiatu</t>
  </si>
  <si>
    <t>85395</t>
  </si>
  <si>
    <t>3117</t>
  </si>
  <si>
    <t>3119</t>
  </si>
  <si>
    <t>4307</t>
  </si>
  <si>
    <t>4309</t>
  </si>
  <si>
    <t>6237</t>
  </si>
  <si>
    <t>6239</t>
  </si>
  <si>
    <t>90015</t>
  </si>
  <si>
    <t>dz. 801 rozdz.80140 § 6050   zmniejsza się o kwotę</t>
  </si>
  <si>
    <t>dz. 801 rozdz.80104 § 6060 zwiększa się o kwotę</t>
  </si>
  <si>
    <t>Zakup sprzętu EEG Biofeedback</t>
  </si>
  <si>
    <t>§ 6237 zwiększa się o kwotę</t>
  </si>
  <si>
    <t>§ 6239 zwiększa się o kwotę</t>
  </si>
  <si>
    <t>dz. 853 rozdz.85395 zwiększa się o kwotę</t>
  </si>
  <si>
    <t>dz. 900 rozdz.90095 § 6050 zwiększa się o kwotę</t>
  </si>
  <si>
    <t>75095</t>
  </si>
  <si>
    <t>2320</t>
  </si>
  <si>
    <t>4430</t>
  </si>
  <si>
    <t>4590</t>
  </si>
  <si>
    <t>Modernizacja placu zabaw przy ul. Energetyka 2,4,6 w Koninie</t>
  </si>
  <si>
    <t>Opracowanie dokumentacji projektowo-wykonawczej na nowy przebieg cieku wodnego odprowadzajacego wody deszczowe z terenów inwestycyjnych w obrębie Międzylesie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</si>
  <si>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</si>
  <si>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</si>
  <si>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</si>
  <si>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</si>
  <si>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</si>
  <si>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</si>
  <si>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</si>
  <si>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</si>
  <si>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</si>
  <si>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</si>
  <si>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</si>
  <si>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</si>
  <si>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</si>
  <si>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</si>
  <si>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</si>
  <si>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</si>
  <si>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 xml:space="preserve">                                     z dnia  25  września  2013 roku</t>
  </si>
  <si>
    <t>rozdz.70095 § 6050   zwiększa się o kwotę</t>
  </si>
  <si>
    <t>dz. 700  rozdz.70095 § 6050 zmniejsza się o kwotę</t>
  </si>
  <si>
    <t xml:space="preserve">i ciepłej wody na osiedlu domków komunalnych przy ul. M. Dąbrowskiej w Koninie  </t>
  </si>
  <si>
    <t>dz. 700   zwiększa się o kwotę</t>
  </si>
  <si>
    <t>rozdz.70005 § 6050   zwiększa się o kwotę</t>
  </si>
  <si>
    <t>DRUK NR 688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</si>
  <si>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</si>
  <si>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</si>
  <si>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</si>
  <si>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</si>
  <si>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</si>
  <si>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</si>
  <si>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</si>
  <si>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</si>
  <si>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</si>
  <si>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</si>
  <si>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</si>
  <si>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</si>
  <si>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</si>
  <si>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</si>
  <si>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</si>
  <si>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</si>
  <si>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</si>
  <si>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</si>
  <si>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</si>
  <si>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</si>
  <si>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</si>
  <si>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</si>
  <si>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</si>
  <si>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</si>
  <si>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</si>
  <si>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</si>
  <si>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</si>
  <si>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</si>
  <si>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</si>
  <si>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</si>
  <si>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</si>
  <si>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</si>
  <si>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place zabaw</t>
  </si>
  <si>
    <t>hangar plus wyposażenie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</si>
  <si>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</si>
  <si>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</si>
  <si>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</si>
  <si>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</si>
  <si>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80130</t>
  </si>
  <si>
    <t>0960</t>
  </si>
  <si>
    <t>0690</t>
  </si>
  <si>
    <t>0750</t>
  </si>
  <si>
    <t>0830</t>
  </si>
  <si>
    <t>0870</t>
  </si>
  <si>
    <t>4210</t>
  </si>
  <si>
    <t>4520</t>
  </si>
  <si>
    <t>80120</t>
  </si>
  <si>
    <t>854</t>
  </si>
  <si>
    <t>85401</t>
  </si>
  <si>
    <t>dz. 801 rozdz.80104 § 6050 zmniejsza się o kwotę</t>
  </si>
  <si>
    <t>750</t>
  </si>
  <si>
    <t>75023</t>
  </si>
  <si>
    <t>2007</t>
  </si>
  <si>
    <t>2009</t>
  </si>
  <si>
    <t>6209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</si>
  <si>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</si>
  <si>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</si>
  <si>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</si>
  <si>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>852</t>
  </si>
  <si>
    <t>85203</t>
  </si>
  <si>
    <t>2010</t>
  </si>
  <si>
    <t xml:space="preserve">         2) dochody powiatu ogółem                                                                                  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</si>
  <si>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</si>
  <si>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</si>
  <si>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</si>
  <si>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90002</t>
  </si>
  <si>
    <t>754</t>
  </si>
  <si>
    <t>75411</t>
  </si>
  <si>
    <t>6260</t>
  </si>
  <si>
    <t>Projekt pt. "Objazd Europy z Jules Varnes i naszymi przyjaciółmi partnerami"</t>
  </si>
  <si>
    <t xml:space="preserve"> przy ulicy Powstańców Styczniowych 1 -3 -5</t>
  </si>
  <si>
    <t xml:space="preserve">Opracowanie dokumentacji projektowo - kosztorysowej na budowę parkingu  </t>
  </si>
  <si>
    <t>dz. 926  rozdz.92601 § 6050 zmniejsza się o kwotę</t>
  </si>
  <si>
    <t xml:space="preserve">Adaptacja pomieszczeń budynku Klubu Energetyk na potrzeby </t>
  </si>
  <si>
    <t xml:space="preserve"> Młodzieżowego Domu Kultury w Koninie</t>
  </si>
  <si>
    <t>dz. 921  rozdz.92109 § 6050 zmniejsza się o kwotę</t>
  </si>
  <si>
    <t xml:space="preserve">Dokumentacja przyszłościowa na budowę boiska przy Gimnazjum nr 7 </t>
  </si>
  <si>
    <t xml:space="preserve"> ul. Kard.Wyszyńskiego</t>
  </si>
  <si>
    <t>Przebudowa pomieszczeń garażowych budynku strażnicy wraz z modernizacją</t>
  </si>
  <si>
    <t xml:space="preserve">kanalizacji deszczowej oraz wymianą nawierzchni placu manewrowego JRG Nr 1 </t>
  </si>
  <si>
    <t>i Komendy Miejskiej Państwowej Straży Pożarnej w Koninie</t>
  </si>
  <si>
    <t xml:space="preserve">Wykonanie sterowania wyjazdową sygnalizacją świetlną w Komendzie Miejskiej </t>
  </si>
  <si>
    <t xml:space="preserve">Państwowej Straży Pożarnej w Koninie  w siedzibie Jednostki </t>
  </si>
  <si>
    <t xml:space="preserve"> Ratowniczo – Gaśniczej Nr 2</t>
  </si>
  <si>
    <t xml:space="preserve">Nr  101/2013 Prezydenta Miasta Konina z dnia 27sierpnia 2013 r.; Nr  109/2013 Prezydenta Miasta Konina </t>
  </si>
  <si>
    <r>
      <t xml:space="preserve"> z dnia 6 września 2013 r.;</t>
    </r>
    <r>
      <rPr>
        <b/>
        <i/>
        <sz val="11"/>
        <rFont val="Times New Roman"/>
        <family val="1"/>
      </rPr>
      <t xml:space="preserve"> - wprowadza się następujące zmiany:</t>
    </r>
  </si>
  <si>
    <t>0490</t>
  </si>
  <si>
    <t>75618</t>
  </si>
  <si>
    <t>z dnia  25 września 2013 roku</t>
  </si>
  <si>
    <t>ZAŁĄCZNIK nr 4</t>
  </si>
  <si>
    <t xml:space="preserve">do Uchwały nr </t>
  </si>
  <si>
    <t>Załącznik nr 5</t>
  </si>
  <si>
    <t xml:space="preserve">z dnia  25 września 2013 roku     </t>
  </si>
  <si>
    <t>w ust. 6</t>
  </si>
  <si>
    <t>Załącznik nr 4 do uchwały budżetowej obejmujący:</t>
  </si>
  <si>
    <t>" Limit wydatków majątkowych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</si>
  <si>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</si>
  <si>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 xml:space="preserve">  do niniejszej uchwały</t>
    </r>
  </si>
  <si>
    <t>w ust. 7</t>
  </si>
  <si>
    <t>Załącznik nr 5 do uchwały budżetowej obejmujący:</t>
  </si>
  <si>
    <t>" Limit wydatków bieżących na programy finansowane z udziałem środków, o których</t>
  </si>
  <si>
    <r>
      <t xml:space="preserve">brzmienie w treści </t>
    </r>
    <r>
      <rPr>
        <b/>
        <sz val="13"/>
        <rFont val="Times New Roman"/>
        <family val="1"/>
      </rPr>
      <t>Załącznika nr 3</t>
    </r>
    <r>
      <rPr>
        <sz val="13"/>
        <rFont val="Times New Roman"/>
        <family val="1"/>
      </rPr>
      <t xml:space="preserve">  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</si>
  <si>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</si>
  <si>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</si>
  <si>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>3. W Załączniku Nr 1 do uchwały budżetowej dokonuje się następujących zmian:</t>
  </si>
  <si>
    <r>
      <t xml:space="preserve">  7.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</si>
  <si>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 xml:space="preserve">8. W § 1  do uchwały budżetowej 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</si>
  <si>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</si>
  <si>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</si>
  <si>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</si>
  <si>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</si>
  <si>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</si>
  <si>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</si>
  <si>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</si>
  <si>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</si>
  <si>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</si>
  <si>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</si>
  <si>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</si>
  <si>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</si>
  <si>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</si>
  <si>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</si>
  <si>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</si>
  <si>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Wykonanie monitoringu CCTV w budynkach Żłobka Miejskiego przy ul. Sosnowej 6 oraz przy ul. Staszica 17</t>
  </si>
  <si>
    <t>Wykonanie monitoringu CCTV</t>
  </si>
  <si>
    <t>Żłobki</t>
  </si>
  <si>
    <t xml:space="preserve">Opracowanie dokumentacji projektowo – kosztorysowej na przebudowę  ulicy Południowej w Koninie
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</si>
  <si>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</si>
  <si>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</si>
  <si>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</si>
  <si>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</si>
  <si>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</si>
  <si>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</si>
  <si>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</si>
  <si>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</si>
  <si>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</si>
  <si>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</si>
  <si>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</si>
  <si>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</si>
  <si>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</si>
  <si>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</si>
  <si>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</si>
  <si>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</si>
  <si>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</si>
  <si>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</si>
  <si>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</si>
  <si>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</si>
  <si>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</si>
  <si>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</si>
  <si>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</si>
  <si>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</si>
  <si>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</si>
  <si>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</si>
  <si>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</si>
  <si>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</si>
  <si>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</si>
  <si>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</si>
  <si>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</si>
  <si>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</si>
  <si>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</si>
  <si>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</si>
  <si>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</si>
  <si>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</si>
  <si>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</si>
  <si>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</si>
  <si>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</si>
  <si>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</si>
  <si>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</si>
  <si>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</si>
  <si>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</si>
  <si>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</si>
  <si>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</si>
  <si>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</si>
  <si>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</si>
  <si>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</si>
  <si>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 xml:space="preserve">zakup kserokopiarki 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</si>
  <si>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</si>
  <si>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</si>
  <si>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</si>
  <si>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</si>
  <si>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</si>
  <si>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</si>
  <si>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>853</t>
  </si>
  <si>
    <t>80104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</si>
  <si>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</si>
  <si>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</si>
  <si>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</si>
  <si>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</si>
  <si>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</si>
  <si>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</si>
  <si>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</si>
  <si>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</si>
  <si>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</si>
  <si>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</si>
  <si>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</si>
  <si>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</si>
  <si>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</si>
  <si>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</si>
  <si>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</si>
  <si>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</si>
  <si>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</si>
  <si>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</si>
  <si>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</si>
  <si>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</si>
  <si>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</si>
  <si>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</si>
  <si>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</si>
  <si>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</si>
  <si>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</si>
  <si>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</si>
  <si>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</si>
  <si>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</si>
  <si>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</si>
  <si>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</si>
  <si>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</si>
  <si>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</si>
  <si>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 xml:space="preserve">                                                                               § 4</t>
  </si>
  <si>
    <t xml:space="preserve"> z dnia 31 lipca 2013 roku w sprawie zmian w budżecie  miasta Konina na 2013 r.  </t>
  </si>
  <si>
    <t>winno być</t>
  </si>
  <si>
    <t xml:space="preserve">Prostuje się  błąd pisarski w   uchwale Nr 613 Rady  Miasta  Konina  </t>
  </si>
  <si>
    <t xml:space="preserve"> gdzie  w § 1:</t>
  </si>
  <si>
    <t>pkt 1 ppkt 1 lit. a tiret 1</t>
  </si>
  <si>
    <t>pkt 4 ppkt 1 lit. a tiret 1</t>
  </si>
  <si>
    <t>jest</t>
  </si>
  <si>
    <t xml:space="preserve">Opracowanie dokumentacji projektowej na budowę instalacji centralnego ogrzewania i ciepłej wody na osiedlu donków komunalnych przy ul. M. Dąbrowskiej w Koninie </t>
  </si>
  <si>
    <t xml:space="preserve">administracji rządowej zlecone gminie ustawami </t>
  </si>
  <si>
    <t xml:space="preserve"> - kwotę dotacji celowych na zadania z zakresu  </t>
  </si>
  <si>
    <t xml:space="preserve"> -kwotę wydatków na realizacje zadań z zakresu 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</si>
  <si>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</si>
  <si>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</si>
  <si>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</si>
  <si>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</si>
  <si>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</si>
  <si>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</si>
  <si>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</si>
  <si>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</si>
  <si>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</si>
  <si>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</si>
  <si>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</si>
  <si>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</si>
  <si>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</si>
  <si>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</si>
  <si>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</si>
  <si>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</si>
  <si>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</si>
  <si>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</si>
  <si>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</si>
  <si>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</si>
  <si>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4270</t>
  </si>
  <si>
    <t>90095</t>
  </si>
  <si>
    <t>W części dotyczącej zadań  powiatu</t>
  </si>
  <si>
    <t>dz. 600 rozdz.60015 § 6050   zmniejsza się o kwotę</t>
  </si>
  <si>
    <t>Budowa przyłącza światłowodowego do sterownika sygnalizacji świetlnej na skrzyżowaniu ul. Kard. S. Wyszyńskiego i ul. Przyjaźni w Koninie</t>
  </si>
  <si>
    <t xml:space="preserve">aktualizacja dokumentacji projektowej- zmiana nazwy dokumentacji i uzupelnienie podziałów geodezyjnych gruntów </t>
  </si>
  <si>
    <t>zakup zmywarki</t>
  </si>
  <si>
    <t>budowa kanalizacji</t>
  </si>
  <si>
    <t>926</t>
  </si>
  <si>
    <t>92604</t>
  </si>
  <si>
    <t>80140</t>
  </si>
  <si>
    <t>Przebudowa skrzyżowania ulicy Warszawskiej z ulicą Kolską w Koninie</t>
  </si>
  <si>
    <t xml:space="preserve">      PLAN DOTACJI DLA PODMIOTÓW NIE ZALICZANYCH DO SEKTORA FINANSÓW </t>
  </si>
  <si>
    <t>PUBLICZNYCH NA CELE PUBLICZNE ZWIĄZANE Z REALIZACJĄ ZADAŃ MIASTA  NA 2013 ROK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</si>
  <si>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</si>
  <si>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</si>
  <si>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</si>
  <si>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</si>
  <si>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</si>
  <si>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</si>
  <si>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</si>
  <si>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</si>
  <si>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</si>
  <si>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</si>
  <si>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</si>
  <si>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</si>
  <si>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</si>
  <si>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</si>
  <si>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</si>
  <si>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</si>
  <si>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</si>
  <si>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</si>
  <si>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</si>
  <si>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</si>
  <si>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</si>
  <si>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</si>
  <si>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</si>
  <si>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</si>
  <si>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</si>
  <si>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</si>
  <si>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</si>
  <si>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Wspieranie realizacji zadań organizacji pozarządowych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</si>
  <si>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</si>
  <si>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</si>
  <si>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</si>
  <si>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</si>
  <si>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</si>
  <si>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</si>
  <si>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Budowa czterech domków mieszkalnych  oraz rozbudowa budynku gospodarczego w Koninie przy ul. M. Dąbrowskiej</t>
  </si>
  <si>
    <t>Budowa instalacji centralnego ogrzewania i ciepłej wody w budynku przy ul. M. Dąbrowskiej 50 w Koninie</t>
  </si>
  <si>
    <t>Wykonanie instalacji monitoringu widowni i hali sportowej w obiekcie sportowo-rekreacyjnym "Rondo" w Koninie</t>
  </si>
  <si>
    <t xml:space="preserve">wykonanie instalacji monitoringu widowni i hali sportowej </t>
  </si>
  <si>
    <t>budowa instalacji centralnego ogrzewania i ciepłej wody</t>
  </si>
  <si>
    <t>80123</t>
  </si>
  <si>
    <t>80114</t>
  </si>
  <si>
    <t>85403</t>
  </si>
  <si>
    <t>85410</t>
  </si>
  <si>
    <t>80146</t>
  </si>
  <si>
    <t>85406</t>
  </si>
  <si>
    <t xml:space="preserve">do Uchwały nr     </t>
  </si>
  <si>
    <t xml:space="preserve">z dnia  25 września 2013 roku       </t>
  </si>
  <si>
    <t xml:space="preserve">do Uchwały nr   </t>
  </si>
  <si>
    <t>z dnia 25 września 2013 roku</t>
  </si>
  <si>
    <t>remont kościoła ,  konserwacja ołtarzy bocznych  pw. św. Bartłomieja w Koninie</t>
  </si>
  <si>
    <t>renowacja  i konserwacja  ołtarza barokowego w kościele pw. św. Marii Magdaleny w Klasztorze oo.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</si>
  <si>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</si>
  <si>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</si>
  <si>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</si>
  <si>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</si>
  <si>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budowa chodnika</t>
  </si>
  <si>
    <t>zmiany w dokumentacji</t>
  </si>
  <si>
    <t>budowa domków</t>
  </si>
  <si>
    <t>wykonanie monitoringu</t>
  </si>
  <si>
    <t>organizacja imprez sportowo-rekreacyjnych dla osób niepełnosprawnych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</si>
  <si>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</si>
  <si>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</si>
  <si>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</si>
  <si>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</si>
  <si>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</si>
  <si>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</si>
  <si>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</si>
  <si>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</si>
  <si>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</si>
  <si>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</si>
  <si>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 xml:space="preserve"> - kwotę dotacji celowych na zadania z zakresu administracji </t>
  </si>
  <si>
    <t xml:space="preserve">  rządowej zlecone gminie ustawami </t>
  </si>
  <si>
    <t xml:space="preserve"> -kwotę wydatków na realizacje zadań z zakresu administracji </t>
  </si>
  <si>
    <t>2110</t>
  </si>
  <si>
    <t>4010</t>
  </si>
  <si>
    <t>4110</t>
  </si>
  <si>
    <t>4260</t>
  </si>
  <si>
    <t>4350</t>
  </si>
  <si>
    <t>4400</t>
  </si>
  <si>
    <t>4280</t>
  </si>
  <si>
    <t>Cech Rzemiosł Różnych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</si>
  <si>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</si>
  <si>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</si>
  <si>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</si>
  <si>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</si>
  <si>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</si>
  <si>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</si>
  <si>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</si>
  <si>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</si>
  <si>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</si>
  <si>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</si>
  <si>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</si>
  <si>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</si>
  <si>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dofinansowanie szkolenia uzdolnionych sportowo   w piłce koszykowej kobiet (ekstarklasa)</t>
  </si>
  <si>
    <t>dofinansowanie szkolenia uzdolnionych sportowo   w piłce ręcznej mężczyzn (II liga)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</si>
  <si>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</si>
  <si>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</si>
  <si>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>ust. 1</t>
  </si>
  <si>
    <r>
      <t xml:space="preserve">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</si>
  <si>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t xml:space="preserve">zakup i montaż dźwigów  osobowych </t>
  </si>
  <si>
    <t>instalacja klimatyzacji</t>
  </si>
  <si>
    <t>budowa sieci kanalizacji sanitarnej i wodociągu</t>
  </si>
  <si>
    <t>kwotę wpływów z opłat za gospodarowanie</t>
  </si>
  <si>
    <t>odpadami komunalnymi</t>
  </si>
  <si>
    <r>
      <t>­</t>
    </r>
    <r>
      <rPr>
        <i/>
        <sz val="11"/>
        <rFont val="Times New Roman"/>
        <family val="1"/>
      </rPr>
      <t xml:space="preserve"> kwotę wydatków na gospodarowanie</t>
    </r>
  </si>
  <si>
    <t>dz. 754 rozdz.75411 § 6050 zwiększa się o kwotę</t>
  </si>
  <si>
    <t xml:space="preserve">pkt 1)  kwotę rezerwy ogólnej </t>
  </si>
  <si>
    <t xml:space="preserve">          w tym:</t>
  </si>
  <si>
    <t xml:space="preserve">budowa sieci kanalizacji sanitarnej </t>
  </si>
  <si>
    <t>budowa  wodociągu</t>
  </si>
  <si>
    <t>757</t>
  </si>
  <si>
    <t>75702</t>
  </si>
  <si>
    <t>75020</t>
  </si>
  <si>
    <t>921</t>
  </si>
  <si>
    <t>92109</t>
  </si>
  <si>
    <t>92601</t>
  </si>
  <si>
    <t>75814</t>
  </si>
  <si>
    <t>0920</t>
  </si>
  <si>
    <t>756</t>
  </si>
  <si>
    <t>75615</t>
  </si>
  <si>
    <t>0910</t>
  </si>
  <si>
    <t>Wykonanie klimatyzacji pomieszczenia Strefy K oraz modernizacja central klimatyzacyjnych sali widowiskowej</t>
  </si>
  <si>
    <t>wykonanie klimatyzacji  oraz modernizacja central klimatyzacyjnych</t>
  </si>
  <si>
    <t>tablica wyników; nagłościenie; klimatyzatory; urządzenia do aromatoterapii</t>
  </si>
  <si>
    <t>samochód dostawczy</t>
  </si>
  <si>
    <t>przebudowa parkingu</t>
  </si>
  <si>
    <t xml:space="preserve">wykonanie  miejsca do ważenia pojazdów 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</si>
  <si>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</si>
  <si>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</si>
  <si>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</si>
  <si>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</si>
  <si>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</si>
  <si>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</si>
  <si>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</si>
  <si>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</si>
  <si>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</si>
  <si>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</si>
  <si>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</si>
  <si>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>do sektora finansów publicznych na cele publiczne związane z realizacją zadań miasta na 2013 rok"</t>
  </si>
  <si>
    <r>
      <t xml:space="preserve">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</si>
  <si>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</si>
  <si>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</si>
  <si>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</si>
  <si>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</si>
  <si>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</si>
  <si>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</si>
  <si>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</si>
  <si>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</si>
  <si>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</si>
  <si>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</si>
  <si>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Wniesienie wkładu pieniężnego na opracowanie dokumentacji projektowej na budowę kanalizacji sanitarnej os. Wilków V etap (ul. Topolowa, Jarzębinowa)</t>
  </si>
  <si>
    <t>ust. 2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</si>
  <si>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</si>
  <si>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</si>
  <si>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</si>
  <si>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</si>
  <si>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</si>
  <si>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</si>
  <si>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</si>
  <si>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</si>
  <si>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Wykonanie dokumentacji projektowej  budowy ulic: Bluszczowa, Gerberowa, Begoniowa, Kaktusowa, Nasturcjowa, Daliowa, Piwoniowa  w Koninie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</si>
  <si>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</si>
  <si>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</si>
  <si>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</si>
  <si>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</si>
  <si>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</si>
  <si>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</si>
  <si>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</si>
  <si>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</si>
  <si>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</si>
  <si>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</si>
  <si>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</si>
  <si>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</si>
  <si>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</si>
  <si>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</si>
  <si>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</si>
  <si>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</si>
  <si>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</si>
  <si>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</si>
  <si>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</si>
  <si>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</si>
  <si>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</si>
  <si>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>Budowa oświetlenia solarnego</t>
  </si>
  <si>
    <t>do Uchwały</t>
  </si>
  <si>
    <t>Rady  Miasta Konina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</si>
  <si>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</si>
  <si>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</si>
  <si>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</si>
  <si>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</si>
  <si>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</si>
  <si>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</si>
  <si>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</si>
  <si>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</si>
  <si>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</si>
  <si>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</si>
  <si>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</si>
  <si>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</si>
  <si>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</si>
  <si>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</si>
  <si>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</si>
  <si>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</si>
  <si>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</si>
  <si>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</si>
  <si>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</si>
  <si>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</si>
  <si>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</si>
  <si>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</si>
  <si>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</si>
  <si>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</si>
  <si>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</si>
  <si>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</si>
  <si>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</si>
  <si>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</si>
  <si>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</si>
  <si>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</si>
  <si>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</si>
  <si>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>zakupu i montażu zestawu pn. "System Aktiv Zestaw 11"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</si>
  <si>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</si>
  <si>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</si>
  <si>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</si>
  <si>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</si>
  <si>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</si>
  <si>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</si>
  <si>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</si>
  <si>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</si>
  <si>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</si>
  <si>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</si>
  <si>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</si>
  <si>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zakup i montaż lamp solarnych ul. Beznazwy, Jeziorko os.Zatorze i ul. Spacerowa</t>
  </si>
  <si>
    <t>Budowa oświetlenia na ul. Kanałowej w Koninie</t>
  </si>
  <si>
    <t>Wykonanie schodów wewnętrznych w Przedszkolu nr 4 w Koninie</t>
  </si>
  <si>
    <t>6. W Załączniku Nr 2 do uchwały budżetowej dokonuje się następujących zmian: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</si>
  <si>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</si>
  <si>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Wyszczególnienie</t>
  </si>
  <si>
    <t xml:space="preserve">Określenie zadań </t>
  </si>
  <si>
    <t>Plan na 2013 rok</t>
  </si>
  <si>
    <t>Razem zadania gminy</t>
  </si>
  <si>
    <t>6060</t>
  </si>
  <si>
    <t>Opracowanie dokumentacji projektowej i budowa przyłącza do budynku przy ul. Andrzeja Benesza do sieci KoMAN</t>
  </si>
  <si>
    <t>Dotacje celowe</t>
  </si>
  <si>
    <t xml:space="preserve">dotacja dla KDK na wykonanie klimatyzacji pomieszczenia Strefy K oraz modernizacja central klimatyzacyjnych sali widowiskowej
</t>
  </si>
  <si>
    <t>4. W § 1 ust. 3</t>
  </si>
  <si>
    <t>5. W Załączniku Nr 2 do uchwały budżetowej dokonuje się następujących zmian:</t>
  </si>
  <si>
    <t xml:space="preserve">9.  W § 3    do uchwały budżetowej </t>
  </si>
  <si>
    <t>10. W § 4 do uchwały budżetowej dokonuje się następujących zmian:</t>
  </si>
  <si>
    <t xml:space="preserve">usuwanie wyrobów zawierających azbest z nieruchomości położonych na terenie miasta Konina </t>
  </si>
  <si>
    <t>Kultura i ochrona dziedzictwa narodowego</t>
  </si>
  <si>
    <t xml:space="preserve">Razem zadania powiatu </t>
  </si>
  <si>
    <t>Turystyka</t>
  </si>
  <si>
    <t>dz. 600 rozdz.60016 § 6050   zmniejsza się o kwotę</t>
  </si>
  <si>
    <t>Wykonanie monitoringu na placu zabaw przy Szkole Podstawowej nr 1 w Koninie</t>
  </si>
  <si>
    <t>Zakup zmywarki dla SP nr 8 w Koninie</t>
  </si>
  <si>
    <t>budowa przyłącza</t>
  </si>
  <si>
    <t>90004</t>
  </si>
  <si>
    <t>Utrzymanie zieleni w miastach i gminach</t>
  </si>
  <si>
    <t>OGÓŁEM</t>
  </si>
  <si>
    <t xml:space="preserve">Nr  54/2013 Prezydenta Miasta Konina z dnia 16 maja 2013 r.; Nr  58/2013 Prezydenta Miasta Konina </t>
  </si>
  <si>
    <t>Lp.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</si>
  <si>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</si>
  <si>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</si>
  <si>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</si>
  <si>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</si>
  <si>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</si>
  <si>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</si>
  <si>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</si>
  <si>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Adaptację budynku Sądu Rejonowego w Koninie na cele administracyjne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</si>
</sst>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9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i/>
      <sz val="13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3"/>
      <color indexed="12"/>
      <name val="Times New Roman"/>
      <family val="1"/>
    </font>
    <font>
      <sz val="13"/>
      <color indexed="48"/>
      <name val="Times New Roman"/>
      <family val="1"/>
    </font>
    <font>
      <b/>
      <sz val="13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3"/>
      <name val="Times New Roman CE"/>
      <family val="1"/>
    </font>
    <font>
      <i/>
      <sz val="11"/>
      <name val="Arial"/>
      <family val="2"/>
    </font>
    <font>
      <b/>
      <sz val="12"/>
      <color indexed="12"/>
      <name val="Times New Roman"/>
      <family val="1"/>
    </font>
    <font>
      <sz val="14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1" applyNumberFormat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29" borderId="4" applyNumberFormat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3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2" fillId="0" borderId="0" xfId="55" applyNumberFormat="1" applyFont="1" applyFill="1">
      <alignment/>
      <protection/>
    </xf>
    <xf numFmtId="49" fontId="32" fillId="0" borderId="0" xfId="55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35" fillId="0" borderId="0" xfId="52" applyNumberFormat="1" applyFont="1" applyFill="1">
      <alignment/>
      <protection/>
    </xf>
    <xf numFmtId="4" fontId="34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0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33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" fontId="27" fillId="0" borderId="0" xfId="52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36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42" fillId="0" borderId="0" xfId="52" applyNumberFormat="1" applyFont="1" applyFill="1">
      <alignment/>
      <protection/>
    </xf>
    <xf numFmtId="4" fontId="43" fillId="0" borderId="0" xfId="52" applyNumberFormat="1" applyFont="1" applyFill="1">
      <alignment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33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6" applyNumberFormat="1" applyFont="1" applyFill="1">
      <alignment/>
      <protection/>
    </xf>
    <xf numFmtId="49" fontId="28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34" fillId="0" borderId="0" xfId="0" applyFont="1" applyFill="1" applyAlignment="1">
      <alignment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33" fillId="0" borderId="0" xfId="52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4" fontId="33" fillId="0" borderId="0" xfId="0" applyNumberFormat="1" applyFont="1" applyFill="1" applyAlignment="1">
      <alignment/>
    </xf>
    <xf numFmtId="4" fontId="33" fillId="0" borderId="0" xfId="52" applyNumberFormat="1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7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9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8" fillId="0" borderId="23" xfId="0" applyFont="1" applyFill="1" applyBorder="1" applyAlignment="1">
      <alignment vertical="center" wrapText="1"/>
    </xf>
    <xf numFmtId="4" fontId="48" fillId="0" borderId="23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center" wrapText="1"/>
    </xf>
    <xf numFmtId="4" fontId="50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5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45" fillId="0" borderId="1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5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5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5" fillId="0" borderId="13" xfId="56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5" fillId="0" borderId="10" xfId="56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5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 wrapText="1"/>
    </xf>
    <xf numFmtId="0" fontId="45" fillId="0" borderId="13" xfId="52" applyFont="1" applyFill="1" applyBorder="1" applyAlignment="1">
      <alignment vertical="center" wrapText="1"/>
      <protection/>
    </xf>
    <xf numFmtId="4" fontId="58" fillId="0" borderId="0" xfId="0" applyNumberFormat="1" applyFont="1" applyFill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0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horizontal="right"/>
    </xf>
    <xf numFmtId="4" fontId="61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2" fillId="0" borderId="0" xfId="52" applyFont="1" applyFill="1" applyAlignment="1">
      <alignment horizontal="left"/>
      <protection/>
    </xf>
    <xf numFmtId="0" fontId="62" fillId="0" borderId="0" xfId="58" applyFont="1" applyFill="1" applyAlignment="1">
      <alignment horizontal="left"/>
      <protection/>
    </xf>
    <xf numFmtId="0" fontId="63" fillId="0" borderId="0" xfId="0" applyFont="1" applyFill="1" applyAlignment="1">
      <alignment horizontal="left"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Fill="1" applyAlignment="1">
      <alignment vertical="center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0" fontId="28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0" fontId="48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8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8" fillId="0" borderId="1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left" vertical="center"/>
    </xf>
    <xf numFmtId="4" fontId="39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vertical="center"/>
      <protection/>
    </xf>
    <xf numFmtId="0" fontId="12" fillId="0" borderId="16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8" fillId="0" borderId="10" xfId="52" applyFont="1" applyFill="1" applyBorder="1" applyAlignment="1">
      <alignment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0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8" fillId="0" borderId="10" xfId="52" applyNumberFormat="1" applyFont="1" applyFill="1" applyBorder="1" applyAlignment="1">
      <alignment vertical="center" wrapText="1"/>
      <protection/>
    </xf>
    <xf numFmtId="4" fontId="50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9" fontId="15" fillId="0" borderId="0" xfId="0" applyNumberFormat="1" applyFont="1" applyFill="1" applyAlignment="1">
      <alignment/>
    </xf>
    <xf numFmtId="49" fontId="6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2" fillId="0" borderId="15" xfId="0" applyFont="1" applyFill="1" applyBorder="1" applyAlignment="1">
      <alignment horizontal="center" vertical="center"/>
    </xf>
    <xf numFmtId="49" fontId="3" fillId="0" borderId="20" xfId="52" applyNumberFormat="1" applyFont="1" applyFill="1" applyBorder="1" applyAlignment="1">
      <alignment horizontal="center" vertical="center"/>
      <protection/>
    </xf>
    <xf numFmtId="4" fontId="4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70" fillId="0" borderId="0" xfId="0" applyNumberFormat="1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5" fillId="0" borderId="14" xfId="0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right" vertical="center"/>
      <protection/>
    </xf>
    <xf numFmtId="2" fontId="29" fillId="0" borderId="1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9" fontId="29" fillId="0" borderId="13" xfId="52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8" applyFont="1" applyFill="1" applyAlignment="1">
      <alignment horizontal="left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3" fillId="0" borderId="15" xfId="0" applyNumberFormat="1" applyFont="1" applyFill="1" applyBorder="1" applyAlignment="1">
      <alignment horizontal="right" vertical="center"/>
    </xf>
    <xf numFmtId="49" fontId="3" fillId="0" borderId="0" xfId="56" applyNumberFormat="1" applyFont="1" applyFill="1" applyBorder="1" applyAlignment="1">
      <alignment horizontal="center"/>
      <protection/>
    </xf>
    <xf numFmtId="4" fontId="3" fillId="0" borderId="0" xfId="56" applyNumberFormat="1" applyFont="1" applyFill="1" applyAlignment="1">
      <alignment horizontal="right"/>
      <protection/>
    </xf>
    <xf numFmtId="4" fontId="15" fillId="0" borderId="0" xfId="52" applyNumberFormat="1" applyFont="1" applyFill="1">
      <alignment/>
      <protection/>
    </xf>
    <xf numFmtId="4" fontId="71" fillId="0" borderId="0" xfId="52" applyNumberFormat="1" applyFont="1" applyFill="1">
      <alignment/>
      <protection/>
    </xf>
    <xf numFmtId="4" fontId="72" fillId="0" borderId="0" xfId="52" applyNumberFormat="1" applyFont="1" applyFill="1">
      <alignment/>
      <protection/>
    </xf>
    <xf numFmtId="4" fontId="73" fillId="0" borderId="0" xfId="52" applyNumberFormat="1" applyFont="1" applyFill="1">
      <alignment/>
      <protection/>
    </xf>
    <xf numFmtId="164" fontId="15" fillId="0" borderId="0" xfId="52" applyNumberFormat="1" applyFont="1" applyFill="1">
      <alignment/>
      <protection/>
    </xf>
    <xf numFmtId="0" fontId="15" fillId="0" borderId="0" xfId="0" applyFont="1" applyFill="1" applyAlignment="1">
      <alignment/>
    </xf>
    <xf numFmtId="4" fontId="29" fillId="0" borderId="16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4" fontId="48" fillId="0" borderId="13" xfId="52" applyNumberFormat="1" applyFont="1" applyFill="1" applyBorder="1" applyAlignment="1">
      <alignment horizontal="left" vertical="center" wrapText="1"/>
      <protection/>
    </xf>
    <xf numFmtId="4" fontId="56" fillId="0" borderId="13" xfId="0" applyNumberFormat="1" applyFont="1" applyFill="1" applyBorder="1" applyAlignment="1">
      <alignment horizontal="left" vertical="center" wrapText="1"/>
    </xf>
    <xf numFmtId="4" fontId="57" fillId="0" borderId="0" xfId="0" applyNumberFormat="1" applyFont="1" applyFill="1" applyAlignment="1">
      <alignment horizontal="left" vertical="center"/>
    </xf>
    <xf numFmtId="4" fontId="26" fillId="0" borderId="15" xfId="0" applyNumberFormat="1" applyFont="1" applyFill="1" applyBorder="1" applyAlignment="1">
      <alignment horizontal="left" vertical="center"/>
    </xf>
    <xf numFmtId="1" fontId="26" fillId="0" borderId="13" xfId="0" applyNumberFormat="1" applyFont="1" applyFill="1" applyBorder="1" applyAlignment="1">
      <alignment horizontal="left" vertical="center"/>
    </xf>
    <xf numFmtId="4" fontId="50" fillId="0" borderId="13" xfId="52" applyNumberFormat="1" applyFont="1" applyFill="1" applyBorder="1" applyAlignment="1">
      <alignment horizontal="left" vertical="center" wrapText="1"/>
      <protection/>
    </xf>
    <xf numFmtId="4" fontId="47" fillId="0" borderId="13" xfId="0" applyNumberFormat="1" applyFont="1" applyFill="1" applyBorder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/>
    </xf>
    <xf numFmtId="4" fontId="48" fillId="0" borderId="13" xfId="0" applyNumberFormat="1" applyFont="1" applyFill="1" applyBorder="1" applyAlignment="1">
      <alignment horizontal="right" vertical="center" wrapText="1"/>
    </xf>
    <xf numFmtId="4" fontId="50" fillId="0" borderId="23" xfId="0" applyNumberFormat="1" applyFont="1" applyFill="1" applyBorder="1" applyAlignment="1">
      <alignment horizontal="right" vertical="center" wrapText="1"/>
    </xf>
    <xf numFmtId="4" fontId="29" fillId="0" borderId="13" xfId="56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center" vertical="center"/>
    </xf>
    <xf numFmtId="4" fontId="45" fillId="0" borderId="13" xfId="52" applyNumberFormat="1" applyFont="1" applyFill="1" applyBorder="1" applyAlignment="1">
      <alignment vertical="center" wrapText="1"/>
      <protection/>
    </xf>
    <xf numFmtId="2" fontId="29" fillId="0" borderId="13" xfId="52" applyNumberFormat="1" applyFont="1" applyFill="1" applyBorder="1" applyAlignment="1">
      <alignment vertical="center" wrapText="1"/>
      <protection/>
    </xf>
    <xf numFmtId="0" fontId="29" fillId="0" borderId="13" xfId="52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0" fillId="0" borderId="13" xfId="52" applyFont="1" applyFill="1" applyBorder="1" applyAlignment="1">
      <alignment vertical="center" wrapText="1"/>
      <protection/>
    </xf>
    <xf numFmtId="4" fontId="50" fillId="0" borderId="13" xfId="52" applyNumberFormat="1" applyFont="1" applyFill="1" applyBorder="1" applyAlignment="1">
      <alignment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0" fontId="48" fillId="0" borderId="13" xfId="52" applyFont="1" applyFill="1" applyBorder="1" applyAlignment="1">
      <alignment vertical="center" wrapText="1"/>
      <protection/>
    </xf>
    <xf numFmtId="4" fontId="48" fillId="0" borderId="13" xfId="52" applyNumberFormat="1" applyFont="1" applyFill="1" applyBorder="1" applyAlignment="1">
      <alignment vertical="center" wrapText="1"/>
      <protection/>
    </xf>
    <xf numFmtId="0" fontId="57" fillId="0" borderId="0" xfId="0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38" fillId="0" borderId="0" xfId="52" applyNumberFormat="1" applyFont="1" applyFill="1">
      <alignment/>
      <protection/>
    </xf>
    <xf numFmtId="1" fontId="29" fillId="0" borderId="15" xfId="0" applyNumberFormat="1" applyFont="1" applyFill="1" applyBorder="1" applyAlignment="1">
      <alignment horizontal="left" vertical="center"/>
    </xf>
    <xf numFmtId="4" fontId="7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13" xfId="56" applyNumberFormat="1" applyFont="1" applyFill="1" applyBorder="1" applyAlignment="1">
      <alignment horizontal="right" wrapText="1"/>
      <protection/>
    </xf>
    <xf numFmtId="0" fontId="29" fillId="0" borderId="13" xfId="52" applyFont="1" applyFill="1" applyBorder="1" applyAlignment="1">
      <alignment vertical="center"/>
      <protection/>
    </xf>
    <xf numFmtId="4" fontId="33" fillId="0" borderId="0" xfId="52" applyNumberFormat="1" applyFont="1" applyFill="1" applyAlignment="1">
      <alignment horizontal="right" vertical="center"/>
      <protection/>
    </xf>
    <xf numFmtId="49" fontId="29" fillId="0" borderId="19" xfId="52" applyNumberFormat="1" applyFont="1" applyFill="1" applyBorder="1" applyAlignment="1">
      <alignment horizontal="left" vertical="center" wrapText="1"/>
      <protection/>
    </xf>
    <xf numFmtId="49" fontId="29" fillId="0" borderId="13" xfId="52" applyNumberFormat="1" applyFont="1" applyFill="1" applyBorder="1" applyAlignment="1">
      <alignment horizontal="left" vertical="top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/>
    </xf>
    <xf numFmtId="0" fontId="29" fillId="0" borderId="18" xfId="54" applyFont="1" applyFill="1" applyBorder="1" applyAlignment="1">
      <alignment horizontal="left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4" fontId="64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8" fillId="0" borderId="15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 wrapText="1"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9" fillId="0" borderId="0" xfId="0" applyNumberFormat="1" applyFont="1" applyFill="1" applyAlignment="1">
      <alignment/>
    </xf>
    <xf numFmtId="0" fontId="55" fillId="0" borderId="13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/>
    </xf>
    <xf numFmtId="49" fontId="16" fillId="0" borderId="0" xfId="53" applyNumberFormat="1" applyFont="1" applyFill="1">
      <alignment/>
      <protection/>
    </xf>
    <xf numFmtId="4" fontId="26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45" fillId="0" borderId="13" xfId="0" applyNumberFormat="1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vertical="center" wrapText="1"/>
    </xf>
    <xf numFmtId="49" fontId="29" fillId="0" borderId="10" xfId="52" applyNumberFormat="1" applyFont="1" applyFill="1" applyBorder="1" applyAlignment="1">
      <alignment vertical="center" wrapText="1"/>
      <protection/>
    </xf>
    <xf numFmtId="4" fontId="45" fillId="0" borderId="20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right" vertical="top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2" fontId="29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0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 wrapText="1"/>
    </xf>
    <xf numFmtId="4" fontId="29" fillId="34" borderId="13" xfId="52" applyNumberFormat="1" applyFont="1" applyFill="1" applyBorder="1" applyAlignment="1">
      <alignment vertical="center"/>
      <protection/>
    </xf>
    <xf numFmtId="0" fontId="7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4" fontId="29" fillId="34" borderId="10" xfId="0" applyNumberFormat="1" applyFont="1" applyFill="1" applyBorder="1" applyAlignment="1">
      <alignment vertical="center"/>
    </xf>
    <xf numFmtId="4" fontId="29" fillId="34" borderId="10" xfId="0" applyNumberFormat="1" applyFont="1" applyFill="1" applyBorder="1" applyAlignment="1">
      <alignment vertical="center" wrapText="1"/>
    </xf>
    <xf numFmtId="4" fontId="9" fillId="34" borderId="23" xfId="0" applyNumberFormat="1" applyFont="1" applyFill="1" applyBorder="1" applyAlignment="1">
      <alignment vertical="center" wrapText="1"/>
    </xf>
    <xf numFmtId="4" fontId="9" fillId="34" borderId="10" xfId="52" applyNumberFormat="1" applyFont="1" applyFill="1" applyBorder="1" applyAlignment="1">
      <alignment vertical="center"/>
      <protection/>
    </xf>
    <xf numFmtId="0" fontId="9" fillId="34" borderId="1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vertical="center" wrapText="1"/>
    </xf>
    <xf numFmtId="4" fontId="29" fillId="34" borderId="23" xfId="0" applyNumberFormat="1" applyFont="1" applyFill="1" applyBorder="1" applyAlignment="1">
      <alignment vertical="center" wrapText="1"/>
    </xf>
    <xf numFmtId="0" fontId="45" fillId="34" borderId="23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4" fontId="29" fillId="34" borderId="13" xfId="52" applyNumberFormat="1" applyFont="1" applyFill="1" applyBorder="1" applyAlignment="1">
      <alignment vertical="center" wrapText="1"/>
      <protection/>
    </xf>
    <xf numFmtId="4" fontId="9" fillId="34" borderId="13" xfId="52" applyNumberFormat="1" applyFont="1" applyFill="1" applyBorder="1" applyAlignment="1">
      <alignment vertical="center"/>
      <protection/>
    </xf>
    <xf numFmtId="4" fontId="9" fillId="34" borderId="13" xfId="0" applyNumberFormat="1" applyFont="1" applyFill="1" applyBorder="1" applyAlignment="1">
      <alignment vertical="center"/>
    </xf>
    <xf numFmtId="0" fontId="3" fillId="0" borderId="0" xfId="55" applyFont="1" applyFill="1" applyAlignment="1">
      <alignment horizontal="center"/>
      <protection/>
    </xf>
    <xf numFmtId="0" fontId="3" fillId="0" borderId="0" xfId="52" applyFont="1" applyFill="1" applyBorder="1">
      <alignment/>
      <protection/>
    </xf>
    <xf numFmtId="49" fontId="79" fillId="0" borderId="0" xfId="0" applyNumberFormat="1" applyFont="1" applyFill="1" applyAlignment="1">
      <alignment/>
    </xf>
    <xf numFmtId="4" fontId="5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" fontId="3" fillId="0" borderId="11" xfId="52" applyNumberFormat="1" applyFont="1" applyFill="1" applyBorder="1" applyAlignment="1">
      <alignment horizontal="right" vertical="top"/>
      <protection/>
    </xf>
    <xf numFmtId="4" fontId="5" fillId="0" borderId="14" xfId="52" applyNumberFormat="1" applyFont="1" applyFill="1" applyBorder="1" applyAlignment="1">
      <alignment horizontal="right" vertical="top"/>
      <protection/>
    </xf>
    <xf numFmtId="4" fontId="80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8" fillId="0" borderId="0" xfId="57" applyFill="1" applyAlignment="1">
      <alignment horizontal="center"/>
      <protection/>
    </xf>
    <xf numFmtId="0" fontId="81" fillId="0" borderId="0" xfId="53" applyFont="1" applyFill="1">
      <alignment/>
      <protection/>
    </xf>
    <xf numFmtId="0" fontId="81" fillId="0" borderId="0" xfId="53" applyFont="1" applyFill="1" applyAlignment="1">
      <alignment horizontal="center"/>
      <protection/>
    </xf>
    <xf numFmtId="0" fontId="8" fillId="0" borderId="0" xfId="53" applyFill="1">
      <alignment/>
      <protection/>
    </xf>
    <xf numFmtId="0" fontId="51" fillId="0" borderId="0" xfId="53" applyFont="1" applyFill="1">
      <alignment/>
      <protection/>
    </xf>
    <xf numFmtId="0" fontId="8" fillId="0" borderId="0" xfId="57" applyFill="1">
      <alignment/>
      <protection/>
    </xf>
    <xf numFmtId="0" fontId="58" fillId="0" borderId="0" xfId="52" applyFont="1" applyFill="1" applyAlignment="1">
      <alignment/>
      <protection/>
    </xf>
    <xf numFmtId="0" fontId="9" fillId="0" borderId="0" xfId="52" applyFont="1" applyFill="1" applyAlignment="1">
      <alignment horizontal="center"/>
      <protection/>
    </xf>
    <xf numFmtId="0" fontId="58" fillId="0" borderId="0" xfId="52" applyFont="1" applyFill="1">
      <alignment/>
      <protection/>
    </xf>
    <xf numFmtId="0" fontId="8" fillId="0" borderId="0" xfId="53" applyFill="1" applyAlignment="1">
      <alignment horizontal="center"/>
      <protection/>
    </xf>
    <xf numFmtId="0" fontId="82" fillId="0" borderId="0" xfId="53" applyFont="1" applyFill="1" applyAlignment="1">
      <alignment horizontal="right"/>
      <protection/>
    </xf>
    <xf numFmtId="0" fontId="8" fillId="0" borderId="14" xfId="57" applyFill="1" applyBorder="1" applyAlignment="1">
      <alignment horizontal="center"/>
      <protection/>
    </xf>
    <xf numFmtId="0" fontId="8" fillId="0" borderId="14" xfId="53" applyFill="1" applyBorder="1">
      <alignment/>
      <protection/>
    </xf>
    <xf numFmtId="0" fontId="8" fillId="0" borderId="14" xfId="53" applyFill="1" applyBorder="1" applyAlignment="1">
      <alignment horizontal="center"/>
      <protection/>
    </xf>
    <xf numFmtId="0" fontId="8" fillId="0" borderId="10" xfId="53" applyFont="1" applyFill="1" applyBorder="1" applyAlignment="1">
      <alignment vertical="center"/>
      <protection/>
    </xf>
    <xf numFmtId="0" fontId="8" fillId="0" borderId="11" xfId="53" applyFill="1" applyBorder="1" applyAlignment="1">
      <alignment vertical="center"/>
      <protection/>
    </xf>
    <xf numFmtId="0" fontId="8" fillId="0" borderId="0" xfId="53" applyFill="1" applyBorder="1">
      <alignment/>
      <protection/>
    </xf>
    <xf numFmtId="0" fontId="8" fillId="0" borderId="12" xfId="57" applyFill="1" applyBorder="1" applyAlignment="1">
      <alignment horizontal="center" vertical="top"/>
      <protection/>
    </xf>
    <xf numFmtId="0" fontId="8" fillId="0" borderId="12" xfId="53" applyFill="1" applyBorder="1" applyAlignment="1">
      <alignment horizontal="center" vertical="top" wrapText="1"/>
      <protection/>
    </xf>
    <xf numFmtId="0" fontId="83" fillId="0" borderId="12" xfId="53" applyFont="1" applyFill="1" applyBorder="1" applyAlignment="1">
      <alignment horizontal="center" vertical="top" wrapText="1"/>
      <protection/>
    </xf>
    <xf numFmtId="0" fontId="83" fillId="0" borderId="13" xfId="53" applyFont="1" applyFill="1" applyBorder="1" applyAlignment="1">
      <alignment horizontal="center" vertical="top" wrapText="1"/>
      <protection/>
    </xf>
    <xf numFmtId="0" fontId="83" fillId="0" borderId="13" xfId="53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top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51" fillId="0" borderId="0" xfId="53" applyFont="1" applyFill="1" applyAlignment="1">
      <alignment horizontal="center" vertical="top" wrapText="1"/>
      <protection/>
    </xf>
    <xf numFmtId="0" fontId="8" fillId="0" borderId="0" xfId="57" applyFill="1" applyAlignment="1">
      <alignment vertical="top"/>
      <protection/>
    </xf>
    <xf numFmtId="0" fontId="0" fillId="0" borderId="0" xfId="0" applyFill="1" applyAlignment="1">
      <alignment vertical="top"/>
    </xf>
    <xf numFmtId="0" fontId="65" fillId="0" borderId="10" xfId="57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83" fillId="0" borderId="19" xfId="53" applyFont="1" applyFill="1" applyBorder="1" applyAlignment="1">
      <alignment horizontal="center" vertical="center" wrapText="1"/>
      <protection/>
    </xf>
    <xf numFmtId="4" fontId="84" fillId="0" borderId="13" xfId="53" applyNumberFormat="1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center" wrapText="1"/>
      <protection/>
    </xf>
    <xf numFmtId="4" fontId="85" fillId="0" borderId="0" xfId="53" applyNumberFormat="1" applyFont="1" applyFill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vertical="center" wrapText="1"/>
      <protection/>
    </xf>
    <xf numFmtId="0" fontId="51" fillId="0" borderId="15" xfId="53" applyFont="1" applyFill="1" applyBorder="1" applyAlignment="1">
      <alignment vertical="center" wrapText="1"/>
      <protection/>
    </xf>
    <xf numFmtId="0" fontId="45" fillId="0" borderId="14" xfId="0" applyFont="1" applyFill="1" applyBorder="1" applyAlignment="1">
      <alignment vertical="center"/>
    </xf>
    <xf numFmtId="4" fontId="86" fillId="0" borderId="18" xfId="53" applyNumberFormat="1" applyFont="1" applyFill="1" applyBorder="1" applyAlignment="1">
      <alignment horizontal="center" vertical="center" wrapText="1"/>
      <protection/>
    </xf>
    <xf numFmtId="4" fontId="86" fillId="0" borderId="14" xfId="53" applyNumberFormat="1" applyFont="1" applyFill="1" applyBorder="1" applyAlignment="1">
      <alignment horizontal="center" vertical="center" wrapText="1"/>
      <protection/>
    </xf>
    <xf numFmtId="4" fontId="86" fillId="0" borderId="0" xfId="53" applyNumberFormat="1" applyFont="1" applyFill="1" applyBorder="1" applyAlignment="1">
      <alignment horizontal="center" vertical="center" wrapText="1"/>
      <protection/>
    </xf>
    <xf numFmtId="4" fontId="8" fillId="0" borderId="0" xfId="53" applyNumberFormat="1" applyFill="1" applyAlignment="1">
      <alignment horizontal="center" vertical="center" wrapText="1"/>
      <protection/>
    </xf>
    <xf numFmtId="4" fontId="51" fillId="0" borderId="0" xfId="53" applyNumberFormat="1" applyFont="1" applyFill="1" applyAlignment="1">
      <alignment horizontal="center" vertical="center" wrapText="1"/>
      <protection/>
    </xf>
    <xf numFmtId="4" fontId="8" fillId="0" borderId="0" xfId="53" applyNumberFormat="1" applyFont="1" applyFill="1" applyAlignment="1">
      <alignment horizontal="center" vertical="center" wrapText="1"/>
      <protection/>
    </xf>
    <xf numFmtId="0" fontId="8" fillId="0" borderId="0" xfId="57" applyFill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vertical="center" wrapText="1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45" fillId="0" borderId="15" xfId="0" applyFont="1" applyFill="1" applyBorder="1" applyAlignment="1">
      <alignment vertical="center"/>
    </xf>
    <xf numFmtId="4" fontId="86" fillId="0" borderId="15" xfId="53" applyNumberFormat="1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4" fontId="9" fillId="0" borderId="10" xfId="57" applyNumberFormat="1" applyFont="1" applyFill="1" applyBorder="1" applyAlignment="1">
      <alignment vertical="center"/>
      <protection/>
    </xf>
    <xf numFmtId="0" fontId="45" fillId="0" borderId="12" xfId="0" applyFont="1" applyFill="1" applyBorder="1" applyAlignment="1">
      <alignment vertical="center"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4" fontId="86" fillId="0" borderId="12" xfId="53" applyNumberFormat="1" applyFont="1" applyFill="1" applyBorder="1" applyAlignment="1">
      <alignment horizontal="center" vertical="center" wrapText="1"/>
      <protection/>
    </xf>
    <xf numFmtId="4" fontId="87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vertical="center" wrapText="1"/>
    </xf>
    <xf numFmtId="4" fontId="9" fillId="0" borderId="15" xfId="57" applyNumberFormat="1" applyFont="1" applyFill="1" applyBorder="1" applyAlignment="1">
      <alignment vertical="center"/>
      <protection/>
    </xf>
    <xf numFmtId="4" fontId="88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" fontId="86" fillId="0" borderId="12" xfId="53" applyNumberFormat="1" applyFont="1" applyFill="1" applyBorder="1" applyAlignment="1">
      <alignment horizontal="right" vertical="center" wrapText="1"/>
      <protection/>
    </xf>
    <xf numFmtId="0" fontId="9" fillId="0" borderId="20" xfId="53" applyFont="1" applyFill="1" applyBorder="1" applyAlignment="1">
      <alignment vertical="center" wrapText="1"/>
      <protection/>
    </xf>
    <xf numFmtId="0" fontId="45" fillId="0" borderId="14" xfId="53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vertical="center" wrapText="1"/>
      <protection/>
    </xf>
    <xf numFmtId="0" fontId="45" fillId="0" borderId="15" xfId="53" applyFont="1" applyFill="1" applyBorder="1" applyAlignment="1">
      <alignment horizontal="center" vertical="center"/>
      <protection/>
    </xf>
    <xf numFmtId="4" fontId="44" fillId="0" borderId="0" xfId="0" applyNumberFormat="1" applyFont="1" applyFill="1" applyAlignment="1">
      <alignment/>
    </xf>
    <xf numFmtId="0" fontId="45" fillId="0" borderId="23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7" applyNumberFormat="1" applyFont="1" applyFill="1" applyBorder="1" applyAlignment="1">
      <alignment vertical="center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8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5" fillId="0" borderId="12" xfId="53" applyFont="1" applyFill="1" applyBorder="1" applyAlignment="1">
      <alignment horizontal="center" vertical="top" wrapText="1"/>
      <protection/>
    </xf>
    <xf numFmtId="0" fontId="45" fillId="0" borderId="13" xfId="53" applyFont="1" applyFill="1" applyBorder="1" applyAlignment="1">
      <alignment horizontal="center" vertical="top" wrapText="1"/>
      <protection/>
    </xf>
    <xf numFmtId="0" fontId="4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5" fillId="0" borderId="10" xfId="57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5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89" fillId="0" borderId="0" xfId="53" applyNumberFormat="1" applyFont="1" applyFill="1" applyBorder="1" applyAlignment="1">
      <alignment horizontal="right" vertical="center" wrapText="1"/>
      <protection/>
    </xf>
    <xf numFmtId="4" fontId="90" fillId="0" borderId="0" xfId="0" applyNumberFormat="1" applyFont="1" applyFill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/>
    </xf>
    <xf numFmtId="4" fontId="91" fillId="0" borderId="0" xfId="0" applyNumberFormat="1" applyFont="1" applyFill="1" applyBorder="1" applyAlignment="1">
      <alignment vertical="center"/>
    </xf>
    <xf numFmtId="4" fontId="9" fillId="0" borderId="16" xfId="57" applyNumberFormat="1" applyFont="1" applyFill="1" applyBorder="1" applyAlignment="1">
      <alignment vertical="center"/>
      <protection/>
    </xf>
    <xf numFmtId="0" fontId="9" fillId="0" borderId="20" xfId="0" applyFont="1" applyFill="1" applyBorder="1" applyAlignment="1">
      <alignment vertical="center" wrapText="1"/>
    </xf>
    <xf numFmtId="0" fontId="9" fillId="0" borderId="24" xfId="57" applyFont="1" applyFill="1" applyBorder="1" applyAlignment="1">
      <alignment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45" fillId="0" borderId="21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29" fillId="0" borderId="19" xfId="0" applyFont="1" applyFill="1" applyBorder="1" applyAlignment="1">
      <alignment vertical="center" wrapText="1"/>
    </xf>
    <xf numFmtId="4" fontId="9" fillId="0" borderId="24" xfId="57" applyNumberFormat="1" applyFont="1" applyFill="1" applyBorder="1" applyAlignment="1">
      <alignment vertical="center"/>
      <protection/>
    </xf>
    <xf numFmtId="0" fontId="45" fillId="0" borderId="24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92" fillId="0" borderId="0" xfId="0" applyNumberFormat="1" applyFont="1" applyFill="1" applyAlignment="1">
      <alignment/>
    </xf>
    <xf numFmtId="4" fontId="45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4" fontId="31" fillId="0" borderId="0" xfId="0" applyNumberFormat="1" applyFont="1" applyFill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4" fontId="45" fillId="0" borderId="21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vertical="center"/>
      <protection/>
    </xf>
    <xf numFmtId="4" fontId="3" fillId="0" borderId="15" xfId="57" applyNumberFormat="1" applyFont="1" applyFill="1" applyBorder="1" applyAlignment="1">
      <alignment vertical="center"/>
      <protection/>
    </xf>
    <xf numFmtId="0" fontId="29" fillId="0" borderId="17" xfId="57" applyFont="1" applyFill="1" applyBorder="1" applyAlignment="1">
      <alignment vertical="center" wrapText="1"/>
      <protection/>
    </xf>
    <xf numFmtId="0" fontId="45" fillId="0" borderId="17" xfId="53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7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93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34" borderId="24" xfId="53" applyNumberFormat="1" applyFont="1" applyFill="1" applyBorder="1" applyAlignment="1">
      <alignment horizontal="center" vertical="center" wrapText="1"/>
      <protection/>
    </xf>
    <xf numFmtId="4" fontId="3" fillId="34" borderId="12" xfId="53" applyNumberFormat="1" applyFont="1" applyFill="1" applyBorder="1" applyAlignment="1">
      <alignment horizontal="center" vertical="center" wrapText="1"/>
      <protection/>
    </xf>
    <xf numFmtId="4" fontId="86" fillId="34" borderId="15" xfId="53" applyNumberFormat="1" applyFont="1" applyFill="1" applyBorder="1" applyAlignment="1">
      <alignment horizontal="right" vertical="center" wrapText="1"/>
      <protection/>
    </xf>
    <xf numFmtId="4" fontId="86" fillId="34" borderId="21" xfId="53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left" vertical="center"/>
      <protection/>
    </xf>
    <xf numFmtId="4" fontId="3" fillId="0" borderId="14" xfId="52" applyNumberFormat="1" applyFont="1" applyFill="1" applyBorder="1" applyAlignment="1">
      <alignment horizontal="right" vertical="top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49" fontId="13" fillId="0" borderId="0" xfId="52" applyNumberFormat="1" applyFont="1" applyFill="1">
      <alignment/>
      <protection/>
    </xf>
    <xf numFmtId="4" fontId="28" fillId="0" borderId="0" xfId="52" applyNumberFormat="1" applyFont="1" applyFill="1" applyBorder="1" applyAlignment="1">
      <alignment vertical="center"/>
      <protection/>
    </xf>
    <xf numFmtId="4" fontId="13" fillId="0" borderId="0" xfId="52" applyNumberFormat="1" applyFont="1" applyFill="1" applyBorder="1" applyAlignment="1">
      <alignment vertical="center"/>
      <protection/>
    </xf>
    <xf numFmtId="4" fontId="3" fillId="34" borderId="13" xfId="0" applyNumberFormat="1" applyFont="1" applyFill="1" applyBorder="1" applyAlignment="1">
      <alignment vertical="center"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0" fontId="9" fillId="34" borderId="20" xfId="0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right"/>
      <protection/>
    </xf>
    <xf numFmtId="4" fontId="94" fillId="0" borderId="0" xfId="52" applyNumberFormat="1" applyFont="1" applyFill="1">
      <alignment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2" fillId="34" borderId="0" xfId="0" applyFont="1" applyFill="1" applyAlignment="1">
      <alignment vertical="center" wrapText="1"/>
    </xf>
    <xf numFmtId="4" fontId="9" fillId="34" borderId="13" xfId="57" applyNumberFormat="1" applyFont="1" applyFill="1" applyBorder="1" applyAlignment="1">
      <alignment vertical="center" wrapText="1"/>
      <protection/>
    </xf>
    <xf numFmtId="0" fontId="45" fillId="34" borderId="20" xfId="0" applyFont="1" applyFill="1" applyBorder="1" applyAlignment="1">
      <alignment vertical="center"/>
    </xf>
    <xf numFmtId="4" fontId="3" fillId="34" borderId="14" xfId="53" applyNumberFormat="1" applyFont="1" applyFill="1" applyBorder="1" applyAlignment="1">
      <alignment horizontal="center" vertical="center" wrapText="1"/>
      <protection/>
    </xf>
    <xf numFmtId="0" fontId="9" fillId="34" borderId="15" xfId="57" applyFont="1" applyFill="1" applyBorder="1" applyAlignment="1">
      <alignment horizontal="center" vertical="center"/>
      <protection/>
    </xf>
    <xf numFmtId="0" fontId="9" fillId="34" borderId="19" xfId="57" applyFont="1" applyFill="1" applyBorder="1" applyAlignment="1">
      <alignment vertical="center" wrapText="1"/>
      <protection/>
    </xf>
    <xf numFmtId="4" fontId="9" fillId="34" borderId="16" xfId="57" applyNumberFormat="1" applyFont="1" applyFill="1" applyBorder="1" applyAlignment="1">
      <alignment vertical="center"/>
      <protection/>
    </xf>
    <xf numFmtId="0" fontId="45" fillId="34" borderId="16" xfId="0" applyFont="1" applyFill="1" applyBorder="1" applyAlignment="1">
      <alignment vertical="center"/>
    </xf>
    <xf numFmtId="4" fontId="3" fillId="34" borderId="15" xfId="53" applyNumberFormat="1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center"/>
      <protection/>
    </xf>
    <xf numFmtId="4" fontId="9" fillId="34" borderId="23" xfId="57" applyNumberFormat="1" applyFont="1" applyFill="1" applyBorder="1" applyAlignment="1">
      <alignment vertical="center"/>
      <protection/>
    </xf>
    <xf numFmtId="0" fontId="45" fillId="34" borderId="23" xfId="0" applyFont="1" applyFill="1" applyBorder="1" applyAlignment="1">
      <alignment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vertical="center" wrapText="1"/>
    </xf>
    <xf numFmtId="49" fontId="66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9" fontId="5" fillId="0" borderId="10" xfId="52" applyNumberFormat="1" applyFont="1" applyFill="1" applyBorder="1" applyAlignment="1">
      <alignment vertical="center"/>
      <protection/>
    </xf>
    <xf numFmtId="4" fontId="3" fillId="0" borderId="0" xfId="0" applyNumberFormat="1" applyFont="1" applyFill="1" applyAlignment="1">
      <alignment vertical="center"/>
    </xf>
    <xf numFmtId="49" fontId="5" fillId="0" borderId="23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" fontId="28" fillId="0" borderId="0" xfId="52" applyNumberFormat="1" applyFont="1" applyFill="1" applyBorder="1" applyAlignment="1">
      <alignment horizontal="right"/>
      <protection/>
    </xf>
    <xf numFmtId="0" fontId="28" fillId="0" borderId="0" xfId="52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23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top"/>
      <protection/>
    </xf>
    <xf numFmtId="4" fontId="9" fillId="34" borderId="10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1" fillId="0" borderId="0" xfId="53" applyNumberFormat="1" applyFont="1" applyFill="1" applyAlignment="1">
      <alignment vertical="center"/>
      <protection/>
    </xf>
    <xf numFmtId="4" fontId="29" fillId="34" borderId="13" xfId="0" applyNumberFormat="1" applyFont="1" applyFill="1" applyBorder="1" applyAlignment="1">
      <alignment vertical="center" wrapText="1"/>
    </xf>
    <xf numFmtId="4" fontId="5" fillId="0" borderId="12" xfId="5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5" fillId="0" borderId="0" xfId="52" applyNumberFormat="1" applyFont="1" applyFill="1" applyBorder="1" applyAlignment="1">
      <alignment horizontal="right" vertical="top"/>
      <protection/>
    </xf>
    <xf numFmtId="0" fontId="9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3"/>
  <sheetViews>
    <sheetView tabSelected="1"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31" customWidth="1"/>
    <col min="10" max="10" width="22.28125" style="32" customWidth="1"/>
    <col min="11" max="11" width="20.8515625" style="31" customWidth="1"/>
    <col min="12" max="12" width="19.28125" style="31" customWidth="1"/>
    <col min="13" max="13" width="15.140625" style="31" customWidth="1"/>
    <col min="14" max="14" width="15.00390625" style="2" customWidth="1"/>
    <col min="15" max="16384" width="9.140625" style="2" customWidth="1"/>
  </cols>
  <sheetData>
    <row r="1" spans="1:14" s="49" customFormat="1" ht="23.25" customHeight="1">
      <c r="A1" s="63" t="s">
        <v>284</v>
      </c>
      <c r="B1" s="64"/>
      <c r="C1" s="65"/>
      <c r="D1" s="5"/>
      <c r="E1" s="5"/>
      <c r="F1" s="5"/>
      <c r="G1" s="56"/>
      <c r="H1" s="203"/>
      <c r="I1" s="58"/>
      <c r="J1" s="59"/>
      <c r="K1" s="56"/>
      <c r="L1" s="58"/>
      <c r="M1" s="58"/>
      <c r="N1" s="56"/>
    </row>
    <row r="2" spans="1:14" s="49" customFormat="1" ht="24" customHeight="1">
      <c r="A2" s="63" t="s">
        <v>264</v>
      </c>
      <c r="B2" s="64"/>
      <c r="C2" s="65"/>
      <c r="D2" s="5"/>
      <c r="E2" s="5"/>
      <c r="F2" s="5"/>
      <c r="G2" s="56"/>
      <c r="H2" s="60"/>
      <c r="I2" s="58"/>
      <c r="J2" s="59"/>
      <c r="K2" s="56"/>
      <c r="L2" s="58"/>
      <c r="M2" s="58"/>
      <c r="N2" s="56"/>
    </row>
    <row r="3" spans="1:14" s="49" customFormat="1" ht="24" customHeight="1">
      <c r="A3" s="63" t="s">
        <v>328</v>
      </c>
      <c r="B3" s="64"/>
      <c r="C3" s="65"/>
      <c r="D3" s="5"/>
      <c r="E3" s="5"/>
      <c r="F3" s="5"/>
      <c r="G3" s="56"/>
      <c r="H3" s="983" t="s">
        <v>334</v>
      </c>
      <c r="I3" s="58"/>
      <c r="J3" s="59"/>
      <c r="K3" s="56"/>
      <c r="L3" s="58"/>
      <c r="M3" s="58"/>
      <c r="N3" s="56"/>
    </row>
    <row r="4" spans="1:14" s="49" customFormat="1" ht="17.25" customHeight="1">
      <c r="A4" s="55"/>
      <c r="B4" s="56"/>
      <c r="C4" s="57"/>
      <c r="D4" s="56"/>
      <c r="E4" s="56"/>
      <c r="F4" s="56"/>
      <c r="G4" s="56"/>
      <c r="H4" s="61"/>
      <c r="I4" s="58"/>
      <c r="J4" s="59"/>
      <c r="K4" s="56"/>
      <c r="L4" s="58"/>
      <c r="M4" s="58"/>
      <c r="N4" s="56"/>
    </row>
    <row r="5" spans="1:14" ht="18.75">
      <c r="A5" s="23"/>
      <c r="B5" s="5"/>
      <c r="C5" s="6"/>
      <c r="D5" s="5"/>
      <c r="E5" s="5"/>
      <c r="F5" s="5"/>
      <c r="G5" s="5"/>
      <c r="H5" s="7"/>
      <c r="I5" s="42"/>
      <c r="J5" s="9"/>
      <c r="K5" s="5"/>
      <c r="L5" s="42"/>
      <c r="M5" s="42"/>
      <c r="N5" s="5"/>
    </row>
    <row r="6" spans="1:14" ht="19.5">
      <c r="A6" s="23" t="s">
        <v>339</v>
      </c>
      <c r="B6" s="5"/>
      <c r="C6" s="6"/>
      <c r="D6" s="5"/>
      <c r="E6" s="5"/>
      <c r="F6" s="5"/>
      <c r="G6" s="5"/>
      <c r="H6" s="7"/>
      <c r="I6" s="42"/>
      <c r="J6" s="9"/>
      <c r="K6" s="5"/>
      <c r="L6" s="42"/>
      <c r="M6" s="42"/>
      <c r="N6" s="5"/>
    </row>
    <row r="7" spans="1:14" ht="18.75">
      <c r="A7" s="23"/>
      <c r="B7" s="5"/>
      <c r="C7" s="6"/>
      <c r="D7" s="5"/>
      <c r="E7" s="5"/>
      <c r="F7" s="5"/>
      <c r="G7" s="5"/>
      <c r="H7" s="7"/>
      <c r="I7" s="42"/>
      <c r="J7" s="9"/>
      <c r="K7" s="5"/>
      <c r="L7" s="42"/>
      <c r="M7" s="42"/>
      <c r="N7" s="5"/>
    </row>
    <row r="8" spans="1:14" ht="18.75">
      <c r="A8" s="5"/>
      <c r="B8" s="5"/>
      <c r="C8" s="6"/>
      <c r="D8" s="5"/>
      <c r="E8" s="5"/>
      <c r="F8" s="5"/>
      <c r="G8" s="5"/>
      <c r="H8" s="7"/>
      <c r="I8" s="42"/>
      <c r="J8" s="9"/>
      <c r="K8" s="5"/>
      <c r="L8" s="42"/>
      <c r="M8" s="42"/>
      <c r="N8" s="5"/>
    </row>
    <row r="9" spans="1:14" ht="18.75">
      <c r="A9" s="66" t="s">
        <v>265</v>
      </c>
      <c r="B9" s="64"/>
      <c r="C9" s="65"/>
      <c r="D9" s="5"/>
      <c r="E9" s="5"/>
      <c r="F9" s="5"/>
      <c r="G9" s="5"/>
      <c r="H9" s="7"/>
      <c r="I9" s="42"/>
      <c r="J9" s="9"/>
      <c r="K9" s="5"/>
      <c r="L9" s="42"/>
      <c r="M9" s="42"/>
      <c r="N9" s="5"/>
    </row>
    <row r="10" spans="1:14" ht="18.75">
      <c r="A10" s="66" t="s">
        <v>112</v>
      </c>
      <c r="B10" s="64"/>
      <c r="C10" s="65"/>
      <c r="D10" s="5"/>
      <c r="E10" s="5"/>
      <c r="F10" s="5"/>
      <c r="G10" s="5"/>
      <c r="H10" s="7"/>
      <c r="I10" s="42"/>
      <c r="J10" s="9"/>
      <c r="K10" s="5"/>
      <c r="L10" s="42"/>
      <c r="M10" s="42"/>
      <c r="N10" s="5"/>
    </row>
    <row r="11" spans="1:14" ht="18.75">
      <c r="A11" s="66" t="s">
        <v>266</v>
      </c>
      <c r="B11" s="64"/>
      <c r="C11" s="65"/>
      <c r="D11" s="5"/>
      <c r="E11" s="5"/>
      <c r="F11" s="5"/>
      <c r="G11" s="5"/>
      <c r="H11" s="7"/>
      <c r="I11" s="42"/>
      <c r="J11" s="9"/>
      <c r="K11" s="5"/>
      <c r="L11" s="42"/>
      <c r="M11" s="42"/>
      <c r="N11" s="5"/>
    </row>
    <row r="12" spans="1:14" ht="18.75">
      <c r="A12" s="66" t="s">
        <v>267</v>
      </c>
      <c r="B12" s="64"/>
      <c r="C12" s="65"/>
      <c r="D12" s="5"/>
      <c r="E12" s="5"/>
      <c r="F12" s="5"/>
      <c r="G12" s="5"/>
      <c r="H12" s="7"/>
      <c r="I12" s="42"/>
      <c r="J12" s="9"/>
      <c r="K12" s="5"/>
      <c r="L12" s="42"/>
      <c r="M12" s="42"/>
      <c r="N12" s="5"/>
    </row>
    <row r="13" spans="1:14" ht="18.75">
      <c r="A13" s="54"/>
      <c r="B13" s="43"/>
      <c r="C13" s="16"/>
      <c r="D13" s="16"/>
      <c r="E13" s="5"/>
      <c r="F13" s="5"/>
      <c r="G13" s="5"/>
      <c r="H13" s="7"/>
      <c r="I13" s="42"/>
      <c r="J13" s="9"/>
      <c r="K13" s="5"/>
      <c r="L13" s="42"/>
      <c r="M13" s="42"/>
      <c r="N13" s="5"/>
    </row>
    <row r="14" spans="1:14" s="28" customFormat="1" ht="15.75">
      <c r="A14" s="8"/>
      <c r="B14" s="8"/>
      <c r="C14" s="30"/>
      <c r="D14" s="8"/>
      <c r="E14" s="30" t="s">
        <v>253</v>
      </c>
      <c r="F14" s="8"/>
      <c r="G14" s="8"/>
      <c r="H14" s="9"/>
      <c r="I14" s="34"/>
      <c r="J14" s="34"/>
      <c r="K14" s="41"/>
      <c r="L14" s="34"/>
      <c r="M14" s="34"/>
      <c r="N14" s="8"/>
    </row>
    <row r="15" spans="1:14" s="28" customFormat="1" ht="15.75">
      <c r="A15" s="8"/>
      <c r="B15" s="8"/>
      <c r="C15" s="30"/>
      <c r="D15" s="8"/>
      <c r="E15" s="30"/>
      <c r="F15" s="8"/>
      <c r="G15" s="8"/>
      <c r="H15" s="9"/>
      <c r="I15" s="34"/>
      <c r="J15" s="34"/>
      <c r="K15" s="41"/>
      <c r="L15" s="34"/>
      <c r="M15" s="34"/>
      <c r="N15" s="8"/>
    </row>
    <row r="16" spans="1:14" ht="18.75">
      <c r="A16" s="416" t="s">
        <v>342</v>
      </c>
      <c r="B16" s="62"/>
      <c r="C16" s="62"/>
      <c r="D16" s="62"/>
      <c r="E16" s="30"/>
      <c r="F16" s="8"/>
      <c r="G16" s="5"/>
      <c r="H16" s="7"/>
      <c r="I16" s="35"/>
      <c r="J16" s="34"/>
      <c r="K16" s="33"/>
      <c r="L16" s="33"/>
      <c r="M16" s="33"/>
      <c r="N16" s="5"/>
    </row>
    <row r="17" spans="1:14" ht="18.75">
      <c r="A17" s="417" t="s">
        <v>817</v>
      </c>
      <c r="B17" s="62"/>
      <c r="C17" s="62"/>
      <c r="D17" s="62"/>
      <c r="E17" s="30"/>
      <c r="F17" s="8"/>
      <c r="G17" s="5"/>
      <c r="H17" s="7"/>
      <c r="I17" s="33"/>
      <c r="J17" s="34"/>
      <c r="K17" s="33"/>
      <c r="L17" s="33"/>
      <c r="M17" s="33"/>
      <c r="N17" s="5"/>
    </row>
    <row r="18" spans="1:8" ht="15.75">
      <c r="A18" s="68" t="s">
        <v>816</v>
      </c>
      <c r="B18" s="8"/>
      <c r="C18" s="69"/>
      <c r="D18" s="8"/>
      <c r="E18" s="30"/>
      <c r="F18" s="8"/>
      <c r="H18" s="1"/>
    </row>
    <row r="19" spans="1:9" ht="15.75">
      <c r="A19" s="417" t="s">
        <v>731</v>
      </c>
      <c r="B19" s="200"/>
      <c r="C19" s="418"/>
      <c r="D19" s="418"/>
      <c r="E19" s="30"/>
      <c r="F19" s="8"/>
      <c r="H19" s="1"/>
      <c r="I19" s="81"/>
    </row>
    <row r="20" spans="1:8" ht="15.75">
      <c r="A20" s="68" t="s">
        <v>732</v>
      </c>
      <c r="B20" s="8"/>
      <c r="C20" s="69"/>
      <c r="D20" s="8"/>
      <c r="E20" s="30"/>
      <c r="F20" s="8"/>
      <c r="H20" s="1"/>
    </row>
    <row r="21" spans="1:8" ht="15.75">
      <c r="A21" s="68" t="s">
        <v>117</v>
      </c>
      <c r="B21" s="200"/>
      <c r="C21" s="418"/>
      <c r="D21" s="418"/>
      <c r="E21" s="26"/>
      <c r="F21" s="8"/>
      <c r="H21" s="1"/>
    </row>
    <row r="22" spans="1:9" ht="15.75">
      <c r="A22" s="87" t="s">
        <v>733</v>
      </c>
      <c r="B22" s="200"/>
      <c r="C22" s="418"/>
      <c r="D22" s="418"/>
      <c r="E22" s="26"/>
      <c r="F22" s="8"/>
      <c r="H22" s="1"/>
      <c r="I22" s="107"/>
    </row>
    <row r="23" spans="1:23" ht="15.75">
      <c r="A23" s="68" t="s">
        <v>579</v>
      </c>
      <c r="B23" s="527"/>
      <c r="C23" s="422"/>
      <c r="D23" s="18"/>
      <c r="E23" s="18"/>
      <c r="F23" s="8"/>
      <c r="H23" s="1"/>
      <c r="I23" s="39"/>
      <c r="J23" s="38"/>
      <c r="K23" s="39"/>
      <c r="L23" s="39"/>
      <c r="M23" s="3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>
      <c r="A24" s="68" t="s">
        <v>736</v>
      </c>
      <c r="B24" s="527"/>
      <c r="C24" s="422"/>
      <c r="D24" s="18"/>
      <c r="E24" s="18"/>
      <c r="F24" s="18"/>
      <c r="H24" s="1"/>
      <c r="I24" s="151"/>
      <c r="J24" s="38"/>
      <c r="K24" s="39"/>
      <c r="L24" s="39"/>
      <c r="M24" s="3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>
      <c r="A25" s="68" t="s">
        <v>852</v>
      </c>
      <c r="B25" s="8"/>
      <c r="C25" s="69"/>
      <c r="D25" s="8"/>
      <c r="E25" s="30"/>
      <c r="F25" s="8"/>
      <c r="H25" s="1"/>
      <c r="I25" s="39"/>
      <c r="J25" s="38"/>
      <c r="K25" s="39"/>
      <c r="L25" s="39"/>
      <c r="M25" s="3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>
      <c r="A26" s="68" t="s">
        <v>580</v>
      </c>
      <c r="B26" s="8"/>
      <c r="C26" s="69"/>
      <c r="D26" s="8"/>
      <c r="E26" s="30"/>
      <c r="F26" s="8"/>
      <c r="H26" s="1"/>
      <c r="I26" s="39"/>
      <c r="J26" s="38"/>
      <c r="K26" s="39"/>
      <c r="L26" s="39"/>
      <c r="M26" s="3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>
      <c r="A27" s="68" t="s">
        <v>581</v>
      </c>
      <c r="B27" s="8"/>
      <c r="C27" s="69"/>
      <c r="D27" s="8"/>
      <c r="E27" s="30"/>
      <c r="F27" s="8"/>
      <c r="H27" s="1"/>
      <c r="I27" s="39"/>
      <c r="J27" s="38"/>
      <c r="K27" s="39"/>
      <c r="L27" s="39"/>
      <c r="M27" s="3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6.5" customHeight="1">
      <c r="A28" s="68" t="s">
        <v>285</v>
      </c>
      <c r="B28" s="8"/>
      <c r="C28" s="69"/>
      <c r="D28" s="8"/>
      <c r="E28" s="30"/>
      <c r="F28" s="18"/>
      <c r="G28" s="18"/>
      <c r="H28" s="21"/>
      <c r="I28" s="39"/>
      <c r="J28" s="38"/>
      <c r="K28" s="39"/>
      <c r="L28" s="39"/>
      <c r="M28" s="3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customHeight="1">
      <c r="A29" s="68" t="s">
        <v>286</v>
      </c>
      <c r="B29" s="8"/>
      <c r="C29" s="69"/>
      <c r="D29" s="8"/>
      <c r="E29" s="30"/>
      <c r="F29" s="18"/>
      <c r="G29" s="18"/>
      <c r="H29" s="21"/>
      <c r="I29" s="39"/>
      <c r="J29" s="38"/>
      <c r="K29" s="39"/>
      <c r="L29" s="39"/>
      <c r="M29" s="3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customHeight="1">
      <c r="A30" s="68" t="s">
        <v>287</v>
      </c>
      <c r="B30" s="8"/>
      <c r="C30" s="69"/>
      <c r="D30" s="8"/>
      <c r="E30" s="30"/>
      <c r="F30" s="18"/>
      <c r="G30" s="18"/>
      <c r="H30" s="21"/>
      <c r="I30" s="39"/>
      <c r="J30" s="38"/>
      <c r="K30" s="39"/>
      <c r="L30" s="39"/>
      <c r="M30" s="3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8.75">
      <c r="A31" s="68" t="s">
        <v>419</v>
      </c>
      <c r="B31" s="8"/>
      <c r="C31" s="69"/>
      <c r="D31" s="8"/>
      <c r="E31" s="30"/>
      <c r="F31" s="950"/>
      <c r="G31" s="950"/>
      <c r="H31" s="17"/>
      <c r="I31" s="951"/>
      <c r="J31" s="37"/>
      <c r="K31" s="951"/>
      <c r="L31" s="951"/>
      <c r="M31" s="3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10" ht="15.75">
      <c r="A32" s="68" t="s">
        <v>420</v>
      </c>
      <c r="B32" s="8"/>
      <c r="C32" s="69"/>
      <c r="D32" s="8"/>
      <c r="E32" s="30"/>
      <c r="F32" s="8"/>
      <c r="H32" s="1"/>
      <c r="J32" s="72"/>
    </row>
    <row r="33" spans="1:10" ht="15.75">
      <c r="A33" s="68"/>
      <c r="B33" s="8"/>
      <c r="C33" s="69"/>
      <c r="D33" s="8"/>
      <c r="E33" s="30"/>
      <c r="F33" s="8"/>
      <c r="H33" s="1"/>
      <c r="J33" s="72"/>
    </row>
    <row r="34" spans="1:10" ht="15.75">
      <c r="A34" s="68"/>
      <c r="B34" s="8"/>
      <c r="C34" s="69"/>
      <c r="D34" s="8"/>
      <c r="E34" s="30"/>
      <c r="F34" s="8"/>
      <c r="H34" s="1"/>
      <c r="J34" s="72"/>
    </row>
    <row r="35" spans="1:10" ht="15.75">
      <c r="A35" s="558"/>
      <c r="B35" s="8"/>
      <c r="C35" s="69"/>
      <c r="D35" s="8"/>
      <c r="E35" s="30"/>
      <c r="F35" s="8"/>
      <c r="H35" s="1"/>
      <c r="J35" s="72"/>
    </row>
    <row r="36" spans="1:12" ht="18.75">
      <c r="A36" s="70" t="s">
        <v>268</v>
      </c>
      <c r="B36" s="67"/>
      <c r="C36" s="67"/>
      <c r="I36" s="71"/>
      <c r="J36" s="72"/>
      <c r="K36" s="73"/>
      <c r="L36" s="74"/>
    </row>
    <row r="37" spans="1:11" ht="15.75">
      <c r="A37" s="75"/>
      <c r="B37" s="76"/>
      <c r="C37" s="76"/>
      <c r="D37" s="26"/>
      <c r="E37" s="26"/>
      <c r="F37" s="77"/>
      <c r="H37" s="77"/>
      <c r="I37" s="78"/>
      <c r="K37" s="73"/>
    </row>
    <row r="38" spans="1:11" ht="15.75">
      <c r="A38" s="75" t="s">
        <v>269</v>
      </c>
      <c r="B38" s="76"/>
      <c r="C38" s="76"/>
      <c r="D38" s="26"/>
      <c r="E38" s="26"/>
      <c r="F38" s="77"/>
      <c r="H38" s="77">
        <f>H42+H71</f>
        <v>413108643.66999996</v>
      </c>
      <c r="I38" s="78"/>
      <c r="K38" s="73"/>
    </row>
    <row r="39" spans="1:11" ht="15.75">
      <c r="A39" s="75" t="s">
        <v>270</v>
      </c>
      <c r="B39" s="76"/>
      <c r="C39" s="76"/>
      <c r="D39" s="26"/>
      <c r="E39" s="26"/>
      <c r="F39" s="77"/>
      <c r="H39" s="77">
        <f>H43+H72</f>
        <v>409376500.57</v>
      </c>
      <c r="I39" s="201"/>
      <c r="K39" s="73"/>
    </row>
    <row r="40" spans="1:11" ht="18.75">
      <c r="A40" s="79" t="s">
        <v>271</v>
      </c>
      <c r="B40" s="80"/>
      <c r="C40" s="80"/>
      <c r="D40" s="26"/>
      <c r="E40" s="26"/>
      <c r="F40" s="77"/>
      <c r="H40" s="77"/>
      <c r="I40" s="201"/>
      <c r="J40" s="72"/>
      <c r="K40" s="74"/>
    </row>
    <row r="41" spans="1:11" ht="15.75">
      <c r="A41" s="79"/>
      <c r="B41" s="80"/>
      <c r="C41" s="80"/>
      <c r="D41" s="26"/>
      <c r="E41" s="26"/>
      <c r="F41" s="77"/>
      <c r="H41" s="77"/>
      <c r="I41" s="201"/>
      <c r="K41" s="73"/>
    </row>
    <row r="42" spans="1:11" ht="15.75">
      <c r="A42" s="75" t="s">
        <v>341</v>
      </c>
      <c r="B42" s="76"/>
      <c r="C42" s="76"/>
      <c r="D42" s="82"/>
      <c r="E42" s="26"/>
      <c r="F42" s="1"/>
      <c r="H42" s="77">
        <f>H45+H63</f>
        <v>286031045.96</v>
      </c>
      <c r="I42" s="201"/>
      <c r="K42" s="73"/>
    </row>
    <row r="43" spans="1:12" ht="15.75">
      <c r="A43" s="75" t="s">
        <v>270</v>
      </c>
      <c r="B43" s="76"/>
      <c r="C43" s="76"/>
      <c r="D43" s="82"/>
      <c r="E43" s="26"/>
      <c r="F43" s="1"/>
      <c r="H43" s="77">
        <f>H46+H64</f>
        <v>282033912.86</v>
      </c>
      <c r="I43" s="201"/>
      <c r="K43" s="81"/>
      <c r="L43" s="122"/>
    </row>
    <row r="44" spans="1:11" ht="15.75">
      <c r="A44" s="79"/>
      <c r="B44" s="67" t="s">
        <v>272</v>
      </c>
      <c r="C44" s="80"/>
      <c r="D44" s="26"/>
      <c r="E44" s="26"/>
      <c r="F44" s="1"/>
      <c r="H44" s="77"/>
      <c r="I44" s="201"/>
      <c r="J44" s="72"/>
      <c r="K44" s="73"/>
    </row>
    <row r="45" spans="1:11" ht="15.75">
      <c r="A45" s="83" t="s">
        <v>276</v>
      </c>
      <c r="B45" s="76"/>
      <c r="C45" s="76"/>
      <c r="D45" s="26"/>
      <c r="E45" s="26"/>
      <c r="F45" s="1"/>
      <c r="H45" s="77">
        <v>264115358.44</v>
      </c>
      <c r="I45" s="201"/>
      <c r="K45" s="73"/>
    </row>
    <row r="46" spans="1:11" ht="15.75">
      <c r="A46" s="83" t="s">
        <v>270</v>
      </c>
      <c r="B46" s="76"/>
      <c r="C46" s="76"/>
      <c r="D46" s="26"/>
      <c r="E46" s="26"/>
      <c r="F46" s="1"/>
      <c r="H46" s="77">
        <f>H45-D124+D123+D95+F124-F122-F121</f>
        <v>264023917.84</v>
      </c>
      <c r="I46" s="201"/>
      <c r="J46" s="107"/>
      <c r="K46" s="73"/>
    </row>
    <row r="47" spans="1:12" ht="18" customHeight="1">
      <c r="A47" s="83"/>
      <c r="B47" s="84" t="s">
        <v>134</v>
      </c>
      <c r="C47" s="76"/>
      <c r="D47" s="26"/>
      <c r="E47" s="26"/>
      <c r="F47" s="1"/>
      <c r="H47" s="77"/>
      <c r="I47" s="201"/>
      <c r="K47" s="32"/>
      <c r="L47" s="122"/>
    </row>
    <row r="48" spans="1:11" ht="15.75">
      <c r="A48" s="83"/>
      <c r="B48" s="199" t="s">
        <v>390</v>
      </c>
      <c r="C48" s="76"/>
      <c r="D48" s="26"/>
      <c r="E48" s="26"/>
      <c r="F48" s="1"/>
      <c r="H48" s="1"/>
      <c r="I48" s="201"/>
      <c r="K48" s="32"/>
    </row>
    <row r="49" spans="1:11" ht="15.75">
      <c r="A49" s="83"/>
      <c r="B49" s="199" t="s">
        <v>391</v>
      </c>
      <c r="C49" s="80"/>
      <c r="D49" s="26"/>
      <c r="E49" s="26"/>
      <c r="F49" s="1"/>
      <c r="H49" s="1">
        <v>6326682.73</v>
      </c>
      <c r="I49" s="201"/>
      <c r="K49" s="107"/>
    </row>
    <row r="50" spans="1:11" ht="15.75">
      <c r="A50" s="83"/>
      <c r="B50" s="199" t="s">
        <v>277</v>
      </c>
      <c r="C50" s="84"/>
      <c r="D50" s="199"/>
      <c r="E50" s="26"/>
      <c r="F50" s="1"/>
      <c r="H50" s="1">
        <f>H49-D119-D120+F116</f>
        <v>6348425.130000001</v>
      </c>
      <c r="I50" s="201"/>
      <c r="K50" s="81"/>
    </row>
    <row r="51" spans="1:11" ht="15.75">
      <c r="A51" s="83"/>
      <c r="B51" s="199"/>
      <c r="C51" s="84"/>
      <c r="D51" s="199"/>
      <c r="E51" s="26"/>
      <c r="F51" s="1"/>
      <c r="H51" s="1"/>
      <c r="I51" s="201"/>
      <c r="K51" s="81"/>
    </row>
    <row r="52" spans="1:12" ht="15.75">
      <c r="A52" s="83"/>
      <c r="B52" s="84"/>
      <c r="C52" s="76"/>
      <c r="D52" s="26"/>
      <c r="E52" s="26"/>
      <c r="F52" s="1"/>
      <c r="H52" s="77"/>
      <c r="I52" s="201"/>
      <c r="K52" s="81"/>
      <c r="L52" s="122"/>
    </row>
    <row r="53" spans="1:12" ht="15.75">
      <c r="A53" s="689"/>
      <c r="B53" s="84" t="s">
        <v>666</v>
      </c>
      <c r="C53" s="84"/>
      <c r="D53" s="199"/>
      <c r="E53" s="26"/>
      <c r="F53" s="1"/>
      <c r="H53" s="77"/>
      <c r="I53" s="201"/>
      <c r="K53" s="81"/>
      <c r="L53" s="122"/>
    </row>
    <row r="54" spans="1:12" ht="15.75">
      <c r="A54" s="689"/>
      <c r="B54" s="84" t="s">
        <v>667</v>
      </c>
      <c r="C54" s="84"/>
      <c r="D54" s="199"/>
      <c r="E54" s="26"/>
      <c r="F54" s="1"/>
      <c r="H54" s="77">
        <v>21193430.5</v>
      </c>
      <c r="I54" s="201"/>
      <c r="K54" s="81"/>
      <c r="L54" s="122"/>
    </row>
    <row r="55" spans="1:12" ht="15.75">
      <c r="A55" s="689" t="s">
        <v>82</v>
      </c>
      <c r="B55" s="84" t="s">
        <v>83</v>
      </c>
      <c r="C55" s="84"/>
      <c r="D55" s="199"/>
      <c r="E55" s="26"/>
      <c r="F55" s="1"/>
      <c r="H55" s="77">
        <f>H54+G124</f>
        <v>21218430.5</v>
      </c>
      <c r="I55" s="201"/>
      <c r="K55" s="81"/>
      <c r="L55" s="122"/>
    </row>
    <row r="56" spans="1:11" ht="15.75">
      <c r="A56" s="83"/>
      <c r="B56" s="199"/>
      <c r="C56" s="84"/>
      <c r="D56" s="199"/>
      <c r="E56" s="26"/>
      <c r="F56" s="1"/>
      <c r="H56" s="1"/>
      <c r="I56" s="201"/>
      <c r="K56" s="81"/>
    </row>
    <row r="57" spans="1:11" ht="15.75">
      <c r="A57" s="83"/>
      <c r="B57" s="199"/>
      <c r="C57" s="84"/>
      <c r="D57" s="199"/>
      <c r="E57" s="26"/>
      <c r="F57" s="1"/>
      <c r="H57" s="1"/>
      <c r="I57" s="201"/>
      <c r="K57" s="32"/>
    </row>
    <row r="58" spans="1:11" ht="15.75">
      <c r="A58" s="83"/>
      <c r="B58" s="199" t="s">
        <v>698</v>
      </c>
      <c r="C58" s="84"/>
      <c r="D58" s="199"/>
      <c r="E58" s="26"/>
      <c r="F58" s="1"/>
      <c r="H58" s="1"/>
      <c r="I58" s="201"/>
      <c r="K58" s="32"/>
    </row>
    <row r="59" spans="1:11" ht="15.75">
      <c r="A59" s="83"/>
      <c r="B59" s="199" t="s">
        <v>699</v>
      </c>
      <c r="C59" s="84"/>
      <c r="D59" s="199"/>
      <c r="E59" s="26"/>
      <c r="F59" s="1"/>
      <c r="H59" s="1">
        <v>8000000</v>
      </c>
      <c r="I59" s="201"/>
      <c r="K59" s="32"/>
    </row>
    <row r="60" spans="1:11" ht="15.75">
      <c r="A60" s="83"/>
      <c r="B60" s="199" t="s">
        <v>277</v>
      </c>
      <c r="C60" s="84"/>
      <c r="D60" s="199"/>
      <c r="E60" s="26"/>
      <c r="F60" s="1"/>
      <c r="H60" s="1">
        <f>H59-D101</f>
        <v>7250000</v>
      </c>
      <c r="I60" s="201"/>
      <c r="K60" s="32"/>
    </row>
    <row r="61" spans="1:11" ht="15.75">
      <c r="A61" s="83"/>
      <c r="B61" s="199"/>
      <c r="C61" s="84"/>
      <c r="D61" s="199"/>
      <c r="E61" s="26"/>
      <c r="F61" s="1"/>
      <c r="H61" s="1"/>
      <c r="I61" s="201"/>
      <c r="K61" s="32"/>
    </row>
    <row r="62" spans="1:11" ht="15.75">
      <c r="A62" s="83"/>
      <c r="B62" s="199"/>
      <c r="C62" s="84"/>
      <c r="D62" s="199"/>
      <c r="E62" s="26"/>
      <c r="F62" s="1"/>
      <c r="H62" s="1"/>
      <c r="I62" s="201"/>
      <c r="K62" s="107"/>
    </row>
    <row r="63" spans="1:11" ht="15.75">
      <c r="A63" s="83" t="s">
        <v>392</v>
      </c>
      <c r="B63" s="76"/>
      <c r="C63" s="76"/>
      <c r="D63" s="26"/>
      <c r="E63" s="26"/>
      <c r="F63" s="1"/>
      <c r="H63" s="77">
        <v>21915687.52</v>
      </c>
      <c r="I63" s="201"/>
      <c r="K63" s="73"/>
    </row>
    <row r="64" spans="1:11" ht="15.75">
      <c r="A64" s="83" t="s">
        <v>270</v>
      </c>
      <c r="B64" s="76"/>
      <c r="C64" s="76"/>
      <c r="D64" s="26"/>
      <c r="E64" s="26"/>
      <c r="F64" s="1"/>
      <c r="H64" s="77">
        <f>H63-D95-D123+F122+F121</f>
        <v>18009995.02</v>
      </c>
      <c r="I64" s="201"/>
      <c r="K64" s="73"/>
    </row>
    <row r="65" spans="1:11" ht="15.75">
      <c r="A65" s="83"/>
      <c r="B65" s="84" t="s">
        <v>134</v>
      </c>
      <c r="C65" s="76"/>
      <c r="D65" s="26"/>
      <c r="E65" s="26"/>
      <c r="F65" s="1"/>
      <c r="H65" s="1"/>
      <c r="I65" s="201"/>
      <c r="K65" s="73"/>
    </row>
    <row r="66" spans="1:11" ht="15.75">
      <c r="A66" s="83"/>
      <c r="B66" s="199" t="s">
        <v>390</v>
      </c>
      <c r="C66" s="76"/>
      <c r="D66" s="26"/>
      <c r="E66" s="26"/>
      <c r="F66" s="1"/>
      <c r="H66" s="1"/>
      <c r="I66" s="201"/>
      <c r="K66" s="73"/>
    </row>
    <row r="67" spans="1:11" ht="15.75">
      <c r="A67" s="83"/>
      <c r="B67" s="199" t="s">
        <v>391</v>
      </c>
      <c r="C67" s="80"/>
      <c r="D67" s="26"/>
      <c r="E67" s="26"/>
      <c r="F67" s="1"/>
      <c r="H67" s="1">
        <v>2497896.86</v>
      </c>
      <c r="I67" s="201"/>
      <c r="K67" s="73"/>
    </row>
    <row r="68" spans="1:11" ht="15.75">
      <c r="A68" s="83"/>
      <c r="B68" s="199" t="s">
        <v>277</v>
      </c>
      <c r="C68" s="84"/>
      <c r="D68" s="199"/>
      <c r="E68" s="26"/>
      <c r="F68" s="1"/>
      <c r="H68" s="1">
        <f>H67-D123+F122+F121</f>
        <v>2292204.36</v>
      </c>
      <c r="I68" s="201"/>
      <c r="K68" s="73"/>
    </row>
    <row r="69" spans="1:11" ht="15.75">
      <c r="A69" s="83"/>
      <c r="B69" s="76"/>
      <c r="C69" s="76"/>
      <c r="D69" s="26"/>
      <c r="E69" s="26"/>
      <c r="F69" s="1"/>
      <c r="H69" s="1"/>
      <c r="I69" s="201"/>
      <c r="K69" s="73"/>
    </row>
    <row r="70" spans="1:11" ht="15.75">
      <c r="A70" s="83"/>
      <c r="B70" s="199"/>
      <c r="C70" s="76"/>
      <c r="D70" s="26"/>
      <c r="E70" s="26"/>
      <c r="F70" s="1"/>
      <c r="H70" s="1"/>
      <c r="I70" s="201"/>
      <c r="K70" s="73"/>
    </row>
    <row r="71" spans="1:11" ht="15.75">
      <c r="A71" s="75" t="s">
        <v>396</v>
      </c>
      <c r="B71" s="76"/>
      <c r="C71" s="76"/>
      <c r="D71" s="82"/>
      <c r="E71" s="91"/>
      <c r="F71" s="1"/>
      <c r="H71" s="77">
        <f>H74+H82</f>
        <v>127077597.71</v>
      </c>
      <c r="I71" s="78"/>
      <c r="K71" s="73"/>
    </row>
    <row r="72" spans="1:11" ht="15.75">
      <c r="A72" s="75" t="s">
        <v>270</v>
      </c>
      <c r="B72" s="76"/>
      <c r="C72" s="76"/>
      <c r="D72" s="82"/>
      <c r="E72" s="91"/>
      <c r="F72" s="1"/>
      <c r="H72" s="77">
        <f>H75+H83</f>
        <v>127342587.71</v>
      </c>
      <c r="I72" s="201"/>
      <c r="K72" s="73"/>
    </row>
    <row r="73" spans="1:11" ht="15.75">
      <c r="A73" s="79"/>
      <c r="B73" s="67" t="s">
        <v>272</v>
      </c>
      <c r="C73" s="80"/>
      <c r="D73" s="26"/>
      <c r="E73" s="91"/>
      <c r="F73" s="1"/>
      <c r="H73" s="1"/>
      <c r="I73" s="201"/>
      <c r="K73" s="73"/>
    </row>
    <row r="74" spans="1:11" ht="15.75">
      <c r="A74" s="83" t="s">
        <v>276</v>
      </c>
      <c r="B74" s="76"/>
      <c r="C74" s="76"/>
      <c r="D74" s="26"/>
      <c r="E74" s="91"/>
      <c r="F74" s="1"/>
      <c r="H74" s="77">
        <v>119305097.71</v>
      </c>
      <c r="I74" s="201"/>
      <c r="K74" s="73"/>
    </row>
    <row r="75" spans="1:11" ht="15.75">
      <c r="A75" s="83" t="s">
        <v>270</v>
      </c>
      <c r="B75" s="76"/>
      <c r="C75" s="76"/>
      <c r="D75" s="26"/>
      <c r="E75" s="91"/>
      <c r="F75" s="1"/>
      <c r="H75" s="77">
        <f>H74-D145+F145-F144-F136</f>
        <v>119315087.71</v>
      </c>
      <c r="I75" s="201"/>
      <c r="K75" s="73"/>
    </row>
    <row r="76" spans="1:11" ht="15.75">
      <c r="A76" s="83"/>
      <c r="B76" s="80" t="s">
        <v>251</v>
      </c>
      <c r="C76" s="76"/>
      <c r="D76" s="26"/>
      <c r="E76" s="91"/>
      <c r="F76" s="1"/>
      <c r="H76" s="77"/>
      <c r="I76" s="201"/>
      <c r="K76" s="73"/>
    </row>
    <row r="77" spans="1:11" ht="15.75">
      <c r="A77" s="689"/>
      <c r="B77" s="84" t="s">
        <v>94</v>
      </c>
      <c r="C77" s="84"/>
      <c r="D77" s="199"/>
      <c r="E77" s="199"/>
      <c r="F77" s="974"/>
      <c r="H77" s="77"/>
      <c r="I77" s="201"/>
      <c r="K77" s="73"/>
    </row>
    <row r="78" spans="1:11" ht="15.75">
      <c r="A78" s="689"/>
      <c r="B78" s="84" t="s">
        <v>95</v>
      </c>
      <c r="C78" s="84"/>
      <c r="D78" s="199"/>
      <c r="E78" s="199"/>
      <c r="F78" s="974"/>
      <c r="H78" s="1">
        <v>10913721</v>
      </c>
      <c r="I78" s="201"/>
      <c r="K78" s="73"/>
    </row>
    <row r="79" spans="1:11" ht="15.75">
      <c r="A79" s="689" t="s">
        <v>82</v>
      </c>
      <c r="B79" s="84" t="s">
        <v>83</v>
      </c>
      <c r="C79" s="84"/>
      <c r="D79" s="199"/>
      <c r="E79" s="199"/>
      <c r="F79" s="974"/>
      <c r="H79" s="1">
        <f>H78+G145</f>
        <v>10914711</v>
      </c>
      <c r="I79" s="201"/>
      <c r="K79" s="73"/>
    </row>
    <row r="80" spans="1:11" ht="15.75">
      <c r="A80" s="83"/>
      <c r="B80" s="76"/>
      <c r="C80" s="76"/>
      <c r="D80" s="26"/>
      <c r="E80" s="91"/>
      <c r="F80" s="1"/>
      <c r="H80" s="77"/>
      <c r="I80" s="201"/>
      <c r="K80" s="73"/>
    </row>
    <row r="81" spans="1:11" ht="15.75">
      <c r="A81" s="83"/>
      <c r="B81" s="199"/>
      <c r="C81" s="84"/>
      <c r="D81" s="26"/>
      <c r="E81" s="91"/>
      <c r="F81" s="1"/>
      <c r="H81" s="1"/>
      <c r="I81" s="201"/>
      <c r="K81" s="73"/>
    </row>
    <row r="82" spans="1:11" ht="15.75">
      <c r="A82" s="83" t="s">
        <v>392</v>
      </c>
      <c r="B82" s="76"/>
      <c r="C82" s="76"/>
      <c r="D82" s="26"/>
      <c r="E82" s="91"/>
      <c r="F82" s="1"/>
      <c r="H82" s="77">
        <v>7772500</v>
      </c>
      <c r="I82" s="201"/>
      <c r="K82" s="73"/>
    </row>
    <row r="83" spans="1:11" ht="15.75">
      <c r="A83" s="83" t="s">
        <v>270</v>
      </c>
      <c r="B83" s="76"/>
      <c r="C83" s="76"/>
      <c r="D83" s="26"/>
      <c r="E83" s="91"/>
      <c r="F83" s="1"/>
      <c r="H83" s="77">
        <f>H82+F144+F136</f>
        <v>8027500</v>
      </c>
      <c r="I83" s="201"/>
      <c r="K83" s="73"/>
    </row>
    <row r="84" spans="1:11" ht="15.75">
      <c r="A84" s="83"/>
      <c r="B84" s="199"/>
      <c r="C84" s="84"/>
      <c r="D84" s="26"/>
      <c r="E84" s="91"/>
      <c r="F84" s="1"/>
      <c r="H84" s="1"/>
      <c r="I84" s="201"/>
      <c r="K84" s="73"/>
    </row>
    <row r="85" spans="1:11" ht="15.75">
      <c r="A85" s="83"/>
      <c r="B85" s="199"/>
      <c r="C85" s="76"/>
      <c r="D85" s="26"/>
      <c r="E85" s="26"/>
      <c r="F85" s="1"/>
      <c r="H85" s="1"/>
      <c r="I85" s="78"/>
      <c r="K85" s="73"/>
    </row>
    <row r="86" spans="1:11" ht="15.75">
      <c r="A86" s="83"/>
      <c r="B86" s="84"/>
      <c r="C86" s="76"/>
      <c r="D86" s="26"/>
      <c r="E86" s="26"/>
      <c r="F86" s="1"/>
      <c r="H86" s="1"/>
      <c r="I86" s="71"/>
      <c r="K86" s="73"/>
    </row>
    <row r="87" spans="1:11" ht="19.5">
      <c r="A87" s="88" t="s">
        <v>340</v>
      </c>
      <c r="B87" s="89"/>
      <c r="C87" s="90"/>
      <c r="D87" s="91"/>
      <c r="E87" s="91"/>
      <c r="F87" s="92"/>
      <c r="G87" s="92"/>
      <c r="H87" s="93"/>
      <c r="I87" s="71"/>
      <c r="K87" s="73"/>
    </row>
    <row r="88" spans="1:11" ht="19.5">
      <c r="A88" s="88"/>
      <c r="B88" s="89"/>
      <c r="C88" s="90"/>
      <c r="D88" s="91"/>
      <c r="E88" s="91"/>
      <c r="F88" s="92"/>
      <c r="G88" s="92"/>
      <c r="H88" s="93"/>
      <c r="I88" s="71"/>
      <c r="K88" s="73"/>
    </row>
    <row r="89" spans="1:11" ht="18.75">
      <c r="A89" s="97" t="s">
        <v>338</v>
      </c>
      <c r="B89" s="98"/>
      <c r="C89" s="99"/>
      <c r="D89" s="87"/>
      <c r="E89" s="87"/>
      <c r="F89" s="96"/>
      <c r="G89" s="96"/>
      <c r="I89" s="71"/>
      <c r="K89" s="73"/>
    </row>
    <row r="90" spans="1:11" ht="18.75">
      <c r="A90" s="97"/>
      <c r="B90" s="98"/>
      <c r="C90" s="99"/>
      <c r="D90" s="87"/>
      <c r="E90" s="87"/>
      <c r="F90" s="96"/>
      <c r="G90" s="96"/>
      <c r="I90" s="71"/>
      <c r="K90" s="73"/>
    </row>
    <row r="91" spans="1:11" ht="18.75">
      <c r="A91" s="94"/>
      <c r="B91" s="94"/>
      <c r="C91" s="94"/>
      <c r="D91" s="87"/>
      <c r="E91" s="87"/>
      <c r="F91" s="96"/>
      <c r="G91" s="96"/>
      <c r="I91" s="71"/>
      <c r="K91" s="73"/>
    </row>
    <row r="92" spans="1:11" ht="18.75">
      <c r="A92" s="100"/>
      <c r="B92" s="100"/>
      <c r="C92" s="101"/>
      <c r="D92" s="10" t="s">
        <v>278</v>
      </c>
      <c r="E92" s="11"/>
      <c r="F92" s="10" t="s">
        <v>281</v>
      </c>
      <c r="G92" s="11"/>
      <c r="I92" s="71"/>
      <c r="K92" s="73"/>
    </row>
    <row r="93" spans="1:11" ht="15" customHeight="1">
      <c r="A93" s="102"/>
      <c r="B93" s="102"/>
      <c r="C93" s="103"/>
      <c r="D93" s="12" t="s">
        <v>252</v>
      </c>
      <c r="E93" s="11" t="s">
        <v>251</v>
      </c>
      <c r="F93" s="12" t="s">
        <v>252</v>
      </c>
      <c r="G93" s="11" t="s">
        <v>251</v>
      </c>
      <c r="I93" s="71"/>
      <c r="K93" s="73"/>
    </row>
    <row r="94" spans="1:11" ht="21">
      <c r="A94" s="104" t="s">
        <v>254</v>
      </c>
      <c r="B94" s="104" t="s">
        <v>260</v>
      </c>
      <c r="C94" s="104" t="s">
        <v>255</v>
      </c>
      <c r="D94" s="13" t="s">
        <v>256</v>
      </c>
      <c r="E94" s="14" t="s">
        <v>257</v>
      </c>
      <c r="F94" s="13" t="s">
        <v>256</v>
      </c>
      <c r="G94" s="14" t="s">
        <v>257</v>
      </c>
      <c r="I94" s="71"/>
      <c r="K94" s="73"/>
    </row>
    <row r="95" spans="1:13" s="114" customFormat="1" ht="18.75">
      <c r="A95" s="206" t="s">
        <v>57</v>
      </c>
      <c r="B95" s="105" t="s">
        <v>145</v>
      </c>
      <c r="C95" s="109" t="s">
        <v>146</v>
      </c>
      <c r="D95" s="106">
        <v>3700000</v>
      </c>
      <c r="E95" s="106"/>
      <c r="F95" s="559"/>
      <c r="G95" s="120"/>
      <c r="H95" s="121"/>
      <c r="I95" s="71"/>
      <c r="J95" s="107"/>
      <c r="K95" s="73"/>
      <c r="L95" s="122"/>
      <c r="M95" s="122"/>
    </row>
    <row r="96" spans="1:13" s="114" customFormat="1" ht="18.75">
      <c r="A96" s="615" t="s">
        <v>385</v>
      </c>
      <c r="B96" s="108" t="s">
        <v>386</v>
      </c>
      <c r="C96" s="109"/>
      <c r="D96" s="106">
        <f>SUM(D97:D98)</f>
        <v>0</v>
      </c>
      <c r="E96" s="106">
        <f>SUM(E97:E98)</f>
        <v>0</v>
      </c>
      <c r="F96" s="106">
        <f>SUM(F97:F98)</f>
        <v>19229</v>
      </c>
      <c r="G96" s="120"/>
      <c r="H96" s="121"/>
      <c r="I96" s="71"/>
      <c r="J96" s="107"/>
      <c r="K96" s="73"/>
      <c r="L96" s="122"/>
      <c r="M96" s="122"/>
    </row>
    <row r="97" spans="1:13" s="114" customFormat="1" ht="18.75">
      <c r="A97" s="615"/>
      <c r="B97" s="108"/>
      <c r="C97" s="110" t="s">
        <v>375</v>
      </c>
      <c r="D97" s="106"/>
      <c r="E97" s="106"/>
      <c r="F97" s="686">
        <v>9509</v>
      </c>
      <c r="G97" s="120"/>
      <c r="H97" s="121"/>
      <c r="I97" s="71"/>
      <c r="J97" s="107"/>
      <c r="K97" s="73"/>
      <c r="L97" s="122"/>
      <c r="M97" s="122"/>
    </row>
    <row r="98" spans="1:13" s="114" customFormat="1" ht="18.75">
      <c r="A98" s="972"/>
      <c r="B98" s="550"/>
      <c r="C98" s="110" t="s">
        <v>125</v>
      </c>
      <c r="D98" s="106"/>
      <c r="E98" s="106"/>
      <c r="F98" s="936">
        <v>9720</v>
      </c>
      <c r="G98" s="120"/>
      <c r="H98" s="121"/>
      <c r="I98" s="71"/>
      <c r="J98" s="107"/>
      <c r="K98" s="73"/>
      <c r="L98" s="122"/>
      <c r="M98" s="122"/>
    </row>
    <row r="99" spans="1:13" s="114" customFormat="1" ht="18.75">
      <c r="A99" s="944" t="s">
        <v>714</v>
      </c>
      <c r="B99" s="550"/>
      <c r="C99" s="109"/>
      <c r="D99" s="106">
        <f>D100+D101</f>
        <v>750000</v>
      </c>
      <c r="E99" s="106"/>
      <c r="F99" s="106">
        <f>F100+F101</f>
        <v>200000</v>
      </c>
      <c r="G99" s="120"/>
      <c r="H99" s="121"/>
      <c r="I99" s="71"/>
      <c r="J99" s="107"/>
      <c r="K99" s="73"/>
      <c r="L99" s="122"/>
      <c r="M99" s="122"/>
    </row>
    <row r="100" spans="1:11" ht="18.75">
      <c r="A100" s="412"/>
      <c r="B100" s="110" t="s">
        <v>715</v>
      </c>
      <c r="C100" s="110" t="s">
        <v>716</v>
      </c>
      <c r="D100" s="111"/>
      <c r="E100" s="111"/>
      <c r="F100" s="686">
        <v>200000</v>
      </c>
      <c r="G100" s="123"/>
      <c r="I100" s="687"/>
      <c r="K100" s="85"/>
    </row>
    <row r="101" spans="1:11" ht="18.75">
      <c r="A101" s="124"/>
      <c r="B101" s="110" t="s">
        <v>422</v>
      </c>
      <c r="C101" s="110" t="s">
        <v>421</v>
      </c>
      <c r="D101" s="111">
        <v>750000</v>
      </c>
      <c r="E101" s="111"/>
      <c r="F101" s="686"/>
      <c r="G101" s="123"/>
      <c r="I101" s="687"/>
      <c r="K101" s="85"/>
    </row>
    <row r="102" spans="1:13" s="114" customFormat="1" ht="18.75">
      <c r="A102" s="949" t="s">
        <v>135</v>
      </c>
      <c r="B102" s="105"/>
      <c r="C102" s="105"/>
      <c r="D102" s="106"/>
      <c r="E102" s="106"/>
      <c r="F102" s="559">
        <f>F103+F104</f>
        <v>249000</v>
      </c>
      <c r="G102" s="120"/>
      <c r="H102" s="121"/>
      <c r="I102" s="71"/>
      <c r="J102" s="107"/>
      <c r="K102" s="73"/>
      <c r="L102" s="122"/>
      <c r="M102" s="122"/>
    </row>
    <row r="103" spans="1:11" ht="18.75">
      <c r="A103" s="412"/>
      <c r="B103" s="110" t="s">
        <v>288</v>
      </c>
      <c r="C103" s="207" t="s">
        <v>289</v>
      </c>
      <c r="D103" s="111"/>
      <c r="E103" s="111"/>
      <c r="F103" s="686">
        <f>14000+35000</f>
        <v>49000</v>
      </c>
      <c r="G103" s="123"/>
      <c r="I103" s="687"/>
      <c r="K103" s="85"/>
    </row>
    <row r="104" spans="1:11" ht="18.75">
      <c r="A104" s="124"/>
      <c r="B104" s="110" t="s">
        <v>712</v>
      </c>
      <c r="C104" s="207" t="s">
        <v>713</v>
      </c>
      <c r="D104" s="111"/>
      <c r="E104" s="111"/>
      <c r="F104" s="686">
        <v>200000</v>
      </c>
      <c r="G104" s="123"/>
      <c r="I104" s="687"/>
      <c r="K104" s="85"/>
    </row>
    <row r="105" spans="1:13" s="114" customFormat="1" ht="18.75">
      <c r="A105" s="105" t="s">
        <v>823</v>
      </c>
      <c r="B105" s="105"/>
      <c r="C105" s="105"/>
      <c r="D105" s="106">
        <f>D106+D109+D112+D116+D113</f>
        <v>3000</v>
      </c>
      <c r="E105" s="106">
        <f>E106+E109+E112+E116+E113</f>
        <v>0</v>
      </c>
      <c r="F105" s="106">
        <f>F106+F109+F112+F116+F113</f>
        <v>214330.4</v>
      </c>
      <c r="G105" s="559"/>
      <c r="H105" s="121"/>
      <c r="I105" s="71"/>
      <c r="J105" s="107"/>
      <c r="K105" s="73"/>
      <c r="L105" s="122"/>
      <c r="M105" s="122"/>
    </row>
    <row r="106" spans="1:13" s="114" customFormat="1" ht="18.75">
      <c r="A106" s="949"/>
      <c r="B106" s="413" t="s">
        <v>108</v>
      </c>
      <c r="C106" s="105"/>
      <c r="D106" s="106">
        <f>SUM(D107:D108)</f>
        <v>0</v>
      </c>
      <c r="E106" s="106">
        <f>SUM(E107:E108)</f>
        <v>0</v>
      </c>
      <c r="F106" s="106">
        <f>SUM(F107:F108)</f>
        <v>6968</v>
      </c>
      <c r="G106" s="125"/>
      <c r="H106" s="121"/>
      <c r="I106" s="71"/>
      <c r="J106" s="107"/>
      <c r="K106" s="73"/>
      <c r="L106" s="122"/>
      <c r="M106" s="122"/>
    </row>
    <row r="107" spans="1:13" s="114" customFormat="1" ht="18.75">
      <c r="A107" s="944"/>
      <c r="B107" s="412"/>
      <c r="C107" s="110" t="s">
        <v>376</v>
      </c>
      <c r="D107" s="106"/>
      <c r="E107" s="106"/>
      <c r="F107" s="111">
        <v>2880</v>
      </c>
      <c r="G107" s="125"/>
      <c r="H107" s="121"/>
      <c r="I107" s="71"/>
      <c r="J107" s="107"/>
      <c r="K107" s="73"/>
      <c r="L107" s="122"/>
      <c r="M107" s="122"/>
    </row>
    <row r="108" spans="1:11" ht="18.75">
      <c r="A108" s="112"/>
      <c r="B108" s="124"/>
      <c r="C108" s="110" t="s">
        <v>140</v>
      </c>
      <c r="D108" s="686"/>
      <c r="E108" s="111"/>
      <c r="F108" s="686">
        <f>1328+2760</f>
        <v>4088</v>
      </c>
      <c r="G108" s="123"/>
      <c r="I108" s="687"/>
      <c r="K108" s="85"/>
    </row>
    <row r="109" spans="1:11" ht="18.75">
      <c r="A109" s="113"/>
      <c r="B109" s="413" t="s">
        <v>517</v>
      </c>
      <c r="C109" s="110"/>
      <c r="D109" s="936">
        <f>SUM(D110:D111)</f>
        <v>3000</v>
      </c>
      <c r="E109" s="936"/>
      <c r="F109" s="936">
        <f>SUM(F110:F111)</f>
        <v>3000</v>
      </c>
      <c r="G109" s="123"/>
      <c r="I109" s="687"/>
      <c r="K109" s="85"/>
    </row>
    <row r="110" spans="1:11" ht="18.75">
      <c r="A110" s="113"/>
      <c r="B110" s="457"/>
      <c r="C110" s="110" t="s">
        <v>376</v>
      </c>
      <c r="D110" s="936"/>
      <c r="E110" s="111"/>
      <c r="F110" s="686">
        <v>3000</v>
      </c>
      <c r="G110" s="123"/>
      <c r="I110" s="687"/>
      <c r="K110" s="85"/>
    </row>
    <row r="111" spans="1:11" ht="18.75">
      <c r="A111" s="113"/>
      <c r="B111" s="692"/>
      <c r="C111" s="110" t="s">
        <v>377</v>
      </c>
      <c r="D111" s="936">
        <v>3000</v>
      </c>
      <c r="E111" s="111"/>
      <c r="F111" s="686"/>
      <c r="G111" s="123"/>
      <c r="I111" s="687"/>
      <c r="K111" s="85"/>
    </row>
    <row r="112" spans="1:11" ht="18.75">
      <c r="A112" s="113"/>
      <c r="B112" s="692" t="s">
        <v>55</v>
      </c>
      <c r="C112" s="110" t="s">
        <v>140</v>
      </c>
      <c r="D112" s="111"/>
      <c r="E112" s="111"/>
      <c r="F112" s="686">
        <v>1850</v>
      </c>
      <c r="G112" s="123"/>
      <c r="I112" s="687"/>
      <c r="K112" s="85"/>
    </row>
    <row r="113" spans="1:11" ht="18.75">
      <c r="A113" s="113"/>
      <c r="B113" s="110" t="s">
        <v>12</v>
      </c>
      <c r="C113" s="207"/>
      <c r="D113" s="939">
        <f>SUM(D114:D115)</f>
        <v>0</v>
      </c>
      <c r="E113" s="939">
        <f>SUM(E114:E115)</f>
        <v>0</v>
      </c>
      <c r="F113" s="939">
        <f>SUM(F114:F115)</f>
        <v>134770</v>
      </c>
      <c r="G113" s="939"/>
      <c r="I113" s="687"/>
      <c r="K113" s="85"/>
    </row>
    <row r="114" spans="1:11" ht="18.75">
      <c r="A114" s="113"/>
      <c r="B114" s="457"/>
      <c r="C114" s="110" t="s">
        <v>377</v>
      </c>
      <c r="D114" s="111"/>
      <c r="E114" s="111"/>
      <c r="F114" s="936">
        <f>16546+13293+4950+9184+7741+16366</f>
        <v>68080</v>
      </c>
      <c r="G114" s="123"/>
      <c r="I114" s="687"/>
      <c r="K114" s="85"/>
    </row>
    <row r="115" spans="1:11" ht="18.75">
      <c r="A115" s="113"/>
      <c r="B115" s="413"/>
      <c r="C115" s="110" t="s">
        <v>140</v>
      </c>
      <c r="D115" s="111"/>
      <c r="E115" s="111"/>
      <c r="F115" s="936">
        <f>66690</f>
        <v>66690</v>
      </c>
      <c r="G115" s="123"/>
      <c r="I115" s="687"/>
      <c r="K115" s="85"/>
    </row>
    <row r="116" spans="1:11" ht="18.75">
      <c r="A116" s="124"/>
      <c r="B116" s="207" t="s">
        <v>239</v>
      </c>
      <c r="C116" s="110" t="s">
        <v>240</v>
      </c>
      <c r="D116" s="111"/>
      <c r="E116" s="111"/>
      <c r="F116" s="936">
        <v>67742.4</v>
      </c>
      <c r="G116" s="123"/>
      <c r="I116" s="687"/>
      <c r="K116" s="85"/>
    </row>
    <row r="117" spans="1:11" ht="18.75">
      <c r="A117" s="550" t="s">
        <v>393</v>
      </c>
      <c r="B117" s="973" t="s">
        <v>394</v>
      </c>
      <c r="C117" s="109" t="s">
        <v>395</v>
      </c>
      <c r="D117" s="111"/>
      <c r="E117" s="111"/>
      <c r="F117" s="985">
        <v>25000</v>
      </c>
      <c r="G117" s="120">
        <v>25000</v>
      </c>
      <c r="I117" s="687"/>
      <c r="K117" s="85"/>
    </row>
    <row r="118" spans="1:13" s="114" customFormat="1" ht="18.75">
      <c r="A118" s="550" t="s">
        <v>516</v>
      </c>
      <c r="B118" s="157" t="s">
        <v>291</v>
      </c>
      <c r="C118" s="109"/>
      <c r="D118" s="106">
        <f>SUM(D119:D122)</f>
        <v>46000</v>
      </c>
      <c r="E118" s="106"/>
      <c r="F118" s="106">
        <f>SUM(F119:F122)</f>
        <v>40000</v>
      </c>
      <c r="G118" s="120"/>
      <c r="H118" s="121"/>
      <c r="I118" s="71"/>
      <c r="J118" s="107"/>
      <c r="K118" s="73"/>
      <c r="L118" s="122"/>
      <c r="M118" s="122"/>
    </row>
    <row r="119" spans="1:11" ht="18.75">
      <c r="A119" s="112"/>
      <c r="B119" s="412"/>
      <c r="C119" s="692" t="s">
        <v>387</v>
      </c>
      <c r="D119" s="111">
        <f>34000+5100</f>
        <v>39100</v>
      </c>
      <c r="E119" s="111"/>
      <c r="F119" s="686"/>
      <c r="G119" s="123"/>
      <c r="I119" s="687"/>
      <c r="K119" s="85"/>
    </row>
    <row r="120" spans="1:11" ht="18.75">
      <c r="A120" s="112"/>
      <c r="B120" s="113"/>
      <c r="C120" s="110" t="s">
        <v>388</v>
      </c>
      <c r="D120" s="111">
        <f>6000+900</f>
        <v>6900</v>
      </c>
      <c r="E120" s="111"/>
      <c r="F120" s="686"/>
      <c r="G120" s="123"/>
      <c r="I120" s="687"/>
      <c r="K120" s="85"/>
    </row>
    <row r="121" spans="1:11" ht="18.75">
      <c r="A121" s="112"/>
      <c r="B121" s="113"/>
      <c r="C121" s="110" t="s">
        <v>43</v>
      </c>
      <c r="D121" s="111"/>
      <c r="E121" s="111"/>
      <c r="F121" s="686">
        <v>34000</v>
      </c>
      <c r="G121" s="123"/>
      <c r="I121" s="687"/>
      <c r="K121" s="85"/>
    </row>
    <row r="122" spans="1:11" ht="18.75">
      <c r="A122" s="112"/>
      <c r="B122" s="113"/>
      <c r="C122" s="457" t="s">
        <v>389</v>
      </c>
      <c r="D122" s="111"/>
      <c r="E122" s="111"/>
      <c r="F122" s="686">
        <v>6000</v>
      </c>
      <c r="G122" s="123"/>
      <c r="I122" s="687"/>
      <c r="K122" s="85"/>
    </row>
    <row r="123" spans="1:13" s="114" customFormat="1" ht="18.75">
      <c r="A123" s="105" t="s">
        <v>137</v>
      </c>
      <c r="B123" s="105" t="s">
        <v>583</v>
      </c>
      <c r="C123" s="105" t="s">
        <v>43</v>
      </c>
      <c r="D123" s="559">
        <v>245692.5</v>
      </c>
      <c r="E123" s="106"/>
      <c r="F123" s="559"/>
      <c r="G123" s="120"/>
      <c r="H123" s="121"/>
      <c r="I123" s="71"/>
      <c r="J123" s="107"/>
      <c r="K123" s="73"/>
      <c r="L123" s="122"/>
      <c r="M123" s="122"/>
    </row>
    <row r="124" spans="1:13" s="47" customFormat="1" ht="19.5" customHeight="1">
      <c r="A124" s="204" t="s">
        <v>261</v>
      </c>
      <c r="B124" s="205"/>
      <c r="C124" s="109"/>
      <c r="D124" s="125">
        <f>D95+D96+D99+D102+D105+D117+D118+D123</f>
        <v>4744692.5</v>
      </c>
      <c r="E124" s="125">
        <f>E95+E96+E99+E102+E105+E117+E118+E123</f>
        <v>0</v>
      </c>
      <c r="F124" s="125">
        <f>F95+F96+F99+F102+F105+F117+F118+F123</f>
        <v>747559.4</v>
      </c>
      <c r="G124" s="125">
        <f>G95+G96+G99+G102+G105+G117+G118+G123</f>
        <v>25000</v>
      </c>
      <c r="H124" s="119"/>
      <c r="I124" s="115"/>
      <c r="J124" s="116"/>
      <c r="K124" s="116"/>
      <c r="L124" s="48"/>
      <c r="M124" s="48"/>
    </row>
    <row r="125" spans="1:13" s="47" customFormat="1" ht="19.5" customHeight="1">
      <c r="A125" s="117"/>
      <c r="B125" s="118"/>
      <c r="C125" s="118"/>
      <c r="D125" s="119"/>
      <c r="E125" s="119"/>
      <c r="F125" s="119"/>
      <c r="G125" s="119"/>
      <c r="H125" s="119"/>
      <c r="I125" s="115"/>
      <c r="J125" s="116"/>
      <c r="K125" s="116"/>
      <c r="L125" s="48"/>
      <c r="M125" s="48"/>
    </row>
    <row r="126" spans="1:13" s="47" customFormat="1" ht="19.5" customHeight="1">
      <c r="A126" s="117"/>
      <c r="B126" s="118"/>
      <c r="C126" s="118"/>
      <c r="D126" s="119"/>
      <c r="E126" s="119"/>
      <c r="F126" s="119"/>
      <c r="G126" s="119"/>
      <c r="I126" s="115"/>
      <c r="J126" s="48"/>
      <c r="K126" s="116"/>
      <c r="L126" s="48"/>
      <c r="M126" s="48"/>
    </row>
    <row r="127" spans="1:11" ht="19.5">
      <c r="A127" s="88" t="s">
        <v>290</v>
      </c>
      <c r="B127" s="89"/>
      <c r="C127" s="90"/>
      <c r="D127" s="91"/>
      <c r="E127" s="91"/>
      <c r="F127" s="92"/>
      <c r="G127" s="92"/>
      <c r="H127" s="93"/>
      <c r="I127" s="71"/>
      <c r="K127" s="73"/>
    </row>
    <row r="128" spans="1:11" ht="19.5">
      <c r="A128" s="88"/>
      <c r="B128" s="89"/>
      <c r="C128" s="90"/>
      <c r="D128" s="91"/>
      <c r="E128" s="91"/>
      <c r="F128" s="92"/>
      <c r="G128" s="92"/>
      <c r="H128" s="93"/>
      <c r="I128" s="71"/>
      <c r="K128" s="73"/>
    </row>
    <row r="129" spans="1:11" ht="18.75">
      <c r="A129" s="97" t="s">
        <v>439</v>
      </c>
      <c r="B129" s="98"/>
      <c r="C129" s="99"/>
      <c r="D129" s="87"/>
      <c r="E129" s="87"/>
      <c r="F129" s="96"/>
      <c r="G129" s="96"/>
      <c r="I129" s="71"/>
      <c r="K129" s="73"/>
    </row>
    <row r="130" spans="1:11" ht="18.75">
      <c r="A130" s="97"/>
      <c r="B130" s="98"/>
      <c r="C130" s="99"/>
      <c r="D130" s="87"/>
      <c r="E130" s="87"/>
      <c r="F130" s="96"/>
      <c r="G130" s="96"/>
      <c r="I130" s="71"/>
      <c r="K130" s="73"/>
    </row>
    <row r="131" spans="1:11" ht="18.75">
      <c r="A131" s="94"/>
      <c r="B131" s="94"/>
      <c r="C131" s="94"/>
      <c r="D131" s="87"/>
      <c r="E131" s="87"/>
      <c r="F131" s="96"/>
      <c r="G131" s="96"/>
      <c r="I131" s="71"/>
      <c r="K131" s="73"/>
    </row>
    <row r="132" spans="1:11" ht="18.75">
      <c r="A132" s="100"/>
      <c r="B132" s="100"/>
      <c r="C132" s="101"/>
      <c r="D132" s="10" t="s">
        <v>278</v>
      </c>
      <c r="E132" s="11"/>
      <c r="F132" s="10" t="s">
        <v>281</v>
      </c>
      <c r="G132" s="11"/>
      <c r="I132" s="71"/>
      <c r="K132" s="73"/>
    </row>
    <row r="133" spans="1:11" ht="15" customHeight="1">
      <c r="A133" s="102"/>
      <c r="B133" s="102"/>
      <c r="C133" s="103"/>
      <c r="D133" s="12" t="s">
        <v>252</v>
      </c>
      <c r="E133" s="11" t="s">
        <v>251</v>
      </c>
      <c r="F133" s="12" t="s">
        <v>252</v>
      </c>
      <c r="G133" s="11" t="s">
        <v>251</v>
      </c>
      <c r="I133" s="71"/>
      <c r="K133" s="73"/>
    </row>
    <row r="134" spans="1:11" ht="21">
      <c r="A134" s="104" t="s">
        <v>254</v>
      </c>
      <c r="B134" s="104" t="s">
        <v>260</v>
      </c>
      <c r="C134" s="104" t="s">
        <v>255</v>
      </c>
      <c r="D134" s="13" t="s">
        <v>256</v>
      </c>
      <c r="E134" s="14" t="s">
        <v>257</v>
      </c>
      <c r="F134" s="13" t="s">
        <v>256</v>
      </c>
      <c r="G134" s="14" t="s">
        <v>257</v>
      </c>
      <c r="I134" s="71"/>
      <c r="K134" s="73"/>
    </row>
    <row r="135" spans="1:11" ht="18.75">
      <c r="A135" s="206" t="s">
        <v>57</v>
      </c>
      <c r="B135" s="105" t="s">
        <v>145</v>
      </c>
      <c r="C135" s="109" t="s">
        <v>669</v>
      </c>
      <c r="D135" s="106"/>
      <c r="E135" s="106"/>
      <c r="F135" s="559">
        <v>990</v>
      </c>
      <c r="G135" s="120">
        <v>990</v>
      </c>
      <c r="I135" s="71"/>
      <c r="K135" s="73"/>
    </row>
    <row r="136" spans="1:13" s="114" customFormat="1" ht="18.75">
      <c r="A136" s="206" t="s">
        <v>401</v>
      </c>
      <c r="B136" s="105" t="s">
        <v>402</v>
      </c>
      <c r="C136" s="109" t="s">
        <v>403</v>
      </c>
      <c r="D136" s="106"/>
      <c r="E136" s="106"/>
      <c r="F136" s="559">
        <v>250000</v>
      </c>
      <c r="G136" s="120"/>
      <c r="H136" s="121"/>
      <c r="I136" s="71"/>
      <c r="J136" s="107"/>
      <c r="K136" s="73"/>
      <c r="L136" s="122"/>
      <c r="M136" s="122"/>
    </row>
    <row r="137" spans="1:13" s="114" customFormat="1" ht="18.75">
      <c r="A137" s="105" t="s">
        <v>135</v>
      </c>
      <c r="B137" s="105" t="s">
        <v>288</v>
      </c>
      <c r="C137" s="105" t="s">
        <v>289</v>
      </c>
      <c r="D137" s="106"/>
      <c r="E137" s="106"/>
      <c r="F137" s="559">
        <v>10000</v>
      </c>
      <c r="G137" s="120"/>
      <c r="H137" s="121"/>
      <c r="I137" s="71"/>
      <c r="J137" s="107"/>
      <c r="K137" s="73"/>
      <c r="L137" s="122"/>
      <c r="M137" s="122"/>
    </row>
    <row r="138" spans="1:13" s="114" customFormat="1" ht="18.75">
      <c r="A138" s="108" t="s">
        <v>823</v>
      </c>
      <c r="B138" s="105"/>
      <c r="C138" s="105"/>
      <c r="D138" s="106">
        <f>D139+D140</f>
        <v>29200</v>
      </c>
      <c r="E138" s="106"/>
      <c r="F138" s="106">
        <f>F139+F140</f>
        <v>33200</v>
      </c>
      <c r="G138" s="559"/>
      <c r="H138" s="121"/>
      <c r="I138" s="71"/>
      <c r="J138" s="107"/>
      <c r="K138" s="73"/>
      <c r="L138" s="122"/>
      <c r="M138" s="122"/>
    </row>
    <row r="139" spans="1:11" ht="18.75">
      <c r="A139" s="412"/>
      <c r="B139" s="692" t="s">
        <v>373</v>
      </c>
      <c r="C139" s="207" t="s">
        <v>374</v>
      </c>
      <c r="D139" s="686"/>
      <c r="E139" s="111"/>
      <c r="F139" s="686">
        <v>4000</v>
      </c>
      <c r="G139" s="123"/>
      <c r="I139" s="687"/>
      <c r="K139" s="85"/>
    </row>
    <row r="140" spans="1:11" ht="18.75">
      <c r="A140" s="113"/>
      <c r="B140" s="110" t="s">
        <v>592</v>
      </c>
      <c r="C140" s="110"/>
      <c r="D140" s="111">
        <f>SUM(D141:D144)</f>
        <v>29200</v>
      </c>
      <c r="E140" s="111"/>
      <c r="F140" s="111">
        <f>SUM(F141:F144)</f>
        <v>29200</v>
      </c>
      <c r="G140" s="123"/>
      <c r="I140" s="687"/>
      <c r="K140" s="85"/>
    </row>
    <row r="141" spans="1:11" ht="18.75">
      <c r="A141" s="113"/>
      <c r="B141" s="413"/>
      <c r="C141" s="110" t="s">
        <v>375</v>
      </c>
      <c r="D141" s="111">
        <v>29050</v>
      </c>
      <c r="E141" s="111"/>
      <c r="F141" s="686"/>
      <c r="G141" s="123"/>
      <c r="I141" s="687"/>
      <c r="K141" s="85"/>
    </row>
    <row r="142" spans="1:11" ht="18.75">
      <c r="A142" s="113"/>
      <c r="B142" s="413"/>
      <c r="C142" s="110" t="s">
        <v>376</v>
      </c>
      <c r="D142" s="111"/>
      <c r="E142" s="111"/>
      <c r="F142" s="686">
        <v>24200</v>
      </c>
      <c r="G142" s="123"/>
      <c r="I142" s="687"/>
      <c r="K142" s="85"/>
    </row>
    <row r="143" spans="1:11" ht="18.75">
      <c r="A143" s="113"/>
      <c r="B143" s="413"/>
      <c r="C143" s="110" t="s">
        <v>377</v>
      </c>
      <c r="D143" s="111">
        <v>150</v>
      </c>
      <c r="E143" s="111"/>
      <c r="F143" s="686"/>
      <c r="G143" s="123"/>
      <c r="I143" s="687"/>
      <c r="K143" s="85"/>
    </row>
    <row r="144" spans="1:11" ht="18.75">
      <c r="A144" s="124"/>
      <c r="B144" s="692"/>
      <c r="C144" s="110" t="s">
        <v>378</v>
      </c>
      <c r="D144" s="111"/>
      <c r="E144" s="111"/>
      <c r="F144" s="686">
        <v>5000</v>
      </c>
      <c r="G144" s="123"/>
      <c r="I144" s="687"/>
      <c r="K144" s="85"/>
    </row>
    <row r="145" spans="1:13" s="47" customFormat="1" ht="19.5" customHeight="1">
      <c r="A145" s="204" t="s">
        <v>261</v>
      </c>
      <c r="B145" s="205"/>
      <c r="C145" s="109"/>
      <c r="D145" s="125">
        <f>D135+D136+D137+D138</f>
        <v>29200</v>
      </c>
      <c r="E145" s="125">
        <f>E135+E136+E137+E138</f>
        <v>0</v>
      </c>
      <c r="F145" s="125">
        <f>F135+F136+F137+F138</f>
        <v>294190</v>
      </c>
      <c r="G145" s="125">
        <f>G135+G136+G137+G138</f>
        <v>990</v>
      </c>
      <c r="H145" s="119"/>
      <c r="I145" s="115"/>
      <c r="J145" s="116"/>
      <c r="K145" s="116"/>
      <c r="L145" s="48"/>
      <c r="M145" s="48"/>
    </row>
    <row r="146" spans="1:13" s="47" customFormat="1" ht="19.5" customHeight="1">
      <c r="A146" s="117"/>
      <c r="B146" s="118"/>
      <c r="C146" s="118"/>
      <c r="D146" s="119"/>
      <c r="E146" s="119"/>
      <c r="F146" s="119"/>
      <c r="G146" s="119"/>
      <c r="H146" s="119"/>
      <c r="I146" s="115"/>
      <c r="J146" s="116"/>
      <c r="K146" s="116"/>
      <c r="L146" s="48"/>
      <c r="M146" s="48"/>
    </row>
    <row r="147" spans="1:13" s="47" customFormat="1" ht="19.5" customHeight="1">
      <c r="A147" s="117"/>
      <c r="B147" s="118"/>
      <c r="C147" s="118"/>
      <c r="D147" s="119"/>
      <c r="E147" s="119"/>
      <c r="F147" s="119"/>
      <c r="G147" s="119"/>
      <c r="H147" s="119"/>
      <c r="I147" s="115"/>
      <c r="J147" s="116"/>
      <c r="K147" s="116"/>
      <c r="L147" s="48"/>
      <c r="M147" s="48"/>
    </row>
    <row r="148" spans="1:13" s="47" customFormat="1" ht="19.5" customHeight="1">
      <c r="A148" s="117"/>
      <c r="B148" s="118"/>
      <c r="C148" s="118"/>
      <c r="D148" s="119"/>
      <c r="E148" s="119"/>
      <c r="F148" s="119"/>
      <c r="G148" s="119"/>
      <c r="H148" s="119"/>
      <c r="I148" s="115"/>
      <c r="J148" s="116"/>
      <c r="K148" s="116"/>
      <c r="L148" s="48"/>
      <c r="M148" s="48"/>
    </row>
    <row r="149" spans="1:13" s="28" customFormat="1" ht="15.75">
      <c r="A149" s="70" t="s">
        <v>837</v>
      </c>
      <c r="B149" s="127"/>
      <c r="C149" s="128"/>
      <c r="H149" s="1"/>
      <c r="I149" s="71"/>
      <c r="J149" s="32"/>
      <c r="K149" s="81"/>
      <c r="L149" s="32"/>
      <c r="M149" s="32"/>
    </row>
    <row r="150" spans="1:23" ht="15.75">
      <c r="A150" s="126"/>
      <c r="B150" s="126"/>
      <c r="C150" s="126"/>
      <c r="D150" s="28"/>
      <c r="E150" s="28"/>
      <c r="F150" s="28"/>
      <c r="G150" s="28"/>
      <c r="H150" s="1"/>
      <c r="I150" s="129"/>
      <c r="J150" s="37"/>
      <c r="K150" s="130"/>
      <c r="L150" s="36"/>
      <c r="M150" s="36"/>
      <c r="N150" s="16"/>
      <c r="O150" s="16"/>
      <c r="P150" s="16"/>
      <c r="Q150" s="131"/>
      <c r="R150" s="131"/>
      <c r="S150" s="131"/>
      <c r="T150" s="131"/>
      <c r="U150" s="131"/>
      <c r="V150" s="131"/>
      <c r="W150" s="131"/>
    </row>
    <row r="151" spans="1:23" ht="18.75">
      <c r="A151" s="70"/>
      <c r="B151" s="127"/>
      <c r="C151" s="128"/>
      <c r="D151" s="16"/>
      <c r="E151" s="16"/>
      <c r="F151" s="16"/>
      <c r="G151" s="16"/>
      <c r="H151" s="17"/>
      <c r="I151" s="132"/>
      <c r="J151" s="133"/>
      <c r="K151" s="130"/>
      <c r="L151" s="36"/>
      <c r="M151" s="36"/>
      <c r="N151" s="16"/>
      <c r="O151" s="16"/>
      <c r="P151" s="16"/>
      <c r="Q151" s="131"/>
      <c r="R151" s="131"/>
      <c r="S151" s="131"/>
      <c r="T151" s="131"/>
      <c r="U151" s="131"/>
      <c r="V151" s="131"/>
      <c r="W151" s="131"/>
    </row>
    <row r="152" spans="1:23" ht="15.75">
      <c r="A152" s="70"/>
      <c r="B152" s="134" t="s">
        <v>282</v>
      </c>
      <c r="C152" s="135"/>
      <c r="D152" s="16"/>
      <c r="E152" s="16"/>
      <c r="F152" s="16"/>
      <c r="G152" s="16"/>
      <c r="H152" s="136">
        <f>H155+H187</f>
        <v>419694918.83</v>
      </c>
      <c r="I152" s="132"/>
      <c r="J152" s="133"/>
      <c r="K152" s="130"/>
      <c r="L152" s="36"/>
      <c r="M152" s="36"/>
      <c r="N152" s="16"/>
      <c r="O152" s="16"/>
      <c r="P152" s="16"/>
      <c r="Q152" s="131"/>
      <c r="R152" s="131"/>
      <c r="S152" s="131"/>
      <c r="T152" s="131"/>
      <c r="U152" s="131"/>
      <c r="V152" s="131"/>
      <c r="W152" s="131"/>
    </row>
    <row r="153" spans="1:23" ht="15.75">
      <c r="A153" s="70"/>
      <c r="B153" s="134" t="s">
        <v>277</v>
      </c>
      <c r="C153" s="135"/>
      <c r="D153" s="16"/>
      <c r="E153" s="16"/>
      <c r="F153" s="16"/>
      <c r="G153" s="16"/>
      <c r="H153" s="136">
        <f>H156+H188</f>
        <v>415962775.73</v>
      </c>
      <c r="I153" s="202"/>
      <c r="J153" s="133"/>
      <c r="K153" s="130"/>
      <c r="L153" s="36"/>
      <c r="M153" s="36"/>
      <c r="N153" s="16"/>
      <c r="O153" s="16"/>
      <c r="P153" s="16"/>
      <c r="Q153" s="131"/>
      <c r="R153" s="131"/>
      <c r="S153" s="131"/>
      <c r="T153" s="131"/>
      <c r="U153" s="131"/>
      <c r="V153" s="131"/>
      <c r="W153" s="131"/>
    </row>
    <row r="154" spans="1:23" ht="15.75">
      <c r="A154" s="70"/>
      <c r="B154" s="138" t="s">
        <v>272</v>
      </c>
      <c r="C154" s="128"/>
      <c r="D154" s="16"/>
      <c r="E154" s="16"/>
      <c r="F154" s="16"/>
      <c r="G154" s="16"/>
      <c r="H154" s="136"/>
      <c r="I154" s="202"/>
      <c r="J154" s="133"/>
      <c r="K154" s="130"/>
      <c r="L154" s="36"/>
      <c r="M154" s="36"/>
      <c r="N154" s="16"/>
      <c r="O154" s="16"/>
      <c r="P154" s="16"/>
      <c r="Q154" s="131"/>
      <c r="R154" s="131"/>
      <c r="S154" s="131"/>
      <c r="T154" s="131"/>
      <c r="U154" s="131"/>
      <c r="V154" s="131"/>
      <c r="W154" s="131"/>
    </row>
    <row r="155" spans="1:23" ht="15.75">
      <c r="A155" s="140" t="s">
        <v>283</v>
      </c>
      <c r="B155" s="140"/>
      <c r="C155" s="140"/>
      <c r="D155" s="91"/>
      <c r="E155" s="87"/>
      <c r="F155" s="87"/>
      <c r="G155" s="16"/>
      <c r="H155" s="136">
        <f>H158+H177</f>
        <v>289018089.65999997</v>
      </c>
      <c r="I155" s="202"/>
      <c r="J155" s="133"/>
      <c r="K155" s="130"/>
      <c r="L155" s="36"/>
      <c r="M155" s="36"/>
      <c r="N155" s="16"/>
      <c r="O155" s="16"/>
      <c r="P155" s="16"/>
      <c r="Q155" s="131"/>
      <c r="R155" s="131"/>
      <c r="S155" s="131"/>
      <c r="T155" s="131"/>
      <c r="U155" s="131"/>
      <c r="V155" s="131"/>
      <c r="W155" s="131"/>
    </row>
    <row r="156" spans="1:23" ht="15.75">
      <c r="A156" s="140"/>
      <c r="B156" s="141" t="s">
        <v>277</v>
      </c>
      <c r="C156" s="140"/>
      <c r="D156" s="91"/>
      <c r="E156" s="87"/>
      <c r="F156" s="87"/>
      <c r="G156" s="16"/>
      <c r="H156" s="136">
        <f>H159+H178</f>
        <v>287169769.56</v>
      </c>
      <c r="I156" s="202"/>
      <c r="J156" s="133"/>
      <c r="K156" s="130"/>
      <c r="L156" s="36"/>
      <c r="M156" s="36"/>
      <c r="N156" s="16"/>
      <c r="O156" s="16"/>
      <c r="P156" s="16"/>
      <c r="Q156" s="131"/>
      <c r="R156" s="131"/>
      <c r="S156" s="131"/>
      <c r="T156" s="131"/>
      <c r="U156" s="131"/>
      <c r="V156" s="131"/>
      <c r="W156" s="131"/>
    </row>
    <row r="157" spans="1:23" ht="15.75">
      <c r="A157" s="86" t="s">
        <v>252</v>
      </c>
      <c r="B157" s="86" t="s">
        <v>312</v>
      </c>
      <c r="C157" s="86"/>
      <c r="D157" s="87"/>
      <c r="E157" s="87"/>
      <c r="F157" s="87"/>
      <c r="G157" s="16"/>
      <c r="H157" s="136"/>
      <c r="I157" s="202"/>
      <c r="J157" s="133"/>
      <c r="K157" s="130"/>
      <c r="L157" s="36"/>
      <c r="M157" s="36"/>
      <c r="N157" s="16"/>
      <c r="O157" s="16"/>
      <c r="P157" s="16"/>
      <c r="Q157" s="131"/>
      <c r="R157" s="131"/>
      <c r="S157" s="131"/>
      <c r="T157" s="131"/>
      <c r="U157" s="131"/>
      <c r="V157" s="131"/>
      <c r="W157" s="131"/>
    </row>
    <row r="158" spans="1:23" ht="15.75">
      <c r="A158" s="143" t="s">
        <v>313</v>
      </c>
      <c r="B158" s="143"/>
      <c r="C158" s="143"/>
      <c r="D158" s="144"/>
      <c r="E158" s="87"/>
      <c r="F158" s="87"/>
      <c r="G158" s="16"/>
      <c r="H158" s="136">
        <f>253741492.5+3000</f>
        <v>253744492.5</v>
      </c>
      <c r="I158" s="202"/>
      <c r="J158" s="202"/>
      <c r="K158" s="130"/>
      <c r="L158" s="606"/>
      <c r="M158" s="36"/>
      <c r="N158" s="16"/>
      <c r="O158" s="16"/>
      <c r="P158" s="16"/>
      <c r="Q158" s="131"/>
      <c r="R158" s="131"/>
      <c r="S158" s="131"/>
      <c r="T158" s="131"/>
      <c r="U158" s="131"/>
      <c r="V158" s="131"/>
      <c r="W158" s="131"/>
    </row>
    <row r="159" spans="1:23" ht="15.75">
      <c r="A159" s="143"/>
      <c r="B159" s="145" t="s">
        <v>277</v>
      </c>
      <c r="C159" s="143"/>
      <c r="D159" s="144"/>
      <c r="E159" s="91"/>
      <c r="F159" s="144"/>
      <c r="G159" s="16"/>
      <c r="H159" s="136">
        <f>H158-D293+D289+D287+D286+D285+D245+D219+D212+F293-F284-F275-F274-F246-F218</f>
        <v>253244856.9</v>
      </c>
      <c r="I159" s="202"/>
      <c r="J159" s="133"/>
      <c r="K159" s="130"/>
      <c r="L159" s="606"/>
      <c r="M159" s="36"/>
      <c r="N159" s="16"/>
      <c r="O159" s="16"/>
      <c r="P159" s="16"/>
      <c r="Q159" s="131"/>
      <c r="R159" s="131"/>
      <c r="S159" s="131"/>
      <c r="T159" s="131"/>
      <c r="U159" s="131"/>
      <c r="V159" s="131"/>
      <c r="W159" s="131"/>
    </row>
    <row r="160" spans="1:23" ht="15.75">
      <c r="A160" s="143"/>
      <c r="B160" s="690" t="s">
        <v>251</v>
      </c>
      <c r="C160" s="143"/>
      <c r="D160" s="144"/>
      <c r="E160" s="91"/>
      <c r="F160" s="144"/>
      <c r="G160" s="16"/>
      <c r="H160" s="136"/>
      <c r="I160" s="202"/>
      <c r="J160" s="133"/>
      <c r="K160" s="136"/>
      <c r="L160" s="606"/>
      <c r="M160" s="36"/>
      <c r="N160" s="16"/>
      <c r="O160" s="16"/>
      <c r="P160" s="16"/>
      <c r="Q160" s="131"/>
      <c r="R160" s="131"/>
      <c r="S160" s="131"/>
      <c r="T160" s="131"/>
      <c r="U160" s="131"/>
      <c r="V160" s="131"/>
      <c r="W160" s="131"/>
    </row>
    <row r="161" spans="1:23" ht="15.75">
      <c r="A161" s="83"/>
      <c r="B161" s="726" t="s">
        <v>397</v>
      </c>
      <c r="C161" s="76"/>
      <c r="D161" s="26"/>
      <c r="E161" s="91"/>
      <c r="F161" s="144"/>
      <c r="G161" s="16"/>
      <c r="H161" s="136"/>
      <c r="I161" s="202"/>
      <c r="J161" s="133"/>
      <c r="K161" s="130"/>
      <c r="L161" s="606"/>
      <c r="M161" s="36"/>
      <c r="N161" s="16"/>
      <c r="O161" s="16"/>
      <c r="P161" s="16"/>
      <c r="Q161" s="131"/>
      <c r="R161" s="131"/>
      <c r="S161" s="131"/>
      <c r="T161" s="131"/>
      <c r="U161" s="131"/>
      <c r="V161" s="131"/>
      <c r="W161" s="131"/>
    </row>
    <row r="162" spans="1:23" ht="15.75">
      <c r="A162" s="83"/>
      <c r="B162" s="84" t="s">
        <v>398</v>
      </c>
      <c r="C162" s="76"/>
      <c r="D162" s="26"/>
      <c r="E162" s="91"/>
      <c r="F162" s="144"/>
      <c r="G162" s="16"/>
      <c r="H162" s="136"/>
      <c r="I162" s="202"/>
      <c r="J162" s="133"/>
      <c r="K162" s="130"/>
      <c r="L162" s="606"/>
      <c r="M162" s="36"/>
      <c r="N162" s="16"/>
      <c r="O162" s="16"/>
      <c r="P162" s="16"/>
      <c r="Q162" s="131"/>
      <c r="R162" s="131"/>
      <c r="S162" s="131"/>
      <c r="T162" s="131"/>
      <c r="U162" s="131"/>
      <c r="V162" s="131"/>
      <c r="W162" s="131"/>
    </row>
    <row r="163" spans="1:23" ht="15.75">
      <c r="A163" s="83"/>
      <c r="B163" s="84" t="s">
        <v>399</v>
      </c>
      <c r="C163" s="76"/>
      <c r="D163" s="26"/>
      <c r="E163" s="91"/>
      <c r="F163" s="144"/>
      <c r="G163" s="16"/>
      <c r="H163" s="139">
        <v>7021209.9</v>
      </c>
      <c r="I163" s="202"/>
      <c r="J163" s="133"/>
      <c r="K163" s="130"/>
      <c r="L163" s="606"/>
      <c r="M163" s="36"/>
      <c r="N163" s="16"/>
      <c r="O163" s="16"/>
      <c r="P163" s="16"/>
      <c r="Q163" s="131"/>
      <c r="R163" s="131"/>
      <c r="S163" s="131"/>
      <c r="T163" s="131"/>
      <c r="U163" s="131"/>
      <c r="V163" s="131"/>
      <c r="W163" s="131"/>
    </row>
    <row r="164" spans="1:23" ht="15.75">
      <c r="A164" s="83"/>
      <c r="B164" s="84" t="s">
        <v>277</v>
      </c>
      <c r="C164" s="76"/>
      <c r="D164" s="26"/>
      <c r="E164" s="91"/>
      <c r="F164" s="144"/>
      <c r="G164" s="16"/>
      <c r="H164" s="139">
        <f>H163-D272-D273+F271+F270+F253-F254</f>
        <v>7000209.9</v>
      </c>
      <c r="I164" s="202"/>
      <c r="J164" s="133"/>
      <c r="K164" s="130"/>
      <c r="L164" s="606"/>
      <c r="M164" s="36"/>
      <c r="N164" s="16"/>
      <c r="O164" s="16"/>
      <c r="P164" s="16"/>
      <c r="Q164" s="131"/>
      <c r="R164" s="131"/>
      <c r="S164" s="131"/>
      <c r="T164" s="131"/>
      <c r="U164" s="131"/>
      <c r="V164" s="131"/>
      <c r="W164" s="131"/>
    </row>
    <row r="165" spans="1:23" ht="15.75">
      <c r="A165" s="83"/>
      <c r="B165" s="84"/>
      <c r="C165" s="76"/>
      <c r="D165" s="26"/>
      <c r="E165" s="91"/>
      <c r="F165" s="144"/>
      <c r="G165" s="16"/>
      <c r="H165" s="139"/>
      <c r="I165" s="202"/>
      <c r="J165" s="133"/>
      <c r="K165" s="130"/>
      <c r="L165" s="606"/>
      <c r="M165" s="36"/>
      <c r="N165" s="16"/>
      <c r="O165" s="16"/>
      <c r="P165" s="16"/>
      <c r="Q165" s="131"/>
      <c r="R165" s="131"/>
      <c r="S165" s="131"/>
      <c r="T165" s="131"/>
      <c r="U165" s="131"/>
      <c r="V165" s="131"/>
      <c r="W165" s="131"/>
    </row>
    <row r="166" spans="1:23" ht="15.75">
      <c r="A166" s="83"/>
      <c r="B166" s="84"/>
      <c r="C166" s="76"/>
      <c r="D166" s="26"/>
      <c r="E166" s="91"/>
      <c r="F166" s="144"/>
      <c r="G166" s="16"/>
      <c r="H166" s="139"/>
      <c r="I166" s="202"/>
      <c r="J166" s="133"/>
      <c r="K166" s="130"/>
      <c r="L166" s="606"/>
      <c r="M166" s="36"/>
      <c r="N166" s="16"/>
      <c r="O166" s="16"/>
      <c r="P166" s="16"/>
      <c r="Q166" s="131"/>
      <c r="R166" s="131"/>
      <c r="S166" s="131"/>
      <c r="T166" s="131"/>
      <c r="U166" s="131"/>
      <c r="V166" s="131"/>
      <c r="W166" s="131"/>
    </row>
    <row r="167" spans="1:23" ht="15.75">
      <c r="A167" s="15"/>
      <c r="B167" s="975" t="s">
        <v>668</v>
      </c>
      <c r="C167" s="422"/>
      <c r="D167" s="18"/>
      <c r="E167" s="91"/>
      <c r="F167" s="144"/>
      <c r="G167" s="16"/>
      <c r="H167" s="136"/>
      <c r="I167" s="202"/>
      <c r="J167" s="133"/>
      <c r="K167" s="136"/>
      <c r="L167" s="606"/>
      <c r="M167" s="36"/>
      <c r="N167" s="16"/>
      <c r="O167" s="16"/>
      <c r="P167" s="16"/>
      <c r="Q167" s="131"/>
      <c r="R167" s="131"/>
      <c r="S167" s="131"/>
      <c r="T167" s="131"/>
      <c r="U167" s="131"/>
      <c r="V167" s="131"/>
      <c r="W167" s="131"/>
    </row>
    <row r="168" spans="1:23" ht="15.75">
      <c r="A168" s="15"/>
      <c r="B168" s="975" t="s">
        <v>667</v>
      </c>
      <c r="C168" s="422"/>
      <c r="D168" s="18"/>
      <c r="E168" s="91"/>
      <c r="F168" s="144"/>
      <c r="G168" s="16"/>
      <c r="H168" s="136">
        <v>21193430.5</v>
      </c>
      <c r="I168" s="202"/>
      <c r="J168" s="133"/>
      <c r="K168" s="136"/>
      <c r="L168" s="606"/>
      <c r="M168" s="36"/>
      <c r="N168" s="16"/>
      <c r="O168" s="16"/>
      <c r="P168" s="16"/>
      <c r="Q168" s="131"/>
      <c r="R168" s="131"/>
      <c r="S168" s="131"/>
      <c r="T168" s="131"/>
      <c r="U168" s="131"/>
      <c r="V168" s="131"/>
      <c r="W168" s="131"/>
    </row>
    <row r="169" spans="1:23" ht="15.75">
      <c r="A169" s="15"/>
      <c r="B169" s="423" t="s">
        <v>84</v>
      </c>
      <c r="C169" s="422"/>
      <c r="D169" s="18"/>
      <c r="E169" s="91"/>
      <c r="F169" s="144"/>
      <c r="G169" s="16"/>
      <c r="H169" s="136">
        <f>H168+G293</f>
        <v>21218430.5</v>
      </c>
      <c r="I169" s="202"/>
      <c r="J169" s="133"/>
      <c r="K169" s="130"/>
      <c r="L169" s="606"/>
      <c r="M169" s="36"/>
      <c r="N169" s="16"/>
      <c r="O169" s="16"/>
      <c r="P169" s="16"/>
      <c r="Q169" s="131"/>
      <c r="R169" s="131"/>
      <c r="S169" s="131"/>
      <c r="T169" s="131"/>
      <c r="U169" s="131"/>
      <c r="V169" s="131"/>
      <c r="W169" s="131"/>
    </row>
    <row r="170" spans="1:23" ht="15.75">
      <c r="A170" s="15"/>
      <c r="B170" s="423"/>
      <c r="C170" s="422"/>
      <c r="D170" s="18"/>
      <c r="E170" s="91"/>
      <c r="F170" s="144"/>
      <c r="G170" s="16"/>
      <c r="H170" s="136"/>
      <c r="I170" s="202"/>
      <c r="J170" s="133"/>
      <c r="K170" s="130"/>
      <c r="L170" s="606"/>
      <c r="M170" s="36"/>
      <c r="N170" s="16"/>
      <c r="O170" s="16"/>
      <c r="P170" s="16"/>
      <c r="Q170" s="131"/>
      <c r="R170" s="131"/>
      <c r="S170" s="131"/>
      <c r="T170" s="131"/>
      <c r="U170" s="131"/>
      <c r="V170" s="131"/>
      <c r="W170" s="131"/>
    </row>
    <row r="171" spans="1:23" ht="15.75">
      <c r="A171" s="83"/>
      <c r="B171" s="84"/>
      <c r="C171" s="76"/>
      <c r="D171" s="26"/>
      <c r="E171" s="91"/>
      <c r="F171" s="144"/>
      <c r="G171" s="16"/>
      <c r="H171" s="139"/>
      <c r="I171" s="202"/>
      <c r="J171" s="133"/>
      <c r="K171" s="130"/>
      <c r="L171" s="606"/>
      <c r="M171" s="36"/>
      <c r="N171" s="16"/>
      <c r="O171" s="16"/>
      <c r="P171" s="16"/>
      <c r="Q171" s="131"/>
      <c r="R171" s="131"/>
      <c r="S171" s="131"/>
      <c r="T171" s="131"/>
      <c r="U171" s="131"/>
      <c r="V171" s="131"/>
      <c r="W171" s="131"/>
    </row>
    <row r="172" spans="1:23" ht="15.75">
      <c r="A172" s="83"/>
      <c r="B172" s="726" t="s">
        <v>700</v>
      </c>
      <c r="C172" s="76"/>
      <c r="D172" s="26"/>
      <c r="E172" s="91"/>
      <c r="F172" s="144"/>
      <c r="G172" s="16"/>
      <c r="H172" s="139"/>
      <c r="I172" s="202"/>
      <c r="J172" s="133"/>
      <c r="K172" s="130"/>
      <c r="L172" s="606"/>
      <c r="M172" s="36"/>
      <c r="N172" s="16"/>
      <c r="O172" s="16"/>
      <c r="P172" s="16"/>
      <c r="Q172" s="131"/>
      <c r="R172" s="131"/>
      <c r="S172" s="131"/>
      <c r="T172" s="131"/>
      <c r="U172" s="131"/>
      <c r="V172" s="131"/>
      <c r="W172" s="131"/>
    </row>
    <row r="173" spans="1:23" ht="15.75">
      <c r="A173" s="83"/>
      <c r="B173" s="84" t="s">
        <v>699</v>
      </c>
      <c r="C173" s="76"/>
      <c r="D173" s="26"/>
      <c r="E173" s="91"/>
      <c r="F173" s="144"/>
      <c r="G173" s="16"/>
      <c r="H173" s="139">
        <v>8000000</v>
      </c>
      <c r="I173" s="202"/>
      <c r="J173" s="133"/>
      <c r="K173" s="130"/>
      <c r="L173" s="606"/>
      <c r="M173" s="36"/>
      <c r="N173" s="16"/>
      <c r="O173" s="16"/>
      <c r="P173" s="16"/>
      <c r="Q173" s="131"/>
      <c r="R173" s="131"/>
      <c r="S173" s="131"/>
      <c r="T173" s="131"/>
      <c r="U173" s="131"/>
      <c r="V173" s="131"/>
      <c r="W173" s="131"/>
    </row>
    <row r="174" spans="1:23" ht="15.75">
      <c r="A174" s="83"/>
      <c r="B174" s="84" t="s">
        <v>277</v>
      </c>
      <c r="C174" s="76"/>
      <c r="D174" s="26"/>
      <c r="E174" s="91"/>
      <c r="F174" s="144"/>
      <c r="G174" s="16"/>
      <c r="H174" s="139">
        <f>H173-D280</f>
        <v>7250000</v>
      </c>
      <c r="I174" s="202"/>
      <c r="J174" s="133"/>
      <c r="K174" s="130"/>
      <c r="L174" s="606"/>
      <c r="M174" s="36"/>
      <c r="N174" s="16"/>
      <c r="O174" s="16"/>
      <c r="P174" s="16"/>
      <c r="Q174" s="131"/>
      <c r="R174" s="131"/>
      <c r="S174" s="131"/>
      <c r="T174" s="131"/>
      <c r="U174" s="131"/>
      <c r="V174" s="131"/>
      <c r="W174" s="131"/>
    </row>
    <row r="175" spans="1:23" ht="15.75">
      <c r="A175" s="15"/>
      <c r="B175" s="423"/>
      <c r="C175" s="422"/>
      <c r="D175" s="18"/>
      <c r="E175" s="91"/>
      <c r="F175" s="144"/>
      <c r="G175" s="16"/>
      <c r="H175" s="136"/>
      <c r="I175" s="202"/>
      <c r="J175" s="133"/>
      <c r="K175" s="130"/>
      <c r="L175" s="606"/>
      <c r="M175" s="36"/>
      <c r="N175" s="16"/>
      <c r="O175" s="16"/>
      <c r="P175" s="16"/>
      <c r="Q175" s="131"/>
      <c r="R175" s="131"/>
      <c r="S175" s="131"/>
      <c r="T175" s="131"/>
      <c r="U175" s="131"/>
      <c r="V175" s="131"/>
      <c r="W175" s="131"/>
    </row>
    <row r="176" spans="1:23" ht="15.75">
      <c r="A176" s="143"/>
      <c r="B176" s="145"/>
      <c r="C176" s="143"/>
      <c r="D176" s="144"/>
      <c r="E176" s="91"/>
      <c r="F176" s="144"/>
      <c r="G176" s="16"/>
      <c r="H176" s="136"/>
      <c r="I176" s="132"/>
      <c r="J176" s="133"/>
      <c r="K176" s="130"/>
      <c r="L176" s="606"/>
      <c r="M176" s="36"/>
      <c r="N176" s="16"/>
      <c r="O176" s="16"/>
      <c r="P176" s="16"/>
      <c r="Q176" s="131"/>
      <c r="R176" s="131"/>
      <c r="S176" s="131"/>
      <c r="T176" s="131"/>
      <c r="U176" s="131"/>
      <c r="V176" s="131"/>
      <c r="W176" s="131"/>
    </row>
    <row r="177" spans="1:23" ht="15.75">
      <c r="A177" s="143" t="s">
        <v>314</v>
      </c>
      <c r="B177" s="143"/>
      <c r="C177" s="140"/>
      <c r="D177" s="144"/>
      <c r="E177" s="91"/>
      <c r="F177" s="144"/>
      <c r="G177" s="16"/>
      <c r="H177" s="136">
        <f>35276597.16-3000</f>
        <v>35273597.16</v>
      </c>
      <c r="I177" s="132"/>
      <c r="J177" s="133"/>
      <c r="K177" s="130"/>
      <c r="L177" s="606"/>
      <c r="M177" s="36"/>
      <c r="N177" s="16"/>
      <c r="O177" s="16"/>
      <c r="P177" s="16"/>
      <c r="Q177" s="131"/>
      <c r="R177" s="131"/>
      <c r="S177" s="131"/>
      <c r="T177" s="131"/>
      <c r="U177" s="131"/>
      <c r="V177" s="131"/>
      <c r="W177" s="131"/>
    </row>
    <row r="178" spans="1:23" ht="15.75">
      <c r="A178" s="143"/>
      <c r="B178" s="145" t="s">
        <v>277</v>
      </c>
      <c r="C178" s="140"/>
      <c r="D178" s="144"/>
      <c r="E178" s="91"/>
      <c r="F178" s="144"/>
      <c r="G178" s="16"/>
      <c r="H178" s="136">
        <f>H177-D212-D219-D245-D285-D286-D287-D289+F284+F274+F275+F246+F218</f>
        <v>33924912.66</v>
      </c>
      <c r="I178" s="202"/>
      <c r="J178" s="133"/>
      <c r="K178" s="130"/>
      <c r="L178" s="36"/>
      <c r="M178" s="36"/>
      <c r="N178" s="16"/>
      <c r="O178" s="16"/>
      <c r="P178" s="16"/>
      <c r="Q178" s="131"/>
      <c r="R178" s="131"/>
      <c r="S178" s="131"/>
      <c r="T178" s="131"/>
      <c r="U178" s="131"/>
      <c r="V178" s="131"/>
      <c r="W178" s="131"/>
    </row>
    <row r="179" spans="1:23" ht="15.75">
      <c r="A179" s="143"/>
      <c r="B179" s="690" t="s">
        <v>251</v>
      </c>
      <c r="C179" s="143"/>
      <c r="D179" s="144"/>
      <c r="E179" s="91"/>
      <c r="F179" s="144"/>
      <c r="G179" s="16"/>
      <c r="H179" s="136"/>
      <c r="I179" s="202"/>
      <c r="J179" s="133"/>
      <c r="K179" s="130"/>
      <c r="L179" s="36"/>
      <c r="M179" s="36"/>
      <c r="N179" s="16"/>
      <c r="O179" s="16"/>
      <c r="P179" s="16"/>
      <c r="Q179" s="131"/>
      <c r="R179" s="131"/>
      <c r="S179" s="131"/>
      <c r="T179" s="131"/>
      <c r="U179" s="131"/>
      <c r="V179" s="131"/>
      <c r="W179" s="131"/>
    </row>
    <row r="180" spans="1:23" ht="15.75">
      <c r="A180" s="83"/>
      <c r="B180" s="726" t="s">
        <v>397</v>
      </c>
      <c r="C180" s="76"/>
      <c r="D180" s="26"/>
      <c r="E180" s="91"/>
      <c r="F180" s="144"/>
      <c r="G180" s="16"/>
      <c r="H180" s="136"/>
      <c r="I180" s="202"/>
      <c r="J180" s="133"/>
      <c r="K180" s="130"/>
      <c r="L180" s="36"/>
      <c r="M180" s="36"/>
      <c r="N180" s="16"/>
      <c r="O180" s="16"/>
      <c r="P180" s="16"/>
      <c r="Q180" s="131"/>
      <c r="R180" s="131"/>
      <c r="S180" s="131"/>
      <c r="T180" s="131"/>
      <c r="U180" s="131"/>
      <c r="V180" s="131"/>
      <c r="W180" s="131"/>
    </row>
    <row r="181" spans="1:23" ht="15.75">
      <c r="A181" s="83"/>
      <c r="B181" s="84" t="s">
        <v>398</v>
      </c>
      <c r="C181" s="76"/>
      <c r="D181" s="26"/>
      <c r="E181" s="91"/>
      <c r="F181" s="144"/>
      <c r="G181" s="16"/>
      <c r="H181" s="136"/>
      <c r="I181" s="202"/>
      <c r="J181" s="133"/>
      <c r="K181" s="130"/>
      <c r="L181" s="36"/>
      <c r="M181" s="36"/>
      <c r="N181" s="16"/>
      <c r="O181" s="16"/>
      <c r="P181" s="16"/>
      <c r="Q181" s="131"/>
      <c r="R181" s="131"/>
      <c r="S181" s="131"/>
      <c r="T181" s="131"/>
      <c r="U181" s="131"/>
      <c r="V181" s="131"/>
      <c r="W181" s="131"/>
    </row>
    <row r="182" spans="1:23" ht="15.75">
      <c r="A182" s="83"/>
      <c r="B182" s="84" t="s">
        <v>399</v>
      </c>
      <c r="C182" s="76"/>
      <c r="D182" s="26"/>
      <c r="E182" s="91"/>
      <c r="F182" s="144"/>
      <c r="G182" s="16"/>
      <c r="H182" s="139">
        <v>2821960</v>
      </c>
      <c r="I182" s="202"/>
      <c r="J182" s="133"/>
      <c r="K182" s="130"/>
      <c r="L182" s="36"/>
      <c r="M182" s="36"/>
      <c r="N182" s="16"/>
      <c r="O182" s="16"/>
      <c r="P182" s="16"/>
      <c r="Q182" s="131"/>
      <c r="R182" s="131"/>
      <c r="S182" s="131"/>
      <c r="T182" s="131"/>
      <c r="U182" s="131"/>
      <c r="V182" s="131"/>
      <c r="W182" s="131"/>
    </row>
    <row r="183" spans="1:23" ht="15.75">
      <c r="A183" s="83"/>
      <c r="B183" s="84" t="s">
        <v>277</v>
      </c>
      <c r="C183" s="76"/>
      <c r="D183" s="26"/>
      <c r="E183" s="91"/>
      <c r="F183" s="144"/>
      <c r="G183" s="16"/>
      <c r="H183" s="139">
        <f>H182-D285-D286+F275+F274</f>
        <v>2572910</v>
      </c>
      <c r="I183" s="202"/>
      <c r="J183" s="133"/>
      <c r="K183" s="130"/>
      <c r="L183" s="36"/>
      <c r="M183" s="36"/>
      <c r="N183" s="16"/>
      <c r="O183" s="16"/>
      <c r="P183" s="16"/>
      <c r="Q183" s="131"/>
      <c r="R183" s="131"/>
      <c r="S183" s="131"/>
      <c r="T183" s="131"/>
      <c r="U183" s="131"/>
      <c r="V183" s="131"/>
      <c r="W183" s="131"/>
    </row>
    <row r="184" spans="1:23" ht="15.75">
      <c r="A184" s="83"/>
      <c r="B184" s="84"/>
      <c r="C184" s="76"/>
      <c r="D184" s="26"/>
      <c r="E184" s="91"/>
      <c r="F184" s="144"/>
      <c r="G184" s="16"/>
      <c r="H184" s="139"/>
      <c r="I184" s="202"/>
      <c r="J184" s="133"/>
      <c r="K184" s="130"/>
      <c r="L184" s="36"/>
      <c r="M184" s="36"/>
      <c r="N184" s="16"/>
      <c r="O184" s="16"/>
      <c r="P184" s="16"/>
      <c r="Q184" s="131"/>
      <c r="R184" s="131"/>
      <c r="S184" s="131"/>
      <c r="T184" s="131"/>
      <c r="U184" s="131"/>
      <c r="V184" s="131"/>
      <c r="W184" s="131"/>
    </row>
    <row r="185" spans="1:23" ht="15.75">
      <c r="A185" s="83"/>
      <c r="B185" s="84"/>
      <c r="C185" s="76"/>
      <c r="D185" s="26"/>
      <c r="E185" s="91"/>
      <c r="F185" s="144"/>
      <c r="G185" s="16"/>
      <c r="H185" s="139"/>
      <c r="I185" s="202"/>
      <c r="J185" s="133"/>
      <c r="K185" s="130"/>
      <c r="L185" s="36"/>
      <c r="M185" s="36"/>
      <c r="N185" s="16"/>
      <c r="O185" s="16"/>
      <c r="P185" s="16"/>
      <c r="Q185" s="131"/>
      <c r="R185" s="131"/>
      <c r="S185" s="131"/>
      <c r="T185" s="131"/>
      <c r="U185" s="131"/>
      <c r="V185" s="131"/>
      <c r="W185" s="131"/>
    </row>
    <row r="186" spans="1:23" ht="15.75">
      <c r="A186" s="143"/>
      <c r="B186" s="145"/>
      <c r="C186" s="140"/>
      <c r="D186" s="144"/>
      <c r="E186" s="91"/>
      <c r="F186" s="144"/>
      <c r="G186" s="16"/>
      <c r="H186" s="136"/>
      <c r="I186" s="137"/>
      <c r="J186" s="37"/>
      <c r="K186" s="130"/>
      <c r="L186" s="36"/>
      <c r="M186" s="36"/>
      <c r="N186" s="16"/>
      <c r="O186" s="16"/>
      <c r="P186" s="16"/>
      <c r="Q186" s="131"/>
      <c r="R186" s="131"/>
      <c r="S186" s="131"/>
      <c r="T186" s="131"/>
      <c r="U186" s="131"/>
      <c r="V186" s="131"/>
      <c r="W186" s="131"/>
    </row>
    <row r="187" spans="1:23" ht="15.75">
      <c r="A187" s="140" t="s">
        <v>315</v>
      </c>
      <c r="B187" s="140"/>
      <c r="C187" s="140"/>
      <c r="D187" s="91"/>
      <c r="E187" s="91"/>
      <c r="F187" s="144"/>
      <c r="G187" s="16"/>
      <c r="H187" s="136">
        <f>H190+H198</f>
        <v>130676829.17</v>
      </c>
      <c r="I187" s="137"/>
      <c r="J187" s="37"/>
      <c r="K187" s="137"/>
      <c r="L187" s="36"/>
      <c r="M187" s="36"/>
      <c r="N187" s="16"/>
      <c r="O187" s="16"/>
      <c r="P187" s="16"/>
      <c r="Q187" s="131"/>
      <c r="R187" s="131"/>
      <c r="S187" s="131"/>
      <c r="T187" s="131"/>
      <c r="U187" s="131"/>
      <c r="V187" s="131"/>
      <c r="W187" s="131"/>
    </row>
    <row r="188" spans="1:11" ht="15.75">
      <c r="A188" s="140"/>
      <c r="B188" s="141" t="s">
        <v>277</v>
      </c>
      <c r="C188" s="140"/>
      <c r="D188" s="91"/>
      <c r="E188" s="91"/>
      <c r="F188" s="144"/>
      <c r="H188" s="77">
        <f>H191+H199</f>
        <v>128793006.17</v>
      </c>
      <c r="I188" s="71"/>
      <c r="J188" s="72"/>
      <c r="K188" s="73"/>
    </row>
    <row r="189" spans="1:12" ht="15.75">
      <c r="A189" s="86" t="s">
        <v>252</v>
      </c>
      <c r="B189" s="86" t="s">
        <v>312</v>
      </c>
      <c r="C189" s="86"/>
      <c r="D189" s="87"/>
      <c r="E189" s="91"/>
      <c r="F189" s="144"/>
      <c r="H189" s="77"/>
      <c r="I189" s="71"/>
      <c r="J189" s="72"/>
      <c r="K189" s="73"/>
      <c r="L189" s="73"/>
    </row>
    <row r="190" spans="1:23" ht="18.75">
      <c r="A190" s="143" t="s">
        <v>313</v>
      </c>
      <c r="B190" s="143"/>
      <c r="C190" s="143"/>
      <c r="D190" s="144"/>
      <c r="E190" s="91"/>
      <c r="F190" s="144"/>
      <c r="G190" s="16"/>
      <c r="H190" s="136">
        <v>116347560.98</v>
      </c>
      <c r="I190" s="17"/>
      <c r="J190" s="146"/>
      <c r="K190" s="130"/>
      <c r="L190" s="130"/>
      <c r="M190" s="36"/>
      <c r="N190" s="147"/>
      <c r="O190" s="16"/>
      <c r="P190" s="16"/>
      <c r="Q190" s="131"/>
      <c r="R190" s="131"/>
      <c r="S190" s="131"/>
      <c r="T190" s="131"/>
      <c r="U190" s="131"/>
      <c r="V190" s="131"/>
      <c r="W190" s="131"/>
    </row>
    <row r="191" spans="1:23" ht="15.75">
      <c r="A191" s="143"/>
      <c r="B191" s="145" t="s">
        <v>277</v>
      </c>
      <c r="C191" s="143"/>
      <c r="D191" s="144"/>
      <c r="E191" s="91"/>
      <c r="F191" s="144"/>
      <c r="G191" s="16"/>
      <c r="H191" s="136">
        <f>H190-D347+D310+D336+F347-F317-F314</f>
        <v>115768721.48</v>
      </c>
      <c r="I191" s="137"/>
      <c r="J191" s="146"/>
      <c r="K191" s="130"/>
      <c r="L191" s="36"/>
      <c r="M191" s="36"/>
      <c r="N191" s="147"/>
      <c r="O191" s="16"/>
      <c r="P191" s="16"/>
      <c r="Q191" s="131"/>
      <c r="R191" s="131"/>
      <c r="S191" s="131"/>
      <c r="T191" s="131"/>
      <c r="U191" s="131"/>
      <c r="V191" s="131"/>
      <c r="W191" s="131"/>
    </row>
    <row r="192" spans="1:23" ht="15.75">
      <c r="A192" s="15"/>
      <c r="B192" s="725" t="s">
        <v>251</v>
      </c>
      <c r="C192" s="422"/>
      <c r="D192" s="18"/>
      <c r="E192" s="91"/>
      <c r="F192" s="144"/>
      <c r="G192" s="16"/>
      <c r="H192" s="136"/>
      <c r="I192" s="137"/>
      <c r="J192" s="133"/>
      <c r="K192" s="130"/>
      <c r="L192" s="36"/>
      <c r="M192" s="36"/>
      <c r="N192" s="16"/>
      <c r="O192" s="16"/>
      <c r="P192" s="16"/>
      <c r="Q192" s="131"/>
      <c r="R192" s="131"/>
      <c r="S192" s="131"/>
      <c r="T192" s="131"/>
      <c r="U192" s="131"/>
      <c r="V192" s="131"/>
      <c r="W192" s="131"/>
    </row>
    <row r="193" spans="1:23" ht="15.75">
      <c r="A193" s="15"/>
      <c r="B193" s="975" t="s">
        <v>96</v>
      </c>
      <c r="C193" s="422"/>
      <c r="D193" s="18"/>
      <c r="E193" s="91"/>
      <c r="F193" s="144"/>
      <c r="G193" s="16"/>
      <c r="H193" s="136"/>
      <c r="I193" s="137"/>
      <c r="J193" s="133"/>
      <c r="K193" s="130"/>
      <c r="L193" s="36"/>
      <c r="M193" s="36"/>
      <c r="N193" s="16"/>
      <c r="O193" s="16"/>
      <c r="P193" s="16"/>
      <c r="Q193" s="131"/>
      <c r="R193" s="131"/>
      <c r="S193" s="131"/>
      <c r="T193" s="131"/>
      <c r="U193" s="131"/>
      <c r="V193" s="131"/>
      <c r="W193" s="131"/>
    </row>
    <row r="194" spans="1:23" ht="15.75">
      <c r="A194" s="15"/>
      <c r="B194" s="975" t="s">
        <v>97</v>
      </c>
      <c r="C194" s="422"/>
      <c r="D194" s="18"/>
      <c r="E194" s="91"/>
      <c r="F194" s="144"/>
      <c r="G194" s="16"/>
      <c r="H194" s="139">
        <v>10913721</v>
      </c>
      <c r="I194" s="137"/>
      <c r="J194" s="133"/>
      <c r="K194" s="130"/>
      <c r="L194" s="36"/>
      <c r="M194" s="36"/>
      <c r="N194" s="16"/>
      <c r="O194" s="16"/>
      <c r="P194" s="16"/>
      <c r="Q194" s="131"/>
      <c r="R194" s="131"/>
      <c r="S194" s="131"/>
      <c r="T194" s="131"/>
      <c r="U194" s="131"/>
      <c r="V194" s="131"/>
      <c r="W194" s="131"/>
    </row>
    <row r="195" spans="1:23" ht="15.75">
      <c r="A195" s="15"/>
      <c r="B195" s="423" t="s">
        <v>277</v>
      </c>
      <c r="C195" s="422"/>
      <c r="D195" s="18"/>
      <c r="E195" s="91"/>
      <c r="F195" s="144"/>
      <c r="G195" s="16"/>
      <c r="H195" s="139">
        <f>H194+G347</f>
        <v>10914711</v>
      </c>
      <c r="I195" s="137"/>
      <c r="J195" s="133"/>
      <c r="K195" s="130"/>
      <c r="L195" s="36"/>
      <c r="M195" s="36"/>
      <c r="N195" s="16"/>
      <c r="O195" s="16"/>
      <c r="P195" s="16"/>
      <c r="Q195" s="131"/>
      <c r="R195" s="131"/>
      <c r="S195" s="131"/>
      <c r="T195" s="131"/>
      <c r="U195" s="131"/>
      <c r="V195" s="131"/>
      <c r="W195" s="131"/>
    </row>
    <row r="196" spans="1:23" ht="15.75">
      <c r="A196" s="143"/>
      <c r="B196" s="145"/>
      <c r="C196" s="143"/>
      <c r="D196" s="144"/>
      <c r="E196" s="91"/>
      <c r="F196" s="144"/>
      <c r="G196" s="16"/>
      <c r="H196" s="136"/>
      <c r="I196" s="137"/>
      <c r="J196" s="146"/>
      <c r="K196" s="130"/>
      <c r="L196" s="36"/>
      <c r="M196" s="36"/>
      <c r="N196" s="147"/>
      <c r="O196" s="16"/>
      <c r="P196" s="16"/>
      <c r="Q196" s="131"/>
      <c r="R196" s="131"/>
      <c r="S196" s="131"/>
      <c r="T196" s="131"/>
      <c r="U196" s="131"/>
      <c r="V196" s="131"/>
      <c r="W196" s="131"/>
    </row>
    <row r="197" spans="1:23" ht="15.75">
      <c r="A197" s="143"/>
      <c r="B197" s="84"/>
      <c r="C197" s="76"/>
      <c r="D197" s="26"/>
      <c r="E197" s="91"/>
      <c r="F197" s="144"/>
      <c r="G197" s="16"/>
      <c r="H197" s="136"/>
      <c r="I197" s="137"/>
      <c r="J197" s="37"/>
      <c r="K197" s="130"/>
      <c r="L197" s="36"/>
      <c r="M197" s="36"/>
      <c r="N197" s="16"/>
      <c r="O197" s="16"/>
      <c r="P197" s="16"/>
      <c r="Q197" s="131"/>
      <c r="R197" s="131"/>
      <c r="S197" s="131"/>
      <c r="T197" s="131"/>
      <c r="U197" s="131"/>
      <c r="V197" s="131"/>
      <c r="W197" s="131"/>
    </row>
    <row r="198" spans="1:23" ht="15.75">
      <c r="A198" s="143" t="s">
        <v>314</v>
      </c>
      <c r="B198" s="143"/>
      <c r="C198" s="140"/>
      <c r="D198" s="144"/>
      <c r="E198" s="91"/>
      <c r="F198" s="144"/>
      <c r="G198" s="16"/>
      <c r="H198" s="136">
        <v>14329268.19</v>
      </c>
      <c r="I198" s="137"/>
      <c r="J198" s="37"/>
      <c r="K198" s="130"/>
      <c r="L198" s="36"/>
      <c r="M198" s="36"/>
      <c r="N198" s="16"/>
      <c r="O198" s="16"/>
      <c r="P198" s="16"/>
      <c r="Q198" s="131"/>
      <c r="R198" s="131"/>
      <c r="S198" s="131"/>
      <c r="T198" s="131"/>
      <c r="U198" s="131"/>
      <c r="V198" s="131"/>
      <c r="W198" s="131"/>
    </row>
    <row r="199" spans="1:23" ht="15.75">
      <c r="A199" s="143"/>
      <c r="B199" s="145" t="s">
        <v>277</v>
      </c>
      <c r="C199" s="140"/>
      <c r="D199" s="144"/>
      <c r="E199" s="91"/>
      <c r="F199" s="144"/>
      <c r="G199" s="16"/>
      <c r="H199" s="136">
        <f>H198-D310-D336+F314+F317</f>
        <v>13024284.69</v>
      </c>
      <c r="I199" s="137"/>
      <c r="J199" s="146"/>
      <c r="K199" s="130"/>
      <c r="L199" s="36"/>
      <c r="M199" s="36"/>
      <c r="N199" s="16"/>
      <c r="O199" s="16"/>
      <c r="P199" s="16"/>
      <c r="Q199" s="131"/>
      <c r="R199" s="131"/>
      <c r="S199" s="131"/>
      <c r="T199" s="131"/>
      <c r="U199" s="131"/>
      <c r="V199" s="131"/>
      <c r="W199" s="131"/>
    </row>
    <row r="200" spans="1:23" ht="15.75">
      <c r="A200" s="15"/>
      <c r="B200" s="423"/>
      <c r="C200" s="422"/>
      <c r="D200" s="18"/>
      <c r="E200" s="91"/>
      <c r="F200" s="144"/>
      <c r="G200" s="16"/>
      <c r="H200" s="139"/>
      <c r="I200" s="137"/>
      <c r="J200" s="133"/>
      <c r="K200" s="130"/>
      <c r="L200" s="36"/>
      <c r="M200" s="36"/>
      <c r="N200" s="16"/>
      <c r="O200" s="16"/>
      <c r="P200" s="16"/>
      <c r="Q200" s="131"/>
      <c r="R200" s="131"/>
      <c r="S200" s="131"/>
      <c r="T200" s="131"/>
      <c r="U200" s="131"/>
      <c r="V200" s="131"/>
      <c r="W200" s="131"/>
    </row>
    <row r="201" spans="1:23" ht="15.75">
      <c r="A201" s="15"/>
      <c r="B201" s="423"/>
      <c r="C201" s="422"/>
      <c r="D201" s="18"/>
      <c r="E201" s="91"/>
      <c r="F201" s="144"/>
      <c r="G201" s="16"/>
      <c r="H201" s="139"/>
      <c r="I201" s="137"/>
      <c r="J201" s="133"/>
      <c r="K201" s="130"/>
      <c r="L201" s="36"/>
      <c r="M201" s="36"/>
      <c r="N201" s="16"/>
      <c r="O201" s="16"/>
      <c r="P201" s="16"/>
      <c r="Q201" s="131"/>
      <c r="R201" s="131"/>
      <c r="S201" s="131"/>
      <c r="T201" s="131"/>
      <c r="U201" s="131"/>
      <c r="V201" s="131"/>
      <c r="W201" s="131"/>
    </row>
    <row r="202" spans="1:23" ht="15.75">
      <c r="A202" s="15"/>
      <c r="B202" s="423"/>
      <c r="C202" s="422"/>
      <c r="D202" s="18"/>
      <c r="E202" s="91"/>
      <c r="F202" s="144"/>
      <c r="G202" s="16"/>
      <c r="H202" s="139"/>
      <c r="I202" s="137"/>
      <c r="J202" s="133"/>
      <c r="K202" s="130"/>
      <c r="L202" s="36"/>
      <c r="M202" s="36"/>
      <c r="N202" s="16"/>
      <c r="O202" s="16"/>
      <c r="P202" s="16"/>
      <c r="Q202" s="131"/>
      <c r="R202" s="131"/>
      <c r="S202" s="131"/>
      <c r="T202" s="131"/>
      <c r="U202" s="131"/>
      <c r="V202" s="131"/>
      <c r="W202" s="131"/>
    </row>
    <row r="203" spans="1:23" ht="18.75">
      <c r="A203" s="148" t="s">
        <v>263</v>
      </c>
      <c r="B203" s="149"/>
      <c r="C203" s="150"/>
      <c r="D203" s="18"/>
      <c r="E203" s="18"/>
      <c r="F203" s="18"/>
      <c r="G203" s="18"/>
      <c r="H203" s="21"/>
      <c r="I203" s="137"/>
      <c r="J203" s="133"/>
      <c r="K203" s="151"/>
      <c r="L203" s="38"/>
      <c r="M203" s="36"/>
      <c r="N203" s="147"/>
      <c r="O203" s="147"/>
      <c r="P203" s="16"/>
      <c r="Q203" s="16"/>
      <c r="R203" s="16"/>
      <c r="S203" s="16"/>
      <c r="T203" s="16"/>
      <c r="U203" s="16"/>
      <c r="V203" s="16"/>
      <c r="W203" s="16"/>
    </row>
    <row r="204" spans="1:23" ht="18.75">
      <c r="A204" s="148"/>
      <c r="B204" s="149"/>
      <c r="C204" s="150"/>
      <c r="D204" s="18"/>
      <c r="E204" s="18"/>
      <c r="F204" s="18"/>
      <c r="G204" s="18"/>
      <c r="H204" s="21"/>
      <c r="I204" s="137"/>
      <c r="J204" s="133"/>
      <c r="K204" s="151"/>
      <c r="L204" s="38"/>
      <c r="M204" s="36"/>
      <c r="N204" s="147"/>
      <c r="O204" s="147"/>
      <c r="P204" s="16"/>
      <c r="Q204" s="16"/>
      <c r="R204" s="16"/>
      <c r="S204" s="16"/>
      <c r="T204" s="16"/>
      <c r="U204" s="16"/>
      <c r="V204" s="16"/>
      <c r="W204" s="16"/>
    </row>
    <row r="205" spans="1:23" ht="18.75">
      <c r="A205" s="148"/>
      <c r="B205" s="149"/>
      <c r="C205" s="150"/>
      <c r="D205" s="18"/>
      <c r="E205" s="18"/>
      <c r="F205" s="18"/>
      <c r="G205" s="18"/>
      <c r="H205" s="21"/>
      <c r="I205" s="137"/>
      <c r="J205" s="38"/>
      <c r="K205" s="151"/>
      <c r="L205" s="152"/>
      <c r="M205" s="3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ht="18.75">
      <c r="A206" s="153" t="s">
        <v>838</v>
      </c>
      <c r="B206" s="153"/>
      <c r="C206" s="154"/>
      <c r="D206" s="19"/>
      <c r="E206" s="19"/>
      <c r="F206" s="19"/>
      <c r="G206" s="19"/>
      <c r="H206" s="17"/>
      <c r="I206" s="137"/>
      <c r="J206" s="37"/>
      <c r="K206" s="130"/>
      <c r="L206" s="155"/>
      <c r="M206" s="15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ht="18.75">
      <c r="A207" s="153"/>
      <c r="B207" s="153"/>
      <c r="C207" s="154"/>
      <c r="D207" s="19"/>
      <c r="E207" s="19"/>
      <c r="F207" s="19"/>
      <c r="G207" s="19"/>
      <c r="H207" s="17"/>
      <c r="I207" s="137"/>
      <c r="J207" s="37"/>
      <c r="K207" s="130"/>
      <c r="L207" s="155"/>
      <c r="M207" s="15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ht="18.75">
      <c r="A208" s="153"/>
      <c r="B208" s="153"/>
      <c r="C208" s="154"/>
      <c r="D208" s="19"/>
      <c r="E208" s="19"/>
      <c r="F208" s="19"/>
      <c r="G208" s="19"/>
      <c r="H208" s="17"/>
      <c r="I208" s="137"/>
      <c r="J208" s="37"/>
      <c r="K208" s="130"/>
      <c r="L208" s="142"/>
      <c r="M208" s="130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ht="18.75">
      <c r="A209" s="100"/>
      <c r="B209" s="100"/>
      <c r="C209" s="101"/>
      <c r="D209" s="10" t="s">
        <v>249</v>
      </c>
      <c r="E209" s="11"/>
      <c r="F209" s="10" t="s">
        <v>250</v>
      </c>
      <c r="G209" s="11"/>
      <c r="H209" s="17"/>
      <c r="I209" s="137"/>
      <c r="J209" s="137"/>
      <c r="K209" s="137"/>
      <c r="L209" s="36"/>
      <c r="M209" s="3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ht="13.5" customHeight="1">
      <c r="A210" s="102"/>
      <c r="B210" s="102"/>
      <c r="C210" s="103"/>
      <c r="D210" s="12" t="s">
        <v>252</v>
      </c>
      <c r="E210" s="11" t="s">
        <v>251</v>
      </c>
      <c r="F210" s="12" t="s">
        <v>252</v>
      </c>
      <c r="G210" s="11" t="s">
        <v>251</v>
      </c>
      <c r="H210" s="17"/>
      <c r="I210" s="137"/>
      <c r="J210" s="37"/>
      <c r="K210" s="130"/>
      <c r="L210" s="36"/>
      <c r="M210" s="3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ht="27.75" customHeight="1">
      <c r="A211" s="104" t="s">
        <v>254</v>
      </c>
      <c r="B211" s="104" t="s">
        <v>260</v>
      </c>
      <c r="C211" s="104" t="s">
        <v>255</v>
      </c>
      <c r="D211" s="13" t="s">
        <v>256</v>
      </c>
      <c r="E211" s="14" t="s">
        <v>257</v>
      </c>
      <c r="F211" s="13" t="s">
        <v>256</v>
      </c>
      <c r="G211" s="14" t="s">
        <v>257</v>
      </c>
      <c r="H211" s="17"/>
      <c r="I211" s="151"/>
      <c r="J211" s="37"/>
      <c r="K211" s="130"/>
      <c r="L211" s="36"/>
      <c r="M211" s="3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s="29" customFormat="1" ht="19.5" customHeight="1">
      <c r="A212" s="108" t="s">
        <v>52</v>
      </c>
      <c r="B212" s="105"/>
      <c r="C212" s="157"/>
      <c r="D212" s="528">
        <f>SUM(D213:D214)</f>
        <v>252158.5</v>
      </c>
      <c r="E212" s="528">
        <f>SUM(E213:E214)</f>
        <v>0</v>
      </c>
      <c r="F212" s="528">
        <f>SUM(F213:F214)</f>
        <v>20000</v>
      </c>
      <c r="G212" s="528">
        <f>SUM(G213:G214)</f>
        <v>0</v>
      </c>
      <c r="H212" s="136"/>
      <c r="I212" s="133"/>
      <c r="J212" s="38"/>
      <c r="K212" s="133"/>
      <c r="L212" s="38"/>
      <c r="M212" s="3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1:23" s="29" customFormat="1" ht="19.5" customHeight="1">
      <c r="A213" s="108"/>
      <c r="B213" s="110" t="s">
        <v>56</v>
      </c>
      <c r="C213" s="457" t="s">
        <v>138</v>
      </c>
      <c r="D213" s="939">
        <f>90000+25000+88000+5000+44158.5</f>
        <v>252158.5</v>
      </c>
      <c r="E213" s="939"/>
      <c r="F213" s="938"/>
      <c r="G213" s="528"/>
      <c r="H213" s="136"/>
      <c r="I213" s="133"/>
      <c r="J213" s="38"/>
      <c r="K213" s="133"/>
      <c r="L213" s="38"/>
      <c r="M213" s="3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1:23" s="29" customFormat="1" ht="19.5" customHeight="1">
      <c r="A214" s="550"/>
      <c r="B214" s="110" t="s">
        <v>45</v>
      </c>
      <c r="C214" s="457" t="s">
        <v>136</v>
      </c>
      <c r="D214" s="938"/>
      <c r="E214" s="939"/>
      <c r="F214" s="938">
        <v>20000</v>
      </c>
      <c r="G214" s="528"/>
      <c r="H214" s="136"/>
      <c r="I214" s="133"/>
      <c r="J214" s="38"/>
      <c r="K214" s="133"/>
      <c r="L214" s="38"/>
      <c r="M214" s="3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1:23" s="29" customFormat="1" ht="19.5" customHeight="1">
      <c r="A215" s="949" t="s">
        <v>57</v>
      </c>
      <c r="B215" s="105"/>
      <c r="C215" s="157"/>
      <c r="D215" s="732">
        <f>D216+D219</f>
        <v>532514</v>
      </c>
      <c r="E215" s="528"/>
      <c r="F215" s="732">
        <f>F216+F219</f>
        <v>2700</v>
      </c>
      <c r="G215" s="528"/>
      <c r="H215" s="136"/>
      <c r="I215" s="133"/>
      <c r="J215" s="38"/>
      <c r="K215" s="133"/>
      <c r="L215" s="38"/>
      <c r="M215" s="3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1:23" s="28" customFormat="1" ht="19.5" customHeight="1">
      <c r="A216" s="412"/>
      <c r="B216" s="457" t="s">
        <v>145</v>
      </c>
      <c r="C216" s="457"/>
      <c r="D216" s="938">
        <f>SUM(D217:D218)</f>
        <v>2700</v>
      </c>
      <c r="E216" s="939"/>
      <c r="F216" s="938">
        <f>SUM(F217:F218)</f>
        <v>2700</v>
      </c>
      <c r="G216" s="939"/>
      <c r="H216" s="139"/>
      <c r="I216" s="146"/>
      <c r="J216" s="37"/>
      <c r="K216" s="146"/>
      <c r="L216" s="37"/>
      <c r="M216" s="37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28" customFormat="1" ht="19.5" customHeight="1">
      <c r="A217" s="112"/>
      <c r="B217" s="412"/>
      <c r="C217" s="457" t="s">
        <v>309</v>
      </c>
      <c r="D217" s="938">
        <v>2700</v>
      </c>
      <c r="E217" s="939"/>
      <c r="F217" s="939"/>
      <c r="G217" s="939"/>
      <c r="H217" s="139"/>
      <c r="I217" s="146"/>
      <c r="J217" s="37"/>
      <c r="K217" s="146"/>
      <c r="L217" s="37"/>
      <c r="M217" s="37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28" customFormat="1" ht="19.5" customHeight="1">
      <c r="A218" s="112"/>
      <c r="B218" s="124"/>
      <c r="C218" s="457" t="s">
        <v>138</v>
      </c>
      <c r="D218" s="938"/>
      <c r="E218" s="939"/>
      <c r="F218" s="939">
        <v>2700</v>
      </c>
      <c r="G218" s="939"/>
      <c r="H218" s="139"/>
      <c r="I218" s="146"/>
      <c r="J218" s="37"/>
      <c r="K218" s="146"/>
      <c r="L218" s="37"/>
      <c r="M218" s="37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s="28" customFormat="1" ht="19.5" customHeight="1">
      <c r="A219" s="124"/>
      <c r="B219" s="124" t="s">
        <v>58</v>
      </c>
      <c r="C219" s="457" t="s">
        <v>138</v>
      </c>
      <c r="D219" s="938">
        <f>573233-43419</f>
        <v>529814</v>
      </c>
      <c r="E219" s="939"/>
      <c r="F219" s="939"/>
      <c r="G219" s="939"/>
      <c r="H219" s="139"/>
      <c r="I219" s="146"/>
      <c r="J219" s="37"/>
      <c r="K219" s="146"/>
      <c r="L219" s="37"/>
      <c r="M219" s="37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s="29" customFormat="1" ht="19.5" customHeight="1">
      <c r="A220" s="949" t="s">
        <v>385</v>
      </c>
      <c r="B220" s="105"/>
      <c r="C220" s="157"/>
      <c r="D220" s="732">
        <f>SUM(D221:D222)</f>
        <v>0</v>
      </c>
      <c r="E220" s="732">
        <f>SUM(E221:E222)</f>
        <v>0</v>
      </c>
      <c r="F220" s="732">
        <f>SUM(F221:F222)</f>
        <v>14782.5</v>
      </c>
      <c r="G220" s="528"/>
      <c r="H220" s="136"/>
      <c r="I220" s="133"/>
      <c r="J220" s="38"/>
      <c r="K220" s="133"/>
      <c r="L220" s="38"/>
      <c r="M220" s="3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1:23" s="29" customFormat="1" ht="19.5" customHeight="1">
      <c r="A221" s="108"/>
      <c r="B221" s="110" t="s">
        <v>386</v>
      </c>
      <c r="C221" s="457" t="s">
        <v>136</v>
      </c>
      <c r="D221" s="732"/>
      <c r="E221" s="528"/>
      <c r="F221" s="939">
        <v>9720</v>
      </c>
      <c r="G221" s="528"/>
      <c r="H221" s="136"/>
      <c r="I221" s="133"/>
      <c r="J221" s="38"/>
      <c r="K221" s="133"/>
      <c r="L221" s="38"/>
      <c r="M221" s="3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1:23" s="29" customFormat="1" ht="19.5" customHeight="1">
      <c r="A222" s="550"/>
      <c r="B222" s="110" t="s">
        <v>306</v>
      </c>
      <c r="C222" s="457" t="s">
        <v>307</v>
      </c>
      <c r="D222" s="732"/>
      <c r="E222" s="528"/>
      <c r="F222" s="939">
        <v>5062.5</v>
      </c>
      <c r="G222" s="528"/>
      <c r="H222" s="136"/>
      <c r="I222" s="133"/>
      <c r="J222" s="38"/>
      <c r="K222" s="133"/>
      <c r="L222" s="38"/>
      <c r="M222" s="3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1:23" s="29" customFormat="1" ht="19.5" customHeight="1">
      <c r="A223" s="550" t="s">
        <v>126</v>
      </c>
      <c r="B223" s="109" t="s">
        <v>127</v>
      </c>
      <c r="C223" s="457" t="s">
        <v>136</v>
      </c>
      <c r="D223" s="732"/>
      <c r="E223" s="528"/>
      <c r="F223" s="528">
        <v>3500</v>
      </c>
      <c r="G223" s="528"/>
      <c r="H223" s="136"/>
      <c r="I223" s="133"/>
      <c r="J223" s="38"/>
      <c r="K223" s="133"/>
      <c r="L223" s="38"/>
      <c r="M223" s="3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1:23" s="29" customFormat="1" ht="19.5" customHeight="1">
      <c r="A224" s="550" t="s">
        <v>706</v>
      </c>
      <c r="B224" s="105" t="s">
        <v>707</v>
      </c>
      <c r="C224" s="105" t="s">
        <v>136</v>
      </c>
      <c r="D224" s="528">
        <v>100000</v>
      </c>
      <c r="E224" s="528"/>
      <c r="F224" s="528"/>
      <c r="G224" s="528"/>
      <c r="H224" s="136"/>
      <c r="I224" s="133"/>
      <c r="J224" s="38"/>
      <c r="K224" s="133"/>
      <c r="L224" s="38"/>
      <c r="M224" s="3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1:23" s="730" customFormat="1" ht="19.5" customHeight="1">
      <c r="A225" s="105" t="s">
        <v>135</v>
      </c>
      <c r="B225" s="105" t="s">
        <v>87</v>
      </c>
      <c r="C225" s="105" t="s">
        <v>88</v>
      </c>
      <c r="D225" s="528"/>
      <c r="E225" s="106"/>
      <c r="F225" s="106">
        <f>188230-13068+12800+42742.4-168000-3500+5000-18000</f>
        <v>46204.399999999994</v>
      </c>
      <c r="G225" s="528"/>
      <c r="H225" s="727"/>
      <c r="I225" s="728"/>
      <c r="J225" s="729"/>
      <c r="K225" s="728"/>
      <c r="L225" s="729"/>
      <c r="M225" s="729"/>
      <c r="N225" s="527"/>
      <c r="O225" s="527"/>
      <c r="P225" s="527"/>
      <c r="Q225" s="527"/>
      <c r="R225" s="527"/>
      <c r="S225" s="527"/>
      <c r="T225" s="527"/>
      <c r="U225" s="527"/>
      <c r="V225" s="527"/>
      <c r="W225" s="527"/>
    </row>
    <row r="226" spans="1:23" s="29" customFormat="1" ht="19.5" customHeight="1">
      <c r="A226" s="105" t="s">
        <v>823</v>
      </c>
      <c r="B226" s="105"/>
      <c r="C226" s="109"/>
      <c r="D226" s="106">
        <f>D227+D235+D236+D247+D252+D253</f>
        <v>260869</v>
      </c>
      <c r="E226" s="106"/>
      <c r="F226" s="106">
        <f>F227+F235+F236+F247+F252+F253</f>
        <v>293847</v>
      </c>
      <c r="G226" s="106"/>
      <c r="H226" s="136"/>
      <c r="I226" s="133"/>
      <c r="J226" s="133"/>
      <c r="K226" s="133"/>
      <c r="L226" s="38"/>
      <c r="M226" s="3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1:23" s="28" customFormat="1" ht="19.5" customHeight="1">
      <c r="A227" s="112"/>
      <c r="B227" s="412" t="s">
        <v>108</v>
      </c>
      <c r="C227" s="457"/>
      <c r="D227" s="111">
        <f>SUM(D228:D234)</f>
        <v>70636</v>
      </c>
      <c r="E227" s="111"/>
      <c r="F227" s="111">
        <f>SUM(F228:F234)</f>
        <v>124594</v>
      </c>
      <c r="G227" s="111"/>
      <c r="H227" s="139"/>
      <c r="I227" s="146"/>
      <c r="J227" s="146"/>
      <c r="K227" s="146"/>
      <c r="L227" s="37"/>
      <c r="M227" s="37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s="28" customFormat="1" ht="19.5" customHeight="1">
      <c r="A228" s="112"/>
      <c r="B228" s="412"/>
      <c r="C228" s="457" t="s">
        <v>10</v>
      </c>
      <c r="D228" s="111">
        <v>69735</v>
      </c>
      <c r="E228" s="111"/>
      <c r="F228" s="111"/>
      <c r="G228" s="111"/>
      <c r="H228" s="139"/>
      <c r="I228" s="146"/>
      <c r="J228" s="146"/>
      <c r="K228" s="146"/>
      <c r="L228" s="37"/>
      <c r="M228" s="37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s="28" customFormat="1" ht="19.5" customHeight="1">
      <c r="A229" s="112"/>
      <c r="B229" s="113"/>
      <c r="C229" s="457" t="s">
        <v>379</v>
      </c>
      <c r="D229" s="111"/>
      <c r="E229" s="111"/>
      <c r="F229" s="111">
        <f>21310+2126+5574</f>
        <v>29010</v>
      </c>
      <c r="G229" s="111"/>
      <c r="H229" s="139"/>
      <c r="I229" s="146"/>
      <c r="J229" s="146"/>
      <c r="K229" s="146"/>
      <c r="L229" s="37"/>
      <c r="M229" s="37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s="28" customFormat="1" ht="19.5" customHeight="1">
      <c r="A230" s="112"/>
      <c r="B230" s="113"/>
      <c r="C230" s="457" t="s">
        <v>13</v>
      </c>
      <c r="D230" s="111"/>
      <c r="E230" s="111"/>
      <c r="F230" s="111">
        <v>13690</v>
      </c>
      <c r="G230" s="111"/>
      <c r="H230" s="139"/>
      <c r="I230" s="146"/>
      <c r="J230" s="146"/>
      <c r="K230" s="146"/>
      <c r="L230" s="37"/>
      <c r="M230" s="37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s="28" customFormat="1" ht="19.5" customHeight="1">
      <c r="A231" s="112"/>
      <c r="B231" s="113"/>
      <c r="C231" s="457" t="s">
        <v>582</v>
      </c>
      <c r="D231" s="111"/>
      <c r="E231" s="111"/>
      <c r="F231" s="111">
        <f>1328+14000+1500+35000+30000</f>
        <v>81828</v>
      </c>
      <c r="G231" s="111"/>
      <c r="H231" s="139"/>
      <c r="I231" s="146"/>
      <c r="J231" s="146"/>
      <c r="K231" s="146"/>
      <c r="L231" s="37"/>
      <c r="M231" s="37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s="28" customFormat="1" ht="19.5" customHeight="1">
      <c r="A232" s="112"/>
      <c r="B232" s="113"/>
      <c r="C232" s="457" t="s">
        <v>675</v>
      </c>
      <c r="D232" s="111"/>
      <c r="E232" s="111"/>
      <c r="F232" s="111">
        <v>66</v>
      </c>
      <c r="G232" s="111"/>
      <c r="H232" s="139"/>
      <c r="I232" s="146"/>
      <c r="J232" s="146"/>
      <c r="K232" s="146"/>
      <c r="L232" s="37"/>
      <c r="M232" s="37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s="28" customFormat="1" ht="19.5" customHeight="1">
      <c r="A233" s="112"/>
      <c r="B233" s="113"/>
      <c r="C233" s="457" t="s">
        <v>308</v>
      </c>
      <c r="D233" s="111">
        <v>314</v>
      </c>
      <c r="E233" s="111"/>
      <c r="F233" s="111"/>
      <c r="G233" s="111"/>
      <c r="H233" s="139"/>
      <c r="I233" s="146"/>
      <c r="J233" s="146"/>
      <c r="K233" s="146"/>
      <c r="L233" s="37"/>
      <c r="M233" s="37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s="28" customFormat="1" ht="19.5" customHeight="1">
      <c r="A234" s="112"/>
      <c r="B234" s="124"/>
      <c r="C234" s="457" t="s">
        <v>124</v>
      </c>
      <c r="D234" s="111">
        <v>587</v>
      </c>
      <c r="E234" s="111"/>
      <c r="F234" s="111"/>
      <c r="G234" s="111"/>
      <c r="H234" s="139"/>
      <c r="I234" s="146"/>
      <c r="J234" s="146"/>
      <c r="K234" s="146"/>
      <c r="L234" s="37"/>
      <c r="M234" s="37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s="28" customFormat="1" ht="19.5" customHeight="1">
      <c r="A235" s="112"/>
      <c r="B235" s="124" t="s">
        <v>11</v>
      </c>
      <c r="C235" s="457" t="s">
        <v>10</v>
      </c>
      <c r="D235" s="111">
        <v>523</v>
      </c>
      <c r="E235" s="111"/>
      <c r="F235" s="111"/>
      <c r="G235" s="111"/>
      <c r="H235" s="139"/>
      <c r="I235" s="146"/>
      <c r="J235" s="146"/>
      <c r="K235" s="146"/>
      <c r="L235" s="37"/>
      <c r="M235" s="37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s="28" customFormat="1" ht="19.5" customHeight="1">
      <c r="A236" s="112"/>
      <c r="B236" s="124" t="s">
        <v>517</v>
      </c>
      <c r="C236" s="457"/>
      <c r="D236" s="111">
        <f>SUM(D237:D246)</f>
        <v>109393</v>
      </c>
      <c r="E236" s="111"/>
      <c r="F236" s="111">
        <f>SUM(F238:F246)</f>
        <v>103983</v>
      </c>
      <c r="G236" s="111"/>
      <c r="H236" s="139"/>
      <c r="I236" s="146"/>
      <c r="J236" s="146"/>
      <c r="K236" s="146"/>
      <c r="L236" s="37"/>
      <c r="M236" s="37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s="28" customFormat="1" ht="19.5" customHeight="1">
      <c r="A237" s="112"/>
      <c r="B237" s="113"/>
      <c r="C237" s="457" t="s">
        <v>10</v>
      </c>
      <c r="D237" s="111">
        <f>70678+12800</f>
        <v>83478</v>
      </c>
      <c r="E237" s="111"/>
      <c r="F237" s="111"/>
      <c r="G237" s="111"/>
      <c r="H237" s="139"/>
      <c r="I237" s="146"/>
      <c r="J237" s="146"/>
      <c r="K237" s="146"/>
      <c r="L237" s="37"/>
      <c r="M237" s="37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s="28" customFormat="1" ht="19.5" customHeight="1">
      <c r="A238" s="112"/>
      <c r="B238" s="113"/>
      <c r="C238" s="457" t="s">
        <v>379</v>
      </c>
      <c r="D238" s="111"/>
      <c r="E238" s="111"/>
      <c r="F238" s="111">
        <f>4000+1500</f>
        <v>5500</v>
      </c>
      <c r="G238" s="111"/>
      <c r="H238" s="139"/>
      <c r="I238" s="146"/>
      <c r="J238" s="146"/>
      <c r="K238" s="146"/>
      <c r="L238" s="37"/>
      <c r="M238" s="37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s="28" customFormat="1" ht="19.5" customHeight="1">
      <c r="A239" s="112"/>
      <c r="B239" s="113"/>
      <c r="C239" s="457" t="s">
        <v>119</v>
      </c>
      <c r="D239" s="111">
        <v>12500</v>
      </c>
      <c r="E239" s="111"/>
      <c r="F239" s="111"/>
      <c r="G239" s="111"/>
      <c r="H239" s="139"/>
      <c r="I239" s="146"/>
      <c r="J239" s="146"/>
      <c r="K239" s="146"/>
      <c r="L239" s="37"/>
      <c r="M239" s="37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s="28" customFormat="1" ht="19.5" customHeight="1">
      <c r="A240" s="112"/>
      <c r="B240" s="113"/>
      <c r="C240" s="457" t="s">
        <v>582</v>
      </c>
      <c r="D240" s="111"/>
      <c r="E240" s="111"/>
      <c r="F240" s="111">
        <f>6000+200+65000</f>
        <v>71200</v>
      </c>
      <c r="G240" s="111"/>
      <c r="H240" s="139"/>
      <c r="I240" s="146"/>
      <c r="J240" s="146"/>
      <c r="K240" s="146"/>
      <c r="L240" s="37"/>
      <c r="M240" s="37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s="28" customFormat="1" ht="19.5" customHeight="1">
      <c r="A241" s="112"/>
      <c r="B241" s="113"/>
      <c r="C241" s="457" t="s">
        <v>136</v>
      </c>
      <c r="D241" s="111">
        <f>755+960</f>
        <v>1715</v>
      </c>
      <c r="E241" s="111"/>
      <c r="F241" s="111"/>
      <c r="G241" s="111"/>
      <c r="H241" s="139"/>
      <c r="I241" s="146"/>
      <c r="J241" s="146"/>
      <c r="K241" s="146"/>
      <c r="L241" s="37"/>
      <c r="M241" s="37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s="28" customFormat="1" ht="19.5" customHeight="1">
      <c r="A242" s="112"/>
      <c r="B242" s="113"/>
      <c r="C242" s="457" t="s">
        <v>120</v>
      </c>
      <c r="D242" s="111"/>
      <c r="E242" s="111"/>
      <c r="F242" s="111">
        <v>200</v>
      </c>
      <c r="G242" s="111"/>
      <c r="H242" s="139"/>
      <c r="I242" s="146"/>
      <c r="J242" s="146"/>
      <c r="K242" s="146"/>
      <c r="L242" s="37"/>
      <c r="M242" s="37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s="28" customFormat="1" ht="19.5" customHeight="1">
      <c r="A243" s="112"/>
      <c r="B243" s="113"/>
      <c r="C243" s="457" t="s">
        <v>308</v>
      </c>
      <c r="D243" s="111">
        <v>1700</v>
      </c>
      <c r="E243" s="111"/>
      <c r="F243" s="111"/>
      <c r="G243" s="111"/>
      <c r="H243" s="139"/>
      <c r="I243" s="146"/>
      <c r="J243" s="146"/>
      <c r="K243" s="146"/>
      <c r="L243" s="37"/>
      <c r="M243" s="37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s="28" customFormat="1" ht="19.5" customHeight="1">
      <c r="A244" s="112"/>
      <c r="B244" s="113"/>
      <c r="C244" s="457" t="s">
        <v>380</v>
      </c>
      <c r="D244" s="111"/>
      <c r="E244" s="111"/>
      <c r="F244" s="111">
        <f>755+760</f>
        <v>1515</v>
      </c>
      <c r="G244" s="111"/>
      <c r="H244" s="139"/>
      <c r="I244" s="146"/>
      <c r="J244" s="146"/>
      <c r="K244" s="146"/>
      <c r="L244" s="37"/>
      <c r="M244" s="37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s="28" customFormat="1" ht="19.5" customHeight="1">
      <c r="A245" s="112"/>
      <c r="B245" s="113"/>
      <c r="C245" s="457" t="s">
        <v>138</v>
      </c>
      <c r="D245" s="111">
        <v>10000</v>
      </c>
      <c r="E245" s="111"/>
      <c r="F245" s="111"/>
      <c r="G245" s="111"/>
      <c r="H245" s="139"/>
      <c r="I245" s="146"/>
      <c r="J245" s="146"/>
      <c r="K245" s="146"/>
      <c r="L245" s="37"/>
      <c r="M245" s="37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s="28" customFormat="1" ht="19.5" customHeight="1">
      <c r="A246" s="112"/>
      <c r="B246" s="113"/>
      <c r="C246" s="457" t="s">
        <v>833</v>
      </c>
      <c r="D246" s="111"/>
      <c r="E246" s="111"/>
      <c r="F246" s="111">
        <f>13068+12500</f>
        <v>25568</v>
      </c>
      <c r="G246" s="111"/>
      <c r="H246" s="139"/>
      <c r="I246" s="146"/>
      <c r="J246" s="146"/>
      <c r="K246" s="146"/>
      <c r="L246" s="37"/>
      <c r="M246" s="37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s="28" customFormat="1" ht="19.5" customHeight="1">
      <c r="A247" s="112"/>
      <c r="B247" s="207" t="s">
        <v>55</v>
      </c>
      <c r="C247" s="110"/>
      <c r="D247" s="111">
        <f>SUM(D248:D251)</f>
        <v>75343</v>
      </c>
      <c r="E247" s="111"/>
      <c r="F247" s="111">
        <f>SUM(F248:F251)</f>
        <v>39850</v>
      </c>
      <c r="G247" s="111"/>
      <c r="H247" s="139"/>
      <c r="I247" s="146"/>
      <c r="J247" s="146"/>
      <c r="K247" s="146"/>
      <c r="L247" s="37"/>
      <c r="M247" s="37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s="28" customFormat="1" ht="19.5" customHeight="1">
      <c r="A248" s="112"/>
      <c r="B248" s="113"/>
      <c r="C248" s="413" t="s">
        <v>10</v>
      </c>
      <c r="D248" s="111">
        <v>29292</v>
      </c>
      <c r="E248" s="111"/>
      <c r="F248" s="111"/>
      <c r="G248" s="111"/>
      <c r="H248" s="139"/>
      <c r="I248" s="146"/>
      <c r="J248" s="146"/>
      <c r="K248" s="146"/>
      <c r="L248" s="37"/>
      <c r="M248" s="37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s="28" customFormat="1" ht="19.5" customHeight="1">
      <c r="A249" s="112"/>
      <c r="B249" s="113"/>
      <c r="C249" s="457" t="s">
        <v>14</v>
      </c>
      <c r="D249" s="111">
        <v>420</v>
      </c>
      <c r="E249" s="111"/>
      <c r="F249" s="111"/>
      <c r="G249" s="111"/>
      <c r="H249" s="139"/>
      <c r="I249" s="146"/>
      <c r="J249" s="146"/>
      <c r="K249" s="146"/>
      <c r="L249" s="37"/>
      <c r="M249" s="37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s="28" customFormat="1" ht="19.5" customHeight="1">
      <c r="A250" s="112"/>
      <c r="B250" s="113"/>
      <c r="C250" s="457" t="s">
        <v>582</v>
      </c>
      <c r="D250" s="111"/>
      <c r="E250" s="111"/>
      <c r="F250" s="111">
        <f>1850+38000</f>
        <v>39850</v>
      </c>
      <c r="G250" s="111"/>
      <c r="H250" s="139"/>
      <c r="I250" s="146"/>
      <c r="J250" s="146"/>
      <c r="K250" s="146"/>
      <c r="L250" s="37"/>
      <c r="M250" s="37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s="28" customFormat="1" ht="19.5" customHeight="1">
      <c r="A251" s="112"/>
      <c r="B251" s="113"/>
      <c r="C251" s="457" t="s">
        <v>136</v>
      </c>
      <c r="D251" s="111">
        <v>45631</v>
      </c>
      <c r="E251" s="111"/>
      <c r="F251" s="111"/>
      <c r="G251" s="111"/>
      <c r="H251" s="139"/>
      <c r="I251" s="146"/>
      <c r="J251" s="146"/>
      <c r="K251" s="146"/>
      <c r="L251" s="37"/>
      <c r="M251" s="37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s="28" customFormat="1" ht="19.5" customHeight="1">
      <c r="A252" s="112"/>
      <c r="B252" s="207" t="s">
        <v>12</v>
      </c>
      <c r="C252" s="457" t="s">
        <v>10</v>
      </c>
      <c r="D252" s="111">
        <f>3867+1107</f>
        <v>4974</v>
      </c>
      <c r="E252" s="111"/>
      <c r="F252" s="111"/>
      <c r="G252" s="111"/>
      <c r="H252" s="139"/>
      <c r="I252" s="146"/>
      <c r="J252" s="146"/>
      <c r="K252" s="146"/>
      <c r="L252" s="37"/>
      <c r="M252" s="37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s="28" customFormat="1" ht="19.5" customHeight="1">
      <c r="A253" s="112"/>
      <c r="B253" s="207" t="s">
        <v>239</v>
      </c>
      <c r="C253" s="457"/>
      <c r="D253" s="111"/>
      <c r="E253" s="111"/>
      <c r="F253" s="111">
        <f>SUM(F254:F257)</f>
        <v>25420</v>
      </c>
      <c r="G253" s="111"/>
      <c r="H253" s="139"/>
      <c r="I253" s="146"/>
      <c r="J253" s="146"/>
      <c r="K253" s="146"/>
      <c r="L253" s="37"/>
      <c r="M253" s="37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s="28" customFormat="1" ht="19.5" customHeight="1">
      <c r="A254" s="112"/>
      <c r="B254" s="113"/>
      <c r="C254" s="457" t="s">
        <v>14</v>
      </c>
      <c r="D254" s="111"/>
      <c r="E254" s="111"/>
      <c r="F254" s="111">
        <v>420</v>
      </c>
      <c r="G254" s="111"/>
      <c r="H254" s="139"/>
      <c r="I254" s="146"/>
      <c r="J254" s="146"/>
      <c r="K254" s="146"/>
      <c r="L254" s="37"/>
      <c r="M254" s="37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s="28" customFormat="1" ht="19.5" customHeight="1">
      <c r="A255" s="112"/>
      <c r="B255" s="113"/>
      <c r="C255" s="457" t="s">
        <v>241</v>
      </c>
      <c r="D255" s="111"/>
      <c r="E255" s="111"/>
      <c r="F255" s="111">
        <v>5000</v>
      </c>
      <c r="G255" s="111"/>
      <c r="H255" s="139"/>
      <c r="I255" s="146"/>
      <c r="J255" s="146"/>
      <c r="K255" s="146"/>
      <c r="L255" s="37"/>
      <c r="M255" s="37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s="28" customFormat="1" ht="19.5" customHeight="1">
      <c r="A256" s="112"/>
      <c r="B256" s="113"/>
      <c r="C256" s="457" t="s">
        <v>242</v>
      </c>
      <c r="D256" s="111"/>
      <c r="E256" s="111"/>
      <c r="F256" s="111">
        <v>5000</v>
      </c>
      <c r="G256" s="111"/>
      <c r="H256" s="139"/>
      <c r="I256" s="146"/>
      <c r="J256" s="146"/>
      <c r="K256" s="146"/>
      <c r="L256" s="37"/>
      <c r="M256" s="37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s="28" customFormat="1" ht="19.5" customHeight="1">
      <c r="A257" s="112"/>
      <c r="B257" s="113"/>
      <c r="C257" s="457" t="s">
        <v>243</v>
      </c>
      <c r="D257" s="111"/>
      <c r="E257" s="111"/>
      <c r="F257" s="111">
        <v>15000</v>
      </c>
      <c r="G257" s="111"/>
      <c r="H257" s="139"/>
      <c r="I257" s="146"/>
      <c r="J257" s="146"/>
      <c r="K257" s="146"/>
      <c r="L257" s="37"/>
      <c r="M257" s="37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s="28" customFormat="1" ht="19.5" customHeight="1">
      <c r="A258" s="105" t="s">
        <v>393</v>
      </c>
      <c r="B258" s="105" t="s">
        <v>394</v>
      </c>
      <c r="C258" s="207"/>
      <c r="D258" s="106">
        <f>SUM(D259:D266)</f>
        <v>5000</v>
      </c>
      <c r="E258" s="106">
        <f>SUM(E259:E266)</f>
        <v>0</v>
      </c>
      <c r="F258" s="106">
        <f>SUM(F259:F266)</f>
        <v>25000</v>
      </c>
      <c r="G258" s="106">
        <f>SUM(G259:G266)</f>
        <v>25000</v>
      </c>
      <c r="H258" s="139"/>
      <c r="I258" s="146"/>
      <c r="J258" s="146"/>
      <c r="K258" s="146"/>
      <c r="L258" s="37"/>
      <c r="M258" s="37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s="28" customFormat="1" ht="19.5" customHeight="1">
      <c r="A259" s="112"/>
      <c r="B259" s="113"/>
      <c r="C259" s="413" t="s">
        <v>670</v>
      </c>
      <c r="D259" s="111"/>
      <c r="E259" s="111"/>
      <c r="F259" s="111">
        <v>7000</v>
      </c>
      <c r="G259" s="111">
        <v>7000</v>
      </c>
      <c r="H259" s="139"/>
      <c r="I259" s="146"/>
      <c r="J259" s="146"/>
      <c r="K259" s="146"/>
      <c r="L259" s="37"/>
      <c r="M259" s="37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s="28" customFormat="1" ht="19.5" customHeight="1">
      <c r="A260" s="112"/>
      <c r="B260" s="113"/>
      <c r="C260" s="457" t="s">
        <v>671</v>
      </c>
      <c r="D260" s="111">
        <v>3000</v>
      </c>
      <c r="E260" s="111"/>
      <c r="F260" s="111">
        <v>4796</v>
      </c>
      <c r="G260" s="111">
        <v>4796</v>
      </c>
      <c r="H260" s="139"/>
      <c r="I260" s="146"/>
      <c r="J260" s="146"/>
      <c r="K260" s="146"/>
      <c r="L260" s="37"/>
      <c r="M260" s="37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s="28" customFormat="1" ht="19.5" customHeight="1">
      <c r="A261" s="112"/>
      <c r="B261" s="113"/>
      <c r="C261" s="457" t="s">
        <v>379</v>
      </c>
      <c r="D261" s="111">
        <v>2000</v>
      </c>
      <c r="E261" s="111"/>
      <c r="F261" s="111">
        <v>5500</v>
      </c>
      <c r="G261" s="111">
        <v>5500</v>
      </c>
      <c r="H261" s="139"/>
      <c r="I261" s="146"/>
      <c r="J261" s="146"/>
      <c r="K261" s="146"/>
      <c r="L261" s="37"/>
      <c r="M261" s="37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s="28" customFormat="1" ht="19.5" customHeight="1">
      <c r="A262" s="112"/>
      <c r="B262" s="113"/>
      <c r="C262" s="457" t="s">
        <v>672</v>
      </c>
      <c r="D262" s="111"/>
      <c r="E262" s="111"/>
      <c r="F262" s="111">
        <v>4000</v>
      </c>
      <c r="G262" s="111">
        <v>4000</v>
      </c>
      <c r="H262" s="139"/>
      <c r="I262" s="146"/>
      <c r="J262" s="146"/>
      <c r="K262" s="146"/>
      <c r="L262" s="37"/>
      <c r="M262" s="37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s="28" customFormat="1" ht="19.5" customHeight="1">
      <c r="A263" s="112"/>
      <c r="B263" s="113"/>
      <c r="C263" s="457" t="s">
        <v>136</v>
      </c>
      <c r="D263" s="111"/>
      <c r="E263" s="111"/>
      <c r="F263" s="111">
        <v>965.88</v>
      </c>
      <c r="G263" s="111">
        <v>965.88</v>
      </c>
      <c r="H263" s="139"/>
      <c r="I263" s="146"/>
      <c r="J263" s="146"/>
      <c r="K263" s="146"/>
      <c r="L263" s="37"/>
      <c r="M263" s="37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s="28" customFormat="1" ht="19.5" customHeight="1">
      <c r="A264" s="112"/>
      <c r="B264" s="113"/>
      <c r="C264" s="457" t="s">
        <v>673</v>
      </c>
      <c r="D264" s="111"/>
      <c r="E264" s="111"/>
      <c r="F264" s="111">
        <v>292</v>
      </c>
      <c r="G264" s="111">
        <v>292</v>
      </c>
      <c r="H264" s="139"/>
      <c r="I264" s="146"/>
      <c r="J264" s="146"/>
      <c r="K264" s="146"/>
      <c r="L264" s="37"/>
      <c r="M264" s="37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s="28" customFormat="1" ht="19.5" customHeight="1">
      <c r="A265" s="112"/>
      <c r="B265" s="113"/>
      <c r="C265" s="457" t="s">
        <v>674</v>
      </c>
      <c r="D265" s="111"/>
      <c r="E265" s="111"/>
      <c r="F265" s="111">
        <v>1196.12</v>
      </c>
      <c r="G265" s="111">
        <v>1196.12</v>
      </c>
      <c r="H265" s="139"/>
      <c r="I265" s="146"/>
      <c r="J265" s="146"/>
      <c r="K265" s="146"/>
      <c r="L265" s="37"/>
      <c r="M265" s="37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s="28" customFormat="1" ht="19.5" customHeight="1">
      <c r="A266" s="112"/>
      <c r="B266" s="113"/>
      <c r="C266" s="457" t="s">
        <v>124</v>
      </c>
      <c r="D266" s="111"/>
      <c r="E266" s="111"/>
      <c r="F266" s="111">
        <v>1250</v>
      </c>
      <c r="G266" s="111">
        <v>1250</v>
      </c>
      <c r="H266" s="139"/>
      <c r="I266" s="146"/>
      <c r="J266" s="146"/>
      <c r="K266" s="146"/>
      <c r="L266" s="37"/>
      <c r="M266" s="37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s="29" customFormat="1" ht="19.5" customHeight="1">
      <c r="A267" s="105" t="s">
        <v>516</v>
      </c>
      <c r="B267" s="105"/>
      <c r="C267" s="157"/>
      <c r="D267" s="106">
        <f>D268</f>
        <v>54062.5</v>
      </c>
      <c r="E267" s="106"/>
      <c r="F267" s="106">
        <f>F268</f>
        <v>43000</v>
      </c>
      <c r="G267" s="106"/>
      <c r="H267" s="136"/>
      <c r="I267" s="133"/>
      <c r="J267" s="133"/>
      <c r="K267" s="133"/>
      <c r="L267" s="38"/>
      <c r="M267" s="3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1:23" s="28" customFormat="1" ht="19.5" customHeight="1">
      <c r="A268" s="112"/>
      <c r="B268" s="207" t="s">
        <v>291</v>
      </c>
      <c r="C268" s="457"/>
      <c r="D268" s="111">
        <f>SUM(D269:D275)</f>
        <v>54062.5</v>
      </c>
      <c r="E268" s="111"/>
      <c r="F268" s="111">
        <f>SUM(F269:F275)</f>
        <v>43000</v>
      </c>
      <c r="G268" s="111"/>
      <c r="H268" s="139"/>
      <c r="I268" s="146"/>
      <c r="J268" s="146"/>
      <c r="K268" s="146"/>
      <c r="L268" s="37"/>
      <c r="M268" s="37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s="28" customFormat="1" ht="19.5" customHeight="1">
      <c r="A269" s="112"/>
      <c r="B269" s="113"/>
      <c r="C269" s="457" t="s">
        <v>307</v>
      </c>
      <c r="D269" s="111">
        <v>5062.5</v>
      </c>
      <c r="E269" s="111"/>
      <c r="F269" s="111"/>
      <c r="G269" s="111"/>
      <c r="H269" s="139"/>
      <c r="I269" s="146"/>
      <c r="J269" s="146"/>
      <c r="K269" s="146"/>
      <c r="L269" s="37"/>
      <c r="M269" s="37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s="28" customFormat="1" ht="19.5" customHeight="1">
      <c r="A270" s="112"/>
      <c r="B270" s="113"/>
      <c r="C270" s="457" t="s">
        <v>292</v>
      </c>
      <c r="D270" s="111"/>
      <c r="E270" s="111"/>
      <c r="F270" s="111">
        <f>7650-5100</f>
        <v>2550</v>
      </c>
      <c r="G270" s="111"/>
      <c r="H270" s="139"/>
      <c r="I270" s="146"/>
      <c r="J270" s="146"/>
      <c r="K270" s="146"/>
      <c r="L270" s="37"/>
      <c r="M270" s="37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s="28" customFormat="1" ht="19.5" customHeight="1">
      <c r="A271" s="112"/>
      <c r="B271" s="113"/>
      <c r="C271" s="457" t="s">
        <v>293</v>
      </c>
      <c r="D271" s="111"/>
      <c r="E271" s="111"/>
      <c r="F271" s="111">
        <f>1350-900</f>
        <v>450</v>
      </c>
      <c r="G271" s="111"/>
      <c r="H271" s="139"/>
      <c r="I271" s="146"/>
      <c r="J271" s="146"/>
      <c r="K271" s="146"/>
      <c r="L271" s="37"/>
      <c r="M271" s="37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s="28" customFormat="1" ht="19.5" customHeight="1">
      <c r="A272" s="112"/>
      <c r="B272" s="113"/>
      <c r="C272" s="457" t="s">
        <v>294</v>
      </c>
      <c r="D272" s="111">
        <f>41650</f>
        <v>41650</v>
      </c>
      <c r="E272" s="111"/>
      <c r="F272" s="111"/>
      <c r="G272" s="111"/>
      <c r="H272" s="139"/>
      <c r="I272" s="146"/>
      <c r="J272" s="146"/>
      <c r="K272" s="146"/>
      <c r="L272" s="37"/>
      <c r="M272" s="37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s="28" customFormat="1" ht="19.5" customHeight="1">
      <c r="A273" s="112"/>
      <c r="B273" s="113"/>
      <c r="C273" s="457" t="s">
        <v>295</v>
      </c>
      <c r="D273" s="111">
        <v>7350</v>
      </c>
      <c r="E273" s="111"/>
      <c r="F273" s="111"/>
      <c r="G273" s="111"/>
      <c r="H273" s="139"/>
      <c r="I273" s="146"/>
      <c r="J273" s="146"/>
      <c r="K273" s="146"/>
      <c r="L273" s="37"/>
      <c r="M273" s="37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s="28" customFormat="1" ht="19.5" customHeight="1">
      <c r="A274" s="112"/>
      <c r="B274" s="113"/>
      <c r="C274" s="457" t="s">
        <v>296</v>
      </c>
      <c r="D274" s="111"/>
      <c r="E274" s="111"/>
      <c r="F274" s="111">
        <v>34000</v>
      </c>
      <c r="G274" s="111"/>
      <c r="H274" s="139"/>
      <c r="I274" s="146"/>
      <c r="J274" s="146"/>
      <c r="K274" s="146"/>
      <c r="L274" s="37"/>
      <c r="M274" s="37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s="28" customFormat="1" ht="19.5" customHeight="1">
      <c r="A275" s="112"/>
      <c r="B275" s="113"/>
      <c r="C275" s="457" t="s">
        <v>297</v>
      </c>
      <c r="D275" s="111"/>
      <c r="E275" s="111"/>
      <c r="F275" s="111">
        <v>6000</v>
      </c>
      <c r="G275" s="111"/>
      <c r="H275" s="139"/>
      <c r="I275" s="146"/>
      <c r="J275" s="146"/>
      <c r="K275" s="146"/>
      <c r="L275" s="37"/>
      <c r="M275" s="37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s="29" customFormat="1" ht="19.5" customHeight="1">
      <c r="A276" s="615" t="s">
        <v>382</v>
      </c>
      <c r="B276" s="108" t="s">
        <v>383</v>
      </c>
      <c r="C276" s="109"/>
      <c r="D276" s="106">
        <f>SUM(D277:D278)</f>
        <v>15753</v>
      </c>
      <c r="E276" s="106"/>
      <c r="F276" s="106"/>
      <c r="G276" s="106"/>
      <c r="H276" s="136"/>
      <c r="I276" s="133"/>
      <c r="J276" s="38"/>
      <c r="K276" s="133"/>
      <c r="L276" s="38"/>
      <c r="M276" s="3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1:23" s="29" customFormat="1" ht="19.5" customHeight="1">
      <c r="A277" s="615"/>
      <c r="B277" s="108"/>
      <c r="C277" s="110" t="s">
        <v>10</v>
      </c>
      <c r="D277" s="111">
        <f>4437+8591</f>
        <v>13028</v>
      </c>
      <c r="E277" s="106"/>
      <c r="F277" s="106"/>
      <c r="G277" s="106"/>
      <c r="H277" s="136"/>
      <c r="I277" s="133"/>
      <c r="J277" s="38"/>
      <c r="K277" s="133"/>
      <c r="L277" s="38"/>
      <c r="M277" s="3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1:23" s="29" customFormat="1" ht="19.5" customHeight="1">
      <c r="A278" s="972"/>
      <c r="B278" s="550"/>
      <c r="C278" s="110" t="s">
        <v>124</v>
      </c>
      <c r="D278" s="111">
        <v>2725</v>
      </c>
      <c r="E278" s="106"/>
      <c r="F278" s="106"/>
      <c r="G278" s="106"/>
      <c r="H278" s="136"/>
      <c r="I278" s="133"/>
      <c r="J278" s="38"/>
      <c r="K278" s="133"/>
      <c r="L278" s="38"/>
      <c r="M278" s="3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1:23" s="29" customFormat="1" ht="19.5" customHeight="1">
      <c r="A279" s="550" t="s">
        <v>137</v>
      </c>
      <c r="B279" s="949"/>
      <c r="C279" s="105"/>
      <c r="D279" s="106">
        <f>D280+D281+D282+D283</f>
        <v>1069050</v>
      </c>
      <c r="E279" s="106"/>
      <c r="F279" s="106">
        <f>F280+F281+F282+F283</f>
        <v>37509</v>
      </c>
      <c r="G279" s="106"/>
      <c r="H279" s="136"/>
      <c r="I279" s="133"/>
      <c r="J279" s="38"/>
      <c r="K279" s="133"/>
      <c r="L279" s="38"/>
      <c r="M279" s="3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1:23" s="28" customFormat="1" ht="19.5" customHeight="1">
      <c r="A280" s="112"/>
      <c r="B280" s="412" t="s">
        <v>400</v>
      </c>
      <c r="C280" s="207" t="s">
        <v>136</v>
      </c>
      <c r="D280" s="111">
        <v>750000</v>
      </c>
      <c r="E280" s="111"/>
      <c r="F280" s="111"/>
      <c r="G280" s="111"/>
      <c r="H280" s="139"/>
      <c r="I280" s="146"/>
      <c r="J280" s="37"/>
      <c r="K280" s="146"/>
      <c r="L280" s="37"/>
      <c r="M280" s="37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s="28" customFormat="1" ht="19.5" customHeight="1">
      <c r="A281" s="112"/>
      <c r="B281" s="207" t="s">
        <v>849</v>
      </c>
      <c r="C281" s="207" t="s">
        <v>136</v>
      </c>
      <c r="D281" s="111">
        <v>30000</v>
      </c>
      <c r="E281" s="111"/>
      <c r="F281" s="111"/>
      <c r="G281" s="111"/>
      <c r="H281" s="139"/>
      <c r="I281" s="146"/>
      <c r="J281" s="37"/>
      <c r="K281" s="146"/>
      <c r="L281" s="37"/>
      <c r="M281" s="37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s="28" customFormat="1" ht="19.5" customHeight="1">
      <c r="A282" s="112"/>
      <c r="B282" s="113" t="s">
        <v>298</v>
      </c>
      <c r="C282" s="207" t="s">
        <v>136</v>
      </c>
      <c r="D282" s="111"/>
      <c r="E282" s="111"/>
      <c r="F282" s="111">
        <v>9509</v>
      </c>
      <c r="G282" s="111"/>
      <c r="H282" s="139"/>
      <c r="I282" s="146"/>
      <c r="J282" s="37"/>
      <c r="K282" s="146"/>
      <c r="L282" s="37"/>
      <c r="M282" s="37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s="28" customFormat="1" ht="19.5" customHeight="1">
      <c r="A283" s="112"/>
      <c r="B283" s="207" t="s">
        <v>583</v>
      </c>
      <c r="C283" s="207"/>
      <c r="D283" s="111">
        <f>SUM(D284:D286)</f>
        <v>289050</v>
      </c>
      <c r="E283" s="111"/>
      <c r="F283" s="111">
        <f>SUM(F284:F286)</f>
        <v>28000</v>
      </c>
      <c r="G283" s="111"/>
      <c r="H283" s="139"/>
      <c r="I283" s="146"/>
      <c r="J283" s="37"/>
      <c r="K283" s="146"/>
      <c r="L283" s="37"/>
      <c r="M283" s="37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s="28" customFormat="1" ht="19.5" customHeight="1">
      <c r="A284" s="112"/>
      <c r="B284" s="113"/>
      <c r="C284" s="207" t="s">
        <v>138</v>
      </c>
      <c r="D284" s="111"/>
      <c r="E284" s="111"/>
      <c r="F284" s="111">
        <f>30000-2000</f>
        <v>28000</v>
      </c>
      <c r="G284" s="111"/>
      <c r="H284" s="139"/>
      <c r="I284" s="146"/>
      <c r="J284" s="37"/>
      <c r="K284" s="146"/>
      <c r="L284" s="37"/>
      <c r="M284" s="37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s="28" customFormat="1" ht="19.5" customHeight="1">
      <c r="A285" s="112"/>
      <c r="B285" s="113"/>
      <c r="C285" s="207" t="s">
        <v>44</v>
      </c>
      <c r="D285" s="123">
        <v>245692.5</v>
      </c>
      <c r="E285" s="123"/>
      <c r="F285" s="123"/>
      <c r="G285" s="123"/>
      <c r="H285" s="139"/>
      <c r="I285" s="146"/>
      <c r="J285" s="37"/>
      <c r="K285" s="146"/>
      <c r="L285" s="37"/>
      <c r="M285" s="37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s="28" customFormat="1" ht="19.5" customHeight="1">
      <c r="A286" s="112"/>
      <c r="B286" s="113"/>
      <c r="C286" s="412" t="s">
        <v>51</v>
      </c>
      <c r="D286" s="123">
        <v>43357.5</v>
      </c>
      <c r="E286" s="123"/>
      <c r="F286" s="123"/>
      <c r="G286" s="123"/>
      <c r="H286" s="139"/>
      <c r="I286" s="146"/>
      <c r="J286" s="37"/>
      <c r="K286" s="146"/>
      <c r="L286" s="37"/>
      <c r="M286" s="37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s="29" customFormat="1" ht="19.5" customHeight="1">
      <c r="A287" s="206" t="s">
        <v>709</v>
      </c>
      <c r="B287" s="105" t="s">
        <v>710</v>
      </c>
      <c r="C287" s="105" t="s">
        <v>138</v>
      </c>
      <c r="D287" s="120">
        <v>328930</v>
      </c>
      <c r="E287" s="120"/>
      <c r="F287" s="120"/>
      <c r="G287" s="120"/>
      <c r="H287" s="136"/>
      <c r="I287" s="133"/>
      <c r="J287" s="38"/>
      <c r="K287" s="133"/>
      <c r="L287" s="38"/>
      <c r="M287" s="3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1:23" s="28" customFormat="1" ht="19.5" customHeight="1">
      <c r="A288" s="108" t="s">
        <v>590</v>
      </c>
      <c r="B288" s="105"/>
      <c r="C288" s="105"/>
      <c r="D288" s="120">
        <f>D289+D290</f>
        <v>35000</v>
      </c>
      <c r="E288" s="419"/>
      <c r="F288" s="120">
        <f>F289+F290</f>
        <v>318474</v>
      </c>
      <c r="G288" s="123"/>
      <c r="H288" s="139"/>
      <c r="I288" s="146"/>
      <c r="J288" s="37"/>
      <c r="K288" s="146"/>
      <c r="L288" s="37"/>
      <c r="M288" s="37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s="28" customFormat="1" ht="19.5" customHeight="1">
      <c r="A289" s="412"/>
      <c r="B289" s="457" t="s">
        <v>711</v>
      </c>
      <c r="C289" s="110" t="s">
        <v>138</v>
      </c>
      <c r="D289" s="123">
        <v>35000</v>
      </c>
      <c r="E289" s="419"/>
      <c r="F289" s="123"/>
      <c r="G289" s="123"/>
      <c r="H289" s="139"/>
      <c r="I289" s="146"/>
      <c r="J289" s="37"/>
      <c r="K289" s="146"/>
      <c r="L289" s="37"/>
      <c r="M289" s="37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s="28" customFormat="1" ht="19.5" customHeight="1">
      <c r="A290" s="113"/>
      <c r="B290" s="457" t="s">
        <v>591</v>
      </c>
      <c r="C290" s="110"/>
      <c r="D290" s="123"/>
      <c r="E290" s="419"/>
      <c r="F290" s="123">
        <f>SUM(F291:F292)</f>
        <v>318474</v>
      </c>
      <c r="G290" s="123"/>
      <c r="H290" s="139"/>
      <c r="I290" s="146"/>
      <c r="J290" s="37"/>
      <c r="K290" s="146"/>
      <c r="L290" s="37"/>
      <c r="M290" s="37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s="28" customFormat="1" ht="19.5" customHeight="1">
      <c r="A291" s="113"/>
      <c r="B291" s="457"/>
      <c r="C291" s="110" t="s">
        <v>582</v>
      </c>
      <c r="D291" s="123"/>
      <c r="E291" s="419"/>
      <c r="F291" s="123">
        <v>55000</v>
      </c>
      <c r="G291" s="123"/>
      <c r="H291" s="139"/>
      <c r="I291" s="146"/>
      <c r="J291" s="37"/>
      <c r="K291" s="146"/>
      <c r="L291" s="37"/>
      <c r="M291" s="37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s="28" customFormat="1" ht="19.5" customHeight="1">
      <c r="A292" s="113"/>
      <c r="B292" s="413"/>
      <c r="C292" s="457" t="s">
        <v>136</v>
      </c>
      <c r="D292" s="123"/>
      <c r="E292" s="419"/>
      <c r="F292" s="419">
        <f>30000+233474</f>
        <v>263474</v>
      </c>
      <c r="G292" s="123"/>
      <c r="H292" s="139"/>
      <c r="I292" s="146"/>
      <c r="J292" s="37"/>
      <c r="K292" s="146"/>
      <c r="L292" s="37"/>
      <c r="M292" s="37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s="3" customFormat="1" ht="21.75" customHeight="1">
      <c r="A293" s="970" t="s">
        <v>258</v>
      </c>
      <c r="B293" s="159"/>
      <c r="C293" s="160"/>
      <c r="D293" s="46">
        <f>D212+D215+D220+D223+D224+D225+D226+D258+D267+D276+D279+D287+D288</f>
        <v>2653337</v>
      </c>
      <c r="E293" s="46">
        <f>E212+E215+E220+E223+E224+E225+E226+E258+E267+E276+E279+E287+E288</f>
        <v>0</v>
      </c>
      <c r="F293" s="46">
        <f>F212+F215+F220+F223+F224+F225+F226+F258+F267+F276+F279+F287+F288</f>
        <v>805016.9</v>
      </c>
      <c r="G293" s="46">
        <f>G212+G215+G220+G223+G224+G225+G226+G258+G267+G276+G279+G287+G288</f>
        <v>25000</v>
      </c>
      <c r="H293" s="20"/>
      <c r="I293" s="161"/>
      <c r="J293" s="40"/>
      <c r="K293" s="44"/>
      <c r="L293" s="40"/>
      <c r="M293" s="40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3" customFormat="1" ht="21.75" customHeight="1">
      <c r="A294" s="162"/>
      <c r="B294" s="163"/>
      <c r="C294" s="164"/>
      <c r="D294" s="27"/>
      <c r="E294" s="27"/>
      <c r="F294" s="27"/>
      <c r="G294" s="27"/>
      <c r="H294" s="20"/>
      <c r="I294" s="161"/>
      <c r="J294" s="40"/>
      <c r="K294" s="44"/>
      <c r="L294" s="40"/>
      <c r="M294" s="40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s="3" customFormat="1" ht="21.75" customHeight="1">
      <c r="A295" s="162"/>
      <c r="B295" s="163"/>
      <c r="C295" s="164"/>
      <c r="D295" s="27"/>
      <c r="E295" s="27"/>
      <c r="F295" s="27"/>
      <c r="G295" s="27"/>
      <c r="H295" s="20"/>
      <c r="I295" s="161"/>
      <c r="J295" s="40"/>
      <c r="K295" s="44"/>
      <c r="L295" s="40"/>
      <c r="M295" s="40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s="3" customFormat="1" ht="21.75" customHeight="1">
      <c r="A296" s="162"/>
      <c r="B296" s="163"/>
      <c r="C296" s="164"/>
      <c r="D296" s="27"/>
      <c r="E296" s="27"/>
      <c r="F296" s="27"/>
      <c r="G296" s="27"/>
      <c r="H296" s="20"/>
      <c r="I296" s="161"/>
      <c r="J296" s="40"/>
      <c r="K296" s="44"/>
      <c r="L296" s="40"/>
      <c r="M296" s="40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ht="18.75">
      <c r="A297" s="148" t="s">
        <v>259</v>
      </c>
      <c r="B297" s="127"/>
      <c r="C297" s="150"/>
      <c r="D297" s="18"/>
      <c r="E297" s="18"/>
      <c r="F297" s="18"/>
      <c r="G297" s="18"/>
      <c r="H297" s="21"/>
      <c r="I297" s="137"/>
      <c r="J297" s="38"/>
      <c r="K297" s="151"/>
      <c r="L297" s="39"/>
      <c r="M297" s="3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ht="18.75">
      <c r="A298" s="148"/>
      <c r="B298" s="127"/>
      <c r="C298" s="150"/>
      <c r="D298" s="18"/>
      <c r="E298" s="18"/>
      <c r="F298" s="18"/>
      <c r="G298" s="18"/>
      <c r="H298" s="21"/>
      <c r="I298" s="137"/>
      <c r="J298" s="38"/>
      <c r="K298" s="151"/>
      <c r="L298" s="39"/>
      <c r="M298" s="3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ht="18.75">
      <c r="A299" s="148"/>
      <c r="B299" s="127"/>
      <c r="C299" s="150"/>
      <c r="D299" s="18"/>
      <c r="E299" s="18"/>
      <c r="F299" s="18"/>
      <c r="G299" s="18"/>
      <c r="H299" s="21"/>
      <c r="I299" s="137"/>
      <c r="J299" s="38"/>
      <c r="K299" s="151"/>
      <c r="L299" s="39"/>
      <c r="M299" s="3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ht="18.75">
      <c r="A300" s="153" t="s">
        <v>827</v>
      </c>
      <c r="B300" s="149"/>
      <c r="C300" s="154"/>
      <c r="D300" s="19"/>
      <c r="E300" s="19"/>
      <c r="F300" s="19"/>
      <c r="G300" s="19"/>
      <c r="H300" s="17"/>
      <c r="I300" s="137"/>
      <c r="J300" s="37"/>
      <c r="K300" s="130"/>
      <c r="L300" s="36"/>
      <c r="M300" s="3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18.75">
      <c r="A301" s="153"/>
      <c r="B301" s="153"/>
      <c r="C301" s="154"/>
      <c r="D301" s="19"/>
      <c r="E301" s="19"/>
      <c r="F301" s="19"/>
      <c r="G301" s="19"/>
      <c r="H301" s="17"/>
      <c r="I301" s="137"/>
      <c r="J301" s="37"/>
      <c r="K301" s="130"/>
      <c r="L301" s="36"/>
      <c r="M301" s="3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ht="18.75">
      <c r="A302" s="153"/>
      <c r="B302" s="153"/>
      <c r="C302" s="154"/>
      <c r="D302" s="19"/>
      <c r="E302" s="19"/>
      <c r="F302" s="19"/>
      <c r="G302" s="19"/>
      <c r="H302" s="17"/>
      <c r="I302" s="137"/>
      <c r="J302" s="37"/>
      <c r="K302" s="130"/>
      <c r="L302" s="36"/>
      <c r="M302" s="3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ht="18.75">
      <c r="A303" s="153"/>
      <c r="B303" s="153"/>
      <c r="C303" s="154"/>
      <c r="D303" s="19"/>
      <c r="E303" s="19"/>
      <c r="F303" s="19"/>
      <c r="G303" s="19"/>
      <c r="H303" s="17"/>
      <c r="I303" s="137"/>
      <c r="J303" s="37"/>
      <c r="K303" s="130"/>
      <c r="L303" s="36"/>
      <c r="M303" s="3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18.75">
      <c r="A304" s="165"/>
      <c r="B304" s="100"/>
      <c r="C304" s="166"/>
      <c r="D304" s="10" t="s">
        <v>249</v>
      </c>
      <c r="E304" s="11"/>
      <c r="F304" s="10" t="s">
        <v>316</v>
      </c>
      <c r="G304" s="11"/>
      <c r="H304" s="17"/>
      <c r="I304" s="137"/>
      <c r="J304" s="37"/>
      <c r="K304" s="130"/>
      <c r="L304" s="36"/>
      <c r="M304" s="3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ht="13.5" customHeight="1">
      <c r="A305" s="167"/>
      <c r="B305" s="102"/>
      <c r="C305" s="168"/>
      <c r="D305" s="12" t="s">
        <v>252</v>
      </c>
      <c r="E305" s="11" t="s">
        <v>251</v>
      </c>
      <c r="F305" s="12" t="s">
        <v>252</v>
      </c>
      <c r="G305" s="11" t="s">
        <v>251</v>
      </c>
      <c r="H305" s="17"/>
      <c r="I305" s="151"/>
      <c r="J305" s="37"/>
      <c r="K305" s="130"/>
      <c r="L305" s="36"/>
      <c r="M305" s="3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ht="27.75" customHeight="1">
      <c r="A306" s="169" t="s">
        <v>254</v>
      </c>
      <c r="B306" s="170" t="s">
        <v>260</v>
      </c>
      <c r="C306" s="171" t="s">
        <v>255</v>
      </c>
      <c r="D306" s="172" t="s">
        <v>256</v>
      </c>
      <c r="E306" s="173" t="s">
        <v>257</v>
      </c>
      <c r="F306" s="172" t="s">
        <v>256</v>
      </c>
      <c r="G306" s="173" t="s">
        <v>257</v>
      </c>
      <c r="H306" s="17"/>
      <c r="I306" s="137"/>
      <c r="J306" s="37"/>
      <c r="K306" s="130"/>
      <c r="L306" s="36"/>
      <c r="M306" s="3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20.25" customHeight="1">
      <c r="A307" s="615" t="s">
        <v>57</v>
      </c>
      <c r="B307" s="108" t="s">
        <v>145</v>
      </c>
      <c r="C307" s="457"/>
      <c r="D307" s="979"/>
      <c r="E307" s="14"/>
      <c r="F307" s="528">
        <f>SUM(F308:F309)</f>
        <v>990</v>
      </c>
      <c r="G307" s="528">
        <f>SUM(G308:G309)</f>
        <v>990</v>
      </c>
      <c r="H307" s="17"/>
      <c r="I307" s="137"/>
      <c r="J307" s="37"/>
      <c r="K307" s="130"/>
      <c r="L307" s="36"/>
      <c r="M307" s="3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18" customHeight="1">
      <c r="A308" s="977"/>
      <c r="B308" s="976"/>
      <c r="C308" s="110" t="s">
        <v>379</v>
      </c>
      <c r="D308" s="979"/>
      <c r="E308" s="14"/>
      <c r="F308" s="111">
        <v>90</v>
      </c>
      <c r="G308" s="111">
        <v>90</v>
      </c>
      <c r="H308" s="17"/>
      <c r="I308" s="137"/>
      <c r="J308" s="37"/>
      <c r="K308" s="130"/>
      <c r="L308" s="36"/>
      <c r="M308" s="3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19.5" customHeight="1">
      <c r="A309" s="978"/>
      <c r="B309" s="104"/>
      <c r="C309" s="110" t="s">
        <v>136</v>
      </c>
      <c r="D309" s="979"/>
      <c r="E309" s="14"/>
      <c r="F309" s="111">
        <v>900</v>
      </c>
      <c r="G309" s="111">
        <v>900</v>
      </c>
      <c r="H309" s="17"/>
      <c r="I309" s="137"/>
      <c r="J309" s="37"/>
      <c r="K309" s="130"/>
      <c r="L309" s="36"/>
      <c r="M309" s="3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13" s="47" customFormat="1" ht="18.75" customHeight="1">
      <c r="A310" s="944" t="s">
        <v>52</v>
      </c>
      <c r="B310" s="949" t="s">
        <v>53</v>
      </c>
      <c r="C310" s="157"/>
      <c r="D310" s="528">
        <f>SUM(D311:D312)</f>
        <v>1530723</v>
      </c>
      <c r="E310" s="528">
        <f>SUM(E311:E312)</f>
        <v>0</v>
      </c>
      <c r="F310" s="528">
        <f>SUM(F311:F312)</f>
        <v>44158.5</v>
      </c>
      <c r="G310" s="528">
        <f>SUM(G311:G312)</f>
        <v>0</v>
      </c>
      <c r="I310" s="48"/>
      <c r="J310" s="48"/>
      <c r="K310" s="48"/>
      <c r="L310" s="48"/>
      <c r="M310" s="48"/>
    </row>
    <row r="311" spans="1:13" s="47" customFormat="1" ht="18.75" customHeight="1">
      <c r="A311" s="615"/>
      <c r="B311" s="108"/>
      <c r="C311" s="457" t="s">
        <v>136</v>
      </c>
      <c r="D311" s="111"/>
      <c r="E311" s="698"/>
      <c r="F311" s="123">
        <v>44158.5</v>
      </c>
      <c r="G311" s="698"/>
      <c r="I311" s="48"/>
      <c r="J311" s="48"/>
      <c r="K311" s="48"/>
      <c r="L311" s="48"/>
      <c r="M311" s="48"/>
    </row>
    <row r="312" spans="1:13" s="47" customFormat="1" ht="18.75" customHeight="1">
      <c r="A312" s="972"/>
      <c r="B312" s="550"/>
      <c r="C312" s="457" t="s">
        <v>138</v>
      </c>
      <c r="D312" s="111">
        <f>1000000+530723</f>
        <v>1530723</v>
      </c>
      <c r="E312" s="698"/>
      <c r="F312" s="120"/>
      <c r="G312" s="698"/>
      <c r="I312" s="48"/>
      <c r="J312" s="48"/>
      <c r="K312" s="48"/>
      <c r="L312" s="48"/>
      <c r="M312" s="48"/>
    </row>
    <row r="313" spans="1:13" s="47" customFormat="1" ht="18.75" customHeight="1">
      <c r="A313" s="944" t="s">
        <v>385</v>
      </c>
      <c r="B313" s="949" t="s">
        <v>708</v>
      </c>
      <c r="C313" s="157" t="s">
        <v>309</v>
      </c>
      <c r="D313" s="106">
        <v>60000</v>
      </c>
      <c r="E313" s="698"/>
      <c r="F313" s="120"/>
      <c r="G313" s="698"/>
      <c r="I313" s="48"/>
      <c r="J313" s="48"/>
      <c r="K313" s="48"/>
      <c r="L313" s="48"/>
      <c r="M313" s="48"/>
    </row>
    <row r="314" spans="1:13" s="47" customFormat="1" ht="18.75" customHeight="1">
      <c r="A314" s="615" t="s">
        <v>401</v>
      </c>
      <c r="B314" s="108" t="s">
        <v>402</v>
      </c>
      <c r="C314" s="157" t="s">
        <v>138</v>
      </c>
      <c r="D314" s="106"/>
      <c r="E314" s="698"/>
      <c r="F314" s="120">
        <v>250000</v>
      </c>
      <c r="G314" s="698"/>
      <c r="I314" s="48"/>
      <c r="J314" s="48"/>
      <c r="K314" s="48"/>
      <c r="L314" s="48"/>
      <c r="M314" s="48"/>
    </row>
    <row r="315" spans="1:13" s="47" customFormat="1" ht="18.75" customHeight="1">
      <c r="A315" s="615" t="s">
        <v>135</v>
      </c>
      <c r="B315" s="108" t="s">
        <v>87</v>
      </c>
      <c r="C315" s="157"/>
      <c r="D315" s="106">
        <f>D316+D317</f>
        <v>0</v>
      </c>
      <c r="E315" s="698"/>
      <c r="F315" s="106">
        <f>F316+F317</f>
        <v>243677.5</v>
      </c>
      <c r="G315" s="698"/>
      <c r="I315" s="48"/>
      <c r="J315" s="48"/>
      <c r="K315" s="48"/>
      <c r="L315" s="48"/>
      <c r="M315" s="48"/>
    </row>
    <row r="316" spans="1:13" s="414" customFormat="1" ht="18.75" customHeight="1">
      <c r="A316" s="544"/>
      <c r="B316" s="412"/>
      <c r="C316" s="457" t="s">
        <v>88</v>
      </c>
      <c r="D316" s="111"/>
      <c r="E316" s="731"/>
      <c r="F316" s="123">
        <f>126543-42000</f>
        <v>84543</v>
      </c>
      <c r="G316" s="731"/>
      <c r="I316" s="971"/>
      <c r="J316" s="420"/>
      <c r="K316" s="420"/>
      <c r="L316" s="420"/>
      <c r="M316" s="420"/>
    </row>
    <row r="317" spans="1:13" s="414" customFormat="1" ht="18.75" customHeight="1">
      <c r="A317" s="945"/>
      <c r="B317" s="124"/>
      <c r="C317" s="457" t="s">
        <v>54</v>
      </c>
      <c r="D317" s="111"/>
      <c r="E317" s="731"/>
      <c r="F317" s="123">
        <f>165335-392.5-5808</f>
        <v>159134.5</v>
      </c>
      <c r="G317" s="731"/>
      <c r="I317" s="420"/>
      <c r="J317" s="420"/>
      <c r="K317" s="420"/>
      <c r="L317" s="420"/>
      <c r="M317" s="420"/>
    </row>
    <row r="318" spans="1:13" s="47" customFormat="1" ht="18.75" customHeight="1">
      <c r="A318" s="944" t="s">
        <v>823</v>
      </c>
      <c r="B318" s="550"/>
      <c r="C318" s="157"/>
      <c r="D318" s="106">
        <f>D319+D320+D324+D328+D334+D337+D338</f>
        <v>333743</v>
      </c>
      <c r="E318" s="106">
        <f>E319+E320+E324+E328+E334+E337+E338</f>
        <v>0</v>
      </c>
      <c r="F318" s="106">
        <f>F319+F320+F324+F328+F334+F337+F338</f>
        <v>40615</v>
      </c>
      <c r="G318" s="106">
        <f>G319+G320+G324+G328+G334+G337+G338</f>
        <v>0</v>
      </c>
      <c r="I318" s="48"/>
      <c r="J318" s="48"/>
      <c r="K318" s="48"/>
      <c r="L318" s="48"/>
      <c r="M318" s="48"/>
    </row>
    <row r="319" spans="1:13" s="414" customFormat="1" ht="18.75" customHeight="1">
      <c r="A319" s="412"/>
      <c r="B319" s="457" t="s">
        <v>636</v>
      </c>
      <c r="C319" s="457" t="s">
        <v>10</v>
      </c>
      <c r="D319" s="111">
        <v>3367</v>
      </c>
      <c r="E319" s="419"/>
      <c r="F319" s="111"/>
      <c r="G319" s="419"/>
      <c r="I319" s="420"/>
      <c r="J319" s="420"/>
      <c r="K319" s="420"/>
      <c r="L319" s="420"/>
      <c r="M319" s="420"/>
    </row>
    <row r="320" spans="1:13" s="414" customFormat="1" ht="18.75" customHeight="1">
      <c r="A320" s="113"/>
      <c r="B320" s="457" t="s">
        <v>381</v>
      </c>
      <c r="C320" s="457"/>
      <c r="D320" s="111">
        <f>SUM(D321:D323)</f>
        <v>41846</v>
      </c>
      <c r="E320" s="111"/>
      <c r="F320" s="111">
        <f>SUM(F321:F323)</f>
        <v>13815</v>
      </c>
      <c r="G320" s="419"/>
      <c r="I320" s="420"/>
      <c r="J320" s="420"/>
      <c r="K320" s="420"/>
      <c r="L320" s="420"/>
      <c r="M320" s="420"/>
    </row>
    <row r="321" spans="1:13" s="414" customFormat="1" ht="18.75" customHeight="1">
      <c r="A321" s="113"/>
      <c r="B321" s="457"/>
      <c r="C321" s="457" t="s">
        <v>10</v>
      </c>
      <c r="D321" s="111">
        <f>983+25+17945+1110+11783</f>
        <v>31846</v>
      </c>
      <c r="E321" s="419"/>
      <c r="F321" s="123"/>
      <c r="G321" s="419"/>
      <c r="I321" s="420"/>
      <c r="J321" s="420"/>
      <c r="K321" s="420"/>
      <c r="L321" s="420"/>
      <c r="M321" s="420"/>
    </row>
    <row r="322" spans="1:13" s="414" customFormat="1" ht="18.75" customHeight="1">
      <c r="A322" s="113"/>
      <c r="B322" s="413"/>
      <c r="C322" s="457" t="s">
        <v>582</v>
      </c>
      <c r="D322" s="111"/>
      <c r="E322" s="419"/>
      <c r="F322" s="123">
        <f>9615+4200</f>
        <v>13815</v>
      </c>
      <c r="G322" s="419"/>
      <c r="I322" s="420"/>
      <c r="J322" s="420"/>
      <c r="K322" s="420"/>
      <c r="L322" s="420"/>
      <c r="M322" s="420"/>
    </row>
    <row r="323" spans="1:13" s="414" customFormat="1" ht="18.75" customHeight="1">
      <c r="A323" s="113"/>
      <c r="B323" s="413"/>
      <c r="C323" s="457" t="s">
        <v>136</v>
      </c>
      <c r="D323" s="111">
        <v>10000</v>
      </c>
      <c r="E323" s="419"/>
      <c r="F323" s="123"/>
      <c r="G323" s="419"/>
      <c r="I323" s="420"/>
      <c r="J323" s="420"/>
      <c r="K323" s="420"/>
      <c r="L323" s="420"/>
      <c r="M323" s="420"/>
    </row>
    <row r="324" spans="1:13" s="414" customFormat="1" ht="18.75" customHeight="1">
      <c r="A324" s="113"/>
      <c r="B324" s="457" t="s">
        <v>635</v>
      </c>
      <c r="C324" s="207"/>
      <c r="D324" s="111">
        <f>SUM(D325:D327)</f>
        <v>38201</v>
      </c>
      <c r="E324" s="111"/>
      <c r="F324" s="111">
        <f>SUM(F325:F327)</f>
        <v>2100</v>
      </c>
      <c r="G324" s="419"/>
      <c r="I324" s="420"/>
      <c r="J324" s="420"/>
      <c r="K324" s="420"/>
      <c r="L324" s="420"/>
      <c r="M324" s="420"/>
    </row>
    <row r="325" spans="1:13" s="414" customFormat="1" ht="18.75" customHeight="1">
      <c r="A325" s="112"/>
      <c r="B325" s="412"/>
      <c r="C325" s="207" t="s">
        <v>10</v>
      </c>
      <c r="D325" s="111">
        <f>7743+4627+2758</f>
        <v>15128</v>
      </c>
      <c r="E325" s="419"/>
      <c r="F325" s="123"/>
      <c r="G325" s="419"/>
      <c r="I325" s="420"/>
      <c r="J325" s="420"/>
      <c r="K325" s="420"/>
      <c r="L325" s="420"/>
      <c r="M325" s="420"/>
    </row>
    <row r="326" spans="1:13" s="414" customFormat="1" ht="18.75" customHeight="1">
      <c r="A326" s="112"/>
      <c r="B326" s="113"/>
      <c r="C326" s="457" t="s">
        <v>582</v>
      </c>
      <c r="D326" s="111"/>
      <c r="E326" s="419"/>
      <c r="F326" s="123">
        <v>2100</v>
      </c>
      <c r="G326" s="419"/>
      <c r="I326" s="420"/>
      <c r="J326" s="420"/>
      <c r="K326" s="420"/>
      <c r="L326" s="420"/>
      <c r="M326" s="420"/>
    </row>
    <row r="327" spans="1:13" s="414" customFormat="1" ht="18.75" customHeight="1">
      <c r="A327" s="112"/>
      <c r="B327" s="124"/>
      <c r="C327" s="457" t="s">
        <v>136</v>
      </c>
      <c r="D327" s="111">
        <v>23073</v>
      </c>
      <c r="E327" s="419"/>
      <c r="F327" s="123"/>
      <c r="G327" s="419"/>
      <c r="I327" s="420"/>
      <c r="J327" s="420"/>
      <c r="K327" s="420"/>
      <c r="L327" s="420"/>
      <c r="M327" s="420"/>
    </row>
    <row r="328" spans="1:13" s="414" customFormat="1" ht="18.75" customHeight="1">
      <c r="A328" s="113"/>
      <c r="B328" s="692" t="s">
        <v>373</v>
      </c>
      <c r="C328" s="457"/>
      <c r="D328" s="111">
        <f>SUM(D329:D333)</f>
        <v>52886</v>
      </c>
      <c r="E328" s="419"/>
      <c r="F328" s="111">
        <f>SUM(F329:F333)</f>
        <v>24700</v>
      </c>
      <c r="G328" s="419"/>
      <c r="I328" s="420"/>
      <c r="J328" s="420"/>
      <c r="K328" s="420"/>
      <c r="L328" s="420"/>
      <c r="M328" s="420"/>
    </row>
    <row r="329" spans="1:13" s="414" customFormat="1" ht="18.75" customHeight="1">
      <c r="A329" s="113"/>
      <c r="B329" s="413"/>
      <c r="C329" s="457" t="s">
        <v>10</v>
      </c>
      <c r="D329" s="111">
        <f>32995+14613+278</f>
        <v>47886</v>
      </c>
      <c r="E329" s="419"/>
      <c r="F329" s="123"/>
      <c r="G329" s="419"/>
      <c r="I329" s="420"/>
      <c r="J329" s="420"/>
      <c r="K329" s="420"/>
      <c r="L329" s="420"/>
      <c r="M329" s="420"/>
    </row>
    <row r="330" spans="1:13" s="414" customFormat="1" ht="18.75" customHeight="1">
      <c r="A330" s="113"/>
      <c r="B330" s="413"/>
      <c r="C330" s="457" t="s">
        <v>379</v>
      </c>
      <c r="D330" s="111">
        <v>5000</v>
      </c>
      <c r="E330" s="419"/>
      <c r="F330" s="123"/>
      <c r="G330" s="419"/>
      <c r="I330" s="420"/>
      <c r="J330" s="420"/>
      <c r="K330" s="420"/>
      <c r="L330" s="420"/>
      <c r="M330" s="420"/>
    </row>
    <row r="331" spans="1:13" s="414" customFormat="1" ht="18.75" customHeight="1">
      <c r="A331" s="113"/>
      <c r="B331" s="413"/>
      <c r="C331" s="457" t="s">
        <v>582</v>
      </c>
      <c r="D331" s="111"/>
      <c r="E331" s="419"/>
      <c r="F331" s="123">
        <f>35700-20000</f>
        <v>15700</v>
      </c>
      <c r="G331" s="419"/>
      <c r="I331" s="420"/>
      <c r="J331" s="420"/>
      <c r="K331" s="420"/>
      <c r="L331" s="420"/>
      <c r="M331" s="420"/>
    </row>
    <row r="332" spans="1:13" s="414" customFormat="1" ht="18.75" customHeight="1">
      <c r="A332" s="113"/>
      <c r="B332" s="413"/>
      <c r="C332" s="457" t="s">
        <v>136</v>
      </c>
      <c r="D332" s="111"/>
      <c r="E332" s="419"/>
      <c r="F332" s="123">
        <v>7400</v>
      </c>
      <c r="G332" s="419"/>
      <c r="I332" s="420"/>
      <c r="J332" s="420"/>
      <c r="K332" s="420"/>
      <c r="L332" s="420"/>
      <c r="M332" s="420"/>
    </row>
    <row r="333" spans="1:13" s="414" customFormat="1" ht="18.75" customHeight="1">
      <c r="A333" s="113"/>
      <c r="B333" s="413"/>
      <c r="C333" s="457" t="s">
        <v>380</v>
      </c>
      <c r="D333" s="111"/>
      <c r="E333" s="419"/>
      <c r="F333" s="123">
        <v>1600</v>
      </c>
      <c r="G333" s="419"/>
      <c r="I333" s="420"/>
      <c r="J333" s="420"/>
      <c r="K333" s="420"/>
      <c r="L333" s="420"/>
      <c r="M333" s="420"/>
    </row>
    <row r="334" spans="1:13" s="414" customFormat="1" ht="18.75" customHeight="1">
      <c r="A334" s="113"/>
      <c r="B334" s="110" t="s">
        <v>592</v>
      </c>
      <c r="C334" s="457"/>
      <c r="D334" s="111">
        <f>SUM(D335:D336)</f>
        <v>195237</v>
      </c>
      <c r="E334" s="419"/>
      <c r="F334" s="123"/>
      <c r="G334" s="419"/>
      <c r="I334" s="420"/>
      <c r="J334" s="420"/>
      <c r="K334" s="420"/>
      <c r="L334" s="420"/>
      <c r="M334" s="420"/>
    </row>
    <row r="335" spans="1:13" s="414" customFormat="1" ht="18.75" customHeight="1">
      <c r="A335" s="113"/>
      <c r="B335" s="413"/>
      <c r="C335" s="457" t="s">
        <v>10</v>
      </c>
      <c r="D335" s="111">
        <v>11842</v>
      </c>
      <c r="E335" s="419"/>
      <c r="F335" s="123"/>
      <c r="G335" s="419"/>
      <c r="I335" s="420"/>
      <c r="J335" s="420"/>
      <c r="K335" s="420"/>
      <c r="L335" s="420"/>
      <c r="M335" s="420"/>
    </row>
    <row r="336" spans="1:13" s="414" customFormat="1" ht="18.75" customHeight="1">
      <c r="A336" s="113"/>
      <c r="B336" s="413"/>
      <c r="C336" s="457" t="s">
        <v>138</v>
      </c>
      <c r="D336" s="111">
        <v>183395</v>
      </c>
      <c r="E336" s="419"/>
      <c r="F336" s="552"/>
      <c r="G336" s="419"/>
      <c r="I336" s="420"/>
      <c r="J336" s="420"/>
      <c r="K336" s="420"/>
      <c r="L336" s="420"/>
      <c r="M336" s="420"/>
    </row>
    <row r="337" spans="1:13" s="414" customFormat="1" ht="18.75" customHeight="1">
      <c r="A337" s="113"/>
      <c r="B337" s="207" t="s">
        <v>639</v>
      </c>
      <c r="C337" s="110" t="s">
        <v>10</v>
      </c>
      <c r="D337" s="111">
        <v>936</v>
      </c>
      <c r="E337" s="419"/>
      <c r="F337" s="552"/>
      <c r="G337" s="419"/>
      <c r="I337" s="986"/>
      <c r="J337" s="420"/>
      <c r="K337" s="420"/>
      <c r="L337" s="420"/>
      <c r="M337" s="420"/>
    </row>
    <row r="338" spans="1:13" s="414" customFormat="1" ht="18.75" customHeight="1">
      <c r="A338" s="113"/>
      <c r="B338" s="207" t="s">
        <v>12</v>
      </c>
      <c r="C338" s="110" t="s">
        <v>10</v>
      </c>
      <c r="D338" s="111">
        <f>879+391</f>
        <v>1270</v>
      </c>
      <c r="E338" s="419"/>
      <c r="F338" s="552"/>
      <c r="G338" s="419"/>
      <c r="I338" s="986"/>
      <c r="J338" s="420"/>
      <c r="K338" s="420"/>
      <c r="L338" s="420"/>
      <c r="M338" s="420"/>
    </row>
    <row r="339" spans="1:13" s="47" customFormat="1" ht="18.75" customHeight="1">
      <c r="A339" s="105" t="s">
        <v>516</v>
      </c>
      <c r="B339" s="109" t="s">
        <v>291</v>
      </c>
      <c r="C339" s="157" t="s">
        <v>246</v>
      </c>
      <c r="D339" s="106">
        <v>524915</v>
      </c>
      <c r="E339" s="45"/>
      <c r="F339" s="125"/>
      <c r="G339" s="45"/>
      <c r="I339" s="988"/>
      <c r="J339" s="48"/>
      <c r="K339" s="48"/>
      <c r="L339" s="48"/>
      <c r="M339" s="48"/>
    </row>
    <row r="340" spans="1:13" s="47" customFormat="1" ht="18.75" customHeight="1">
      <c r="A340" s="108" t="s">
        <v>382</v>
      </c>
      <c r="B340" s="109"/>
      <c r="C340" s="157"/>
      <c r="D340" s="106">
        <f>D341+D344+D345+D346</f>
        <v>14268</v>
      </c>
      <c r="E340" s="45"/>
      <c r="F340" s="106">
        <f>F341+F344+F345+F346</f>
        <v>385</v>
      </c>
      <c r="G340" s="45"/>
      <c r="I340" s="987"/>
      <c r="J340" s="48"/>
      <c r="K340" s="48"/>
      <c r="L340" s="48"/>
      <c r="M340" s="48"/>
    </row>
    <row r="341" spans="1:13" s="414" customFormat="1" ht="18.75" customHeight="1">
      <c r="A341" s="412"/>
      <c r="B341" s="110" t="s">
        <v>383</v>
      </c>
      <c r="C341" s="457"/>
      <c r="D341" s="111">
        <f>SUM(D342:D343)</f>
        <v>2531</v>
      </c>
      <c r="E341" s="419"/>
      <c r="F341" s="111">
        <f>SUM(F342:F343)</f>
        <v>385</v>
      </c>
      <c r="G341" s="419"/>
      <c r="I341" s="986"/>
      <c r="J341" s="420"/>
      <c r="K341" s="420"/>
      <c r="L341" s="420"/>
      <c r="M341" s="420"/>
    </row>
    <row r="342" spans="1:13" s="414" customFormat="1" ht="18.75" customHeight="1">
      <c r="A342" s="113"/>
      <c r="B342" s="413"/>
      <c r="C342" s="457" t="s">
        <v>10</v>
      </c>
      <c r="D342" s="111">
        <f>2341+120+70</f>
        <v>2531</v>
      </c>
      <c r="E342" s="419"/>
      <c r="F342" s="552"/>
      <c r="G342" s="419"/>
      <c r="I342" s="986"/>
      <c r="J342" s="420"/>
      <c r="K342" s="420"/>
      <c r="L342" s="420"/>
      <c r="M342" s="420"/>
    </row>
    <row r="343" spans="1:13" s="414" customFormat="1" ht="18.75" customHeight="1">
      <c r="A343" s="113"/>
      <c r="B343" s="413"/>
      <c r="C343" s="457" t="s">
        <v>582</v>
      </c>
      <c r="D343" s="111"/>
      <c r="E343" s="419"/>
      <c r="F343" s="552">
        <v>385</v>
      </c>
      <c r="G343" s="419"/>
      <c r="I343" s="986"/>
      <c r="J343" s="420"/>
      <c r="K343" s="420"/>
      <c r="L343" s="420"/>
      <c r="M343" s="420"/>
    </row>
    <row r="344" spans="1:13" s="414" customFormat="1" ht="18.75" customHeight="1">
      <c r="A344" s="113"/>
      <c r="B344" s="207" t="s">
        <v>637</v>
      </c>
      <c r="C344" s="457" t="s">
        <v>10</v>
      </c>
      <c r="D344" s="111">
        <v>5175</v>
      </c>
      <c r="E344" s="419"/>
      <c r="F344" s="552"/>
      <c r="G344" s="419"/>
      <c r="I344" s="986"/>
      <c r="J344" s="420"/>
      <c r="K344" s="420"/>
      <c r="L344" s="420"/>
      <c r="M344" s="420"/>
    </row>
    <row r="345" spans="1:13" s="414" customFormat="1" ht="18.75" customHeight="1">
      <c r="A345" s="113"/>
      <c r="B345" s="207" t="s">
        <v>640</v>
      </c>
      <c r="C345" s="457" t="s">
        <v>10</v>
      </c>
      <c r="D345" s="111">
        <v>14</v>
      </c>
      <c r="E345" s="419"/>
      <c r="F345" s="552"/>
      <c r="G345" s="419"/>
      <c r="I345" s="986"/>
      <c r="J345" s="420"/>
      <c r="K345" s="420"/>
      <c r="L345" s="420"/>
      <c r="M345" s="420"/>
    </row>
    <row r="346" spans="1:13" s="414" customFormat="1" ht="18.75" customHeight="1">
      <c r="A346" s="124"/>
      <c r="B346" s="413" t="s">
        <v>638</v>
      </c>
      <c r="C346" s="457" t="s">
        <v>10</v>
      </c>
      <c r="D346" s="111">
        <v>6548</v>
      </c>
      <c r="E346" s="419"/>
      <c r="F346" s="552"/>
      <c r="G346" s="419"/>
      <c r="I346" s="420"/>
      <c r="J346" s="420"/>
      <c r="K346" s="420"/>
      <c r="L346" s="420"/>
      <c r="M346" s="420"/>
    </row>
    <row r="347" spans="1:23" s="3" customFormat="1" ht="21.75" customHeight="1">
      <c r="A347" s="458" t="s">
        <v>258</v>
      </c>
      <c r="B347" s="159"/>
      <c r="C347" s="110"/>
      <c r="D347" s="46">
        <f>D307+D310+D313+D314+D315+D318+D339+D340</f>
        <v>2463649</v>
      </c>
      <c r="E347" s="46">
        <f>E307+E310+E313+E314+E315+E318+E339+E340</f>
        <v>0</v>
      </c>
      <c r="F347" s="46">
        <f>F307+F310+F313+F314+F315+F318+F339+F340</f>
        <v>579826</v>
      </c>
      <c r="G347" s="46">
        <f>G307+G310+G313+G314+G315+G318+G339+G340</f>
        <v>990</v>
      </c>
      <c r="H347" s="20"/>
      <c r="I347" s="161"/>
      <c r="J347" s="44"/>
      <c r="K347" s="44"/>
      <c r="L347" s="40"/>
      <c r="M347" s="40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s="3" customFormat="1" ht="18" customHeight="1">
      <c r="A348" s="162"/>
      <c r="B348" s="163"/>
      <c r="C348" s="163"/>
      <c r="D348" s="27"/>
      <c r="E348" s="27"/>
      <c r="F348" s="27"/>
      <c r="G348" s="27"/>
      <c r="H348" s="20"/>
      <c r="I348" s="161"/>
      <c r="J348" s="44"/>
      <c r="K348" s="44"/>
      <c r="L348" s="40"/>
      <c r="M348" s="40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s="3" customFormat="1" ht="18.75" customHeight="1">
      <c r="A349" s="70"/>
      <c r="B349" s="163"/>
      <c r="C349" s="128"/>
      <c r="D349" s="16"/>
      <c r="E349" s="16"/>
      <c r="F349" s="27"/>
      <c r="G349" s="27"/>
      <c r="H349" s="20"/>
      <c r="I349" s="161"/>
      <c r="J349" s="40"/>
      <c r="K349" s="44"/>
      <c r="L349" s="40"/>
      <c r="M349" s="40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s="3" customFormat="1" ht="18.75" customHeight="1">
      <c r="A350" s="70"/>
      <c r="B350" s="163"/>
      <c r="C350" s="128"/>
      <c r="D350" s="16"/>
      <c r="E350" s="16"/>
      <c r="F350" s="27"/>
      <c r="G350" s="27"/>
      <c r="H350" s="20"/>
      <c r="I350" s="161"/>
      <c r="J350" s="40"/>
      <c r="K350" s="44"/>
      <c r="L350" s="40"/>
      <c r="M350" s="40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3" customFormat="1" ht="18.75" customHeight="1">
      <c r="A351" s="174" t="s">
        <v>440</v>
      </c>
      <c r="B351" s="127"/>
      <c r="C351" s="128"/>
      <c r="D351" s="16"/>
      <c r="E351" s="16"/>
      <c r="F351" s="27"/>
      <c r="G351" s="27"/>
      <c r="H351" s="20"/>
      <c r="I351" s="161"/>
      <c r="J351" s="40"/>
      <c r="K351" s="44"/>
      <c r="L351" s="40"/>
      <c r="M351" s="40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s="3" customFormat="1" ht="21" customHeight="1">
      <c r="A352" s="175" t="s">
        <v>828</v>
      </c>
      <c r="B352" s="127"/>
      <c r="C352" s="176"/>
      <c r="D352" s="22"/>
      <c r="E352" s="16"/>
      <c r="F352" s="27"/>
      <c r="G352" s="27"/>
      <c r="H352" s="20"/>
      <c r="I352" s="161"/>
      <c r="J352" s="40"/>
      <c r="K352" s="44"/>
      <c r="L352" s="40"/>
      <c r="M352" s="40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s="3" customFormat="1" ht="21" customHeight="1">
      <c r="A353" s="174"/>
      <c r="B353" s="127"/>
      <c r="C353" s="176"/>
      <c r="D353" s="22"/>
      <c r="E353" s="16"/>
      <c r="F353" s="27"/>
      <c r="G353" s="27"/>
      <c r="H353" s="20"/>
      <c r="I353" s="161"/>
      <c r="J353" s="40"/>
      <c r="K353" s="44"/>
      <c r="L353" s="40"/>
      <c r="M353" s="40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s="3" customFormat="1" ht="21.75" customHeight="1">
      <c r="A354" s="177" t="s">
        <v>317</v>
      </c>
      <c r="B354" s="178"/>
      <c r="C354" s="163"/>
      <c r="D354" s="50"/>
      <c r="E354" s="50"/>
      <c r="F354" s="50"/>
      <c r="G354" s="50"/>
      <c r="H354" s="51"/>
      <c r="I354" s="161"/>
      <c r="J354" s="52"/>
      <c r="K354" s="44"/>
      <c r="L354" s="52"/>
      <c r="M354" s="52"/>
      <c r="N354" s="51"/>
      <c r="O354" s="51"/>
      <c r="P354" s="51"/>
      <c r="Q354" s="51"/>
      <c r="R354" s="51"/>
      <c r="S354" s="51"/>
      <c r="T354" s="51"/>
      <c r="U354" s="51"/>
      <c r="V354" s="51"/>
      <c r="W354" s="51"/>
    </row>
    <row r="355" spans="1:23" s="3" customFormat="1" ht="21.75" customHeight="1">
      <c r="A355" s="177"/>
      <c r="B355" s="178"/>
      <c r="C355" s="163"/>
      <c r="D355" s="50"/>
      <c r="E355" s="50"/>
      <c r="F355" s="50"/>
      <c r="G355" s="50"/>
      <c r="H355" s="51"/>
      <c r="I355" s="161"/>
      <c r="J355" s="52"/>
      <c r="K355" s="44"/>
      <c r="L355" s="52"/>
      <c r="M355" s="52"/>
      <c r="N355" s="51"/>
      <c r="O355" s="51"/>
      <c r="P355" s="51"/>
      <c r="Q355" s="51"/>
      <c r="R355" s="51"/>
      <c r="S355" s="51"/>
      <c r="T355" s="51"/>
      <c r="U355" s="51"/>
      <c r="V355" s="51"/>
      <c r="W355" s="51"/>
    </row>
    <row r="356" spans="1:23" s="3" customFormat="1" ht="15" customHeight="1">
      <c r="A356" s="179"/>
      <c r="B356" s="178"/>
      <c r="C356" s="180"/>
      <c r="D356" s="50"/>
      <c r="E356" s="50"/>
      <c r="F356" s="50"/>
      <c r="G356" s="50"/>
      <c r="H356" s="25"/>
      <c r="I356" s="161"/>
      <c r="J356" s="52"/>
      <c r="K356" s="44"/>
      <c r="L356" s="52"/>
      <c r="M356" s="52"/>
      <c r="N356" s="51"/>
      <c r="O356" s="51"/>
      <c r="P356" s="51"/>
      <c r="Q356" s="51"/>
      <c r="R356" s="51"/>
      <c r="S356" s="51"/>
      <c r="T356" s="51"/>
      <c r="U356" s="51"/>
      <c r="V356" s="51"/>
      <c r="W356" s="51"/>
    </row>
    <row r="357" spans="1:23" s="3" customFormat="1" ht="15" customHeight="1">
      <c r="A357" s="179"/>
      <c r="B357" s="178"/>
      <c r="C357" s="180"/>
      <c r="D357" s="50"/>
      <c r="E357" s="50"/>
      <c r="F357" s="50"/>
      <c r="G357" s="50"/>
      <c r="H357" s="25"/>
      <c r="I357" s="161"/>
      <c r="J357" s="52"/>
      <c r="K357" s="44"/>
      <c r="L357" s="52"/>
      <c r="M357" s="52"/>
      <c r="N357" s="51"/>
      <c r="O357" s="51"/>
      <c r="P357" s="51"/>
      <c r="Q357" s="51"/>
      <c r="R357" s="51"/>
      <c r="S357" s="51"/>
      <c r="T357" s="51"/>
      <c r="U357" s="51"/>
      <c r="V357" s="51"/>
      <c r="W357" s="51"/>
    </row>
    <row r="358" spans="1:23" s="3" customFormat="1" ht="15" customHeight="1">
      <c r="A358" s="179" t="s">
        <v>71</v>
      </c>
      <c r="B358" s="178"/>
      <c r="C358" s="180"/>
      <c r="D358" s="50"/>
      <c r="E358" s="50"/>
      <c r="F358" s="50"/>
      <c r="G358" s="50"/>
      <c r="H358" s="25">
        <f>H360+H374+H379+H383+H392+H397</f>
        <v>1490371.5</v>
      </c>
      <c r="I358" s="161"/>
      <c r="J358" s="52"/>
      <c r="K358" s="44"/>
      <c r="L358" s="52"/>
      <c r="M358" s="52"/>
      <c r="N358" s="51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1:23" s="3" customFormat="1" ht="15" customHeight="1">
      <c r="A359" s="70" t="s">
        <v>251</v>
      </c>
      <c r="B359" s="181"/>
      <c r="C359" s="180"/>
      <c r="D359" s="50"/>
      <c r="E359" s="50"/>
      <c r="F359" s="50"/>
      <c r="G359" s="50"/>
      <c r="H359" s="25"/>
      <c r="I359" s="161"/>
      <c r="J359" s="52"/>
      <c r="K359" s="44"/>
      <c r="L359" s="52"/>
      <c r="M359" s="52"/>
      <c r="N359" s="51"/>
      <c r="O359" s="51"/>
      <c r="P359" s="51"/>
      <c r="Q359" s="51"/>
      <c r="R359" s="51"/>
      <c r="S359" s="51"/>
      <c r="T359" s="51"/>
      <c r="U359" s="51"/>
      <c r="V359" s="51"/>
      <c r="W359" s="51"/>
    </row>
    <row r="360" spans="1:23" s="3" customFormat="1" ht="15" customHeight="1">
      <c r="A360" s="134" t="s">
        <v>845</v>
      </c>
      <c r="B360" s="181"/>
      <c r="C360" s="180"/>
      <c r="D360" s="50"/>
      <c r="E360" s="50"/>
      <c r="F360" s="50"/>
      <c r="G360" s="50"/>
      <c r="H360" s="25">
        <f>H363+H365+H367+H370+H372</f>
        <v>252158.5</v>
      </c>
      <c r="I360" s="161"/>
      <c r="J360" s="52"/>
      <c r="K360" s="44"/>
      <c r="L360" s="52"/>
      <c r="M360" s="52"/>
      <c r="N360" s="51"/>
      <c r="O360" s="51"/>
      <c r="P360" s="51"/>
      <c r="Q360" s="51"/>
      <c r="R360" s="51"/>
      <c r="S360" s="51"/>
      <c r="T360" s="51"/>
      <c r="U360" s="51"/>
      <c r="V360" s="51"/>
      <c r="W360" s="51"/>
    </row>
    <row r="361" spans="1:23" s="3" customFormat="1" ht="15" customHeight="1">
      <c r="A361" s="70" t="s">
        <v>251</v>
      </c>
      <c r="B361" s="181"/>
      <c r="C361" s="180"/>
      <c r="D361" s="50"/>
      <c r="E361" s="50"/>
      <c r="F361" s="50"/>
      <c r="G361" s="50"/>
      <c r="H361" s="25"/>
      <c r="I361" s="161"/>
      <c r="J361" s="52"/>
      <c r="K361" s="44"/>
      <c r="L361" s="52"/>
      <c r="M361" s="52"/>
      <c r="N361" s="51"/>
      <c r="O361" s="51"/>
      <c r="P361" s="51"/>
      <c r="Q361" s="51"/>
      <c r="R361" s="51"/>
      <c r="S361" s="51"/>
      <c r="T361" s="51"/>
      <c r="U361" s="51"/>
      <c r="V361" s="51"/>
      <c r="W361" s="51"/>
    </row>
    <row r="362" spans="1:23" s="3" customFormat="1" ht="15" customHeight="1">
      <c r="A362" s="179"/>
      <c r="B362" s="181" t="s">
        <v>60</v>
      </c>
      <c r="C362" s="182"/>
      <c r="D362" s="22"/>
      <c r="E362" s="50"/>
      <c r="F362" s="50"/>
      <c r="G362" s="50"/>
      <c r="H362" s="51"/>
      <c r="I362" s="612"/>
      <c r="J362" s="52"/>
      <c r="K362" s="44"/>
      <c r="L362" s="52"/>
      <c r="M362" s="52"/>
      <c r="N362" s="51"/>
      <c r="O362" s="51"/>
      <c r="P362" s="51"/>
      <c r="Q362" s="51"/>
      <c r="R362" s="51"/>
      <c r="S362" s="51"/>
      <c r="T362" s="51"/>
      <c r="U362" s="51"/>
      <c r="V362" s="51"/>
      <c r="W362" s="51"/>
    </row>
    <row r="363" spans="1:23" s="3" customFormat="1" ht="15" customHeight="1">
      <c r="A363" s="179"/>
      <c r="B363" s="181" t="s">
        <v>61</v>
      </c>
      <c r="C363" s="182"/>
      <c r="D363" s="22"/>
      <c r="E363" s="50"/>
      <c r="F363" s="50"/>
      <c r="G363" s="50"/>
      <c r="H363" s="51">
        <v>88000</v>
      </c>
      <c r="I363" s="612"/>
      <c r="J363" s="52"/>
      <c r="K363" s="44"/>
      <c r="L363" s="52"/>
      <c r="M363" s="52"/>
      <c r="N363" s="51"/>
      <c r="O363" s="51"/>
      <c r="P363" s="51"/>
      <c r="Q363" s="51"/>
      <c r="R363" s="51"/>
      <c r="S363" s="51"/>
      <c r="T363" s="51"/>
      <c r="U363" s="51"/>
      <c r="V363" s="51"/>
      <c r="W363" s="51"/>
    </row>
    <row r="364" spans="1:23" s="3" customFormat="1" ht="15" customHeight="1">
      <c r="A364" s="179"/>
      <c r="B364" s="181"/>
      <c r="C364" s="182"/>
      <c r="D364" s="22"/>
      <c r="E364" s="50"/>
      <c r="F364" s="50"/>
      <c r="G364" s="50"/>
      <c r="H364" s="51"/>
      <c r="I364" s="612"/>
      <c r="J364" s="52"/>
      <c r="K364" s="44"/>
      <c r="L364" s="52"/>
      <c r="M364" s="52"/>
      <c r="N364" s="51"/>
      <c r="O364" s="51"/>
      <c r="P364" s="51"/>
      <c r="Q364" s="51"/>
      <c r="R364" s="51"/>
      <c r="S364" s="51"/>
      <c r="T364" s="51"/>
      <c r="U364" s="51"/>
      <c r="V364" s="51"/>
      <c r="W364" s="51"/>
    </row>
    <row r="365" spans="1:23" s="3" customFormat="1" ht="15" customHeight="1">
      <c r="A365" s="179"/>
      <c r="B365" s="174" t="s">
        <v>2</v>
      </c>
      <c r="C365" s="180"/>
      <c r="D365" s="50"/>
      <c r="E365" s="50"/>
      <c r="F365" s="50"/>
      <c r="G365" s="50"/>
      <c r="H365" s="51">
        <v>25000</v>
      </c>
      <c r="I365" s="612"/>
      <c r="J365" s="52"/>
      <c r="K365" s="44"/>
      <c r="L365" s="52"/>
      <c r="M365" s="52"/>
      <c r="N365" s="51"/>
      <c r="O365" s="51"/>
      <c r="P365" s="51"/>
      <c r="Q365" s="51"/>
      <c r="R365" s="51"/>
      <c r="S365" s="51"/>
      <c r="T365" s="51"/>
      <c r="U365" s="51"/>
      <c r="V365" s="51"/>
      <c r="W365" s="51"/>
    </row>
    <row r="366" spans="1:23" s="3" customFormat="1" ht="15" customHeight="1">
      <c r="A366" s="179"/>
      <c r="B366" s="174"/>
      <c r="C366" s="180"/>
      <c r="D366" s="50"/>
      <c r="E366" s="50"/>
      <c r="F366" s="50"/>
      <c r="G366" s="50"/>
      <c r="H366" s="51"/>
      <c r="I366" s="612"/>
      <c r="J366" s="52"/>
      <c r="K366" s="44"/>
      <c r="L366" s="52"/>
      <c r="M366" s="52"/>
      <c r="N366" s="51"/>
      <c r="O366" s="51"/>
      <c r="P366" s="51"/>
      <c r="Q366" s="51"/>
      <c r="R366" s="51"/>
      <c r="S366" s="51"/>
      <c r="T366" s="51"/>
      <c r="U366" s="51"/>
      <c r="V366" s="51"/>
      <c r="W366" s="51"/>
    </row>
    <row r="367" spans="1:23" s="3" customFormat="1" ht="15" customHeight="1">
      <c r="A367" s="179"/>
      <c r="B367" s="174" t="s">
        <v>85</v>
      </c>
      <c r="C367" s="180"/>
      <c r="D367" s="50"/>
      <c r="E367" s="50"/>
      <c r="F367" s="50"/>
      <c r="G367" s="50"/>
      <c r="H367" s="51">
        <v>90000</v>
      </c>
      <c r="I367" s="612"/>
      <c r="J367" s="52"/>
      <c r="K367" s="44"/>
      <c r="L367" s="52"/>
      <c r="M367" s="52"/>
      <c r="N367" s="51"/>
      <c r="O367" s="51"/>
      <c r="P367" s="51"/>
      <c r="Q367" s="51"/>
      <c r="R367" s="51"/>
      <c r="S367" s="51"/>
      <c r="T367" s="51"/>
      <c r="U367" s="51"/>
      <c r="V367" s="51"/>
      <c r="W367" s="51"/>
    </row>
    <row r="368" spans="1:23" s="3" customFormat="1" ht="15" customHeight="1">
      <c r="A368" s="179"/>
      <c r="B368" s="174"/>
      <c r="C368" s="180"/>
      <c r="D368" s="50"/>
      <c r="E368" s="50"/>
      <c r="F368" s="50"/>
      <c r="G368" s="50"/>
      <c r="H368" s="51"/>
      <c r="I368" s="612"/>
      <c r="J368" s="52"/>
      <c r="K368" s="44"/>
      <c r="L368" s="52"/>
      <c r="M368" s="52"/>
      <c r="N368" s="51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1:23" s="3" customFormat="1" ht="15" customHeight="1">
      <c r="A369" s="179"/>
      <c r="B369" s="174" t="s">
        <v>406</v>
      </c>
      <c r="C369" s="180"/>
      <c r="D369" s="50"/>
      <c r="E369" s="50"/>
      <c r="F369" s="50"/>
      <c r="G369" s="50"/>
      <c r="H369" s="51"/>
      <c r="I369" s="612"/>
      <c r="J369" s="52"/>
      <c r="K369" s="44"/>
      <c r="L369" s="52"/>
      <c r="M369" s="52"/>
      <c r="N369" s="51"/>
      <c r="O369" s="51"/>
      <c r="P369" s="51"/>
      <c r="Q369" s="51"/>
      <c r="R369" s="51"/>
      <c r="S369" s="51"/>
      <c r="T369" s="51"/>
      <c r="U369" s="51"/>
      <c r="V369" s="51"/>
      <c r="W369" s="51"/>
    </row>
    <row r="370" spans="1:23" s="3" customFormat="1" ht="15" customHeight="1">
      <c r="A370" s="179"/>
      <c r="B370" s="174" t="s">
        <v>405</v>
      </c>
      <c r="C370" s="180"/>
      <c r="D370" s="50"/>
      <c r="E370" s="50"/>
      <c r="F370" s="50"/>
      <c r="G370" s="50"/>
      <c r="H370" s="51">
        <v>5000</v>
      </c>
      <c r="I370" s="612"/>
      <c r="J370" s="52"/>
      <c r="K370" s="44"/>
      <c r="L370" s="52"/>
      <c r="M370" s="52"/>
      <c r="N370" s="51"/>
      <c r="O370" s="51"/>
      <c r="P370" s="51"/>
      <c r="Q370" s="51"/>
      <c r="R370" s="51"/>
      <c r="S370" s="51"/>
      <c r="T370" s="51"/>
      <c r="U370" s="51"/>
      <c r="V370" s="51"/>
      <c r="W370" s="51"/>
    </row>
    <row r="371" spans="1:23" s="3" customFormat="1" ht="15" customHeight="1">
      <c r="A371" s="179"/>
      <c r="B371" s="174"/>
      <c r="C371" s="180"/>
      <c r="D371" s="50"/>
      <c r="E371" s="50"/>
      <c r="F371" s="50"/>
      <c r="G371" s="50"/>
      <c r="H371" s="51"/>
      <c r="I371" s="612"/>
      <c r="J371" s="52"/>
      <c r="K371" s="44"/>
      <c r="L371" s="52"/>
      <c r="M371" s="52"/>
      <c r="N371" s="51"/>
      <c r="O371" s="51"/>
      <c r="P371" s="51"/>
      <c r="Q371" s="51"/>
      <c r="R371" s="51"/>
      <c r="S371" s="51"/>
      <c r="T371" s="51"/>
      <c r="U371" s="51"/>
      <c r="V371" s="51"/>
      <c r="W371" s="51"/>
    </row>
    <row r="372" spans="1:23" s="3" customFormat="1" ht="15" customHeight="1">
      <c r="A372" s="179"/>
      <c r="B372" s="174" t="s">
        <v>475</v>
      </c>
      <c r="C372" s="180"/>
      <c r="D372" s="50"/>
      <c r="E372" s="50"/>
      <c r="F372" s="50"/>
      <c r="G372" s="50"/>
      <c r="H372" s="51">
        <v>44158.5</v>
      </c>
      <c r="I372" s="612"/>
      <c r="J372" s="52"/>
      <c r="K372" s="44"/>
      <c r="L372" s="52"/>
      <c r="M372" s="52"/>
      <c r="N372" s="51"/>
      <c r="O372" s="51"/>
      <c r="P372" s="51"/>
      <c r="Q372" s="51"/>
      <c r="R372" s="51"/>
      <c r="S372" s="51"/>
      <c r="T372" s="51"/>
      <c r="U372" s="51"/>
      <c r="V372" s="51"/>
      <c r="W372" s="51"/>
    </row>
    <row r="373" spans="1:23" s="3" customFormat="1" ht="15" customHeight="1">
      <c r="A373" s="179"/>
      <c r="B373" s="174"/>
      <c r="C373" s="180"/>
      <c r="D373" s="50"/>
      <c r="E373" s="50"/>
      <c r="F373" s="50"/>
      <c r="G373" s="50"/>
      <c r="H373" s="51"/>
      <c r="I373" s="612"/>
      <c r="J373" s="52"/>
      <c r="K373" s="44"/>
      <c r="L373" s="52"/>
      <c r="M373" s="52"/>
      <c r="N373" s="51"/>
      <c r="O373" s="51"/>
      <c r="P373" s="51"/>
      <c r="Q373" s="51"/>
      <c r="R373" s="51"/>
      <c r="S373" s="51"/>
      <c r="T373" s="51"/>
      <c r="U373" s="51"/>
      <c r="V373" s="51"/>
      <c r="W373" s="51"/>
    </row>
    <row r="374" spans="1:23" s="3" customFormat="1" ht="15" customHeight="1">
      <c r="A374" s="134" t="s">
        <v>330</v>
      </c>
      <c r="B374" s="178"/>
      <c r="C374" s="180"/>
      <c r="D374" s="50"/>
      <c r="E374" s="50"/>
      <c r="F374" s="50"/>
      <c r="G374" s="50"/>
      <c r="H374" s="25">
        <f>H377</f>
        <v>573233</v>
      </c>
      <c r="I374" s="161"/>
      <c r="J374" s="52"/>
      <c r="K374" s="44"/>
      <c r="L374" s="52"/>
      <c r="M374" s="52"/>
      <c r="N374" s="51"/>
      <c r="O374" s="51"/>
      <c r="P374" s="51"/>
      <c r="Q374" s="51"/>
      <c r="R374" s="51"/>
      <c r="S374" s="51"/>
      <c r="T374" s="51"/>
      <c r="U374" s="51"/>
      <c r="V374" s="51"/>
      <c r="W374" s="51"/>
    </row>
    <row r="375" spans="1:23" s="3" customFormat="1" ht="15" customHeight="1">
      <c r="A375" s="70" t="s">
        <v>251</v>
      </c>
      <c r="B375" s="178"/>
      <c r="C375" s="180"/>
      <c r="D375" s="50"/>
      <c r="E375" s="50"/>
      <c r="F375" s="50"/>
      <c r="G375" s="50"/>
      <c r="H375" s="25"/>
      <c r="I375" s="161"/>
      <c r="J375" s="52"/>
      <c r="K375" s="44"/>
      <c r="L375" s="52"/>
      <c r="M375" s="52"/>
      <c r="N375" s="51"/>
      <c r="O375" s="51"/>
      <c r="P375" s="51"/>
      <c r="Q375" s="51"/>
      <c r="R375" s="51"/>
      <c r="S375" s="51"/>
      <c r="T375" s="51"/>
      <c r="U375" s="51"/>
      <c r="V375" s="51"/>
      <c r="W375" s="51"/>
    </row>
    <row r="376" spans="1:23" s="3" customFormat="1" ht="15" customHeight="1">
      <c r="A376" s="179"/>
      <c r="B376" s="178" t="s">
        <v>65</v>
      </c>
      <c r="C376" s="180"/>
      <c r="D376" s="50"/>
      <c r="E376" s="50"/>
      <c r="F376" s="50"/>
      <c r="G376" s="50"/>
      <c r="H376" s="51"/>
      <c r="I376" s="161"/>
      <c r="J376" s="52"/>
      <c r="K376" s="44"/>
      <c r="L376" s="52"/>
      <c r="M376" s="52"/>
      <c r="N376" s="51"/>
      <c r="O376" s="51"/>
      <c r="P376" s="51"/>
      <c r="Q376" s="51"/>
      <c r="R376" s="51"/>
      <c r="S376" s="51"/>
      <c r="T376" s="51"/>
      <c r="U376" s="51"/>
      <c r="V376" s="51"/>
      <c r="W376" s="51"/>
    </row>
    <row r="377" spans="1:23" s="3" customFormat="1" ht="15" customHeight="1">
      <c r="A377" s="179"/>
      <c r="B377" s="178" t="s">
        <v>66</v>
      </c>
      <c r="C377" s="180"/>
      <c r="D377" s="50"/>
      <c r="E377" s="50"/>
      <c r="F377" s="50"/>
      <c r="G377" s="50"/>
      <c r="H377" s="51">
        <v>573233</v>
      </c>
      <c r="I377" s="161"/>
      <c r="J377" s="52"/>
      <c r="K377" s="44"/>
      <c r="L377" s="52"/>
      <c r="M377" s="52"/>
      <c r="N377" s="51"/>
      <c r="O377" s="51"/>
      <c r="P377" s="51"/>
      <c r="Q377" s="51"/>
      <c r="R377" s="51"/>
      <c r="S377" s="51"/>
      <c r="T377" s="51"/>
      <c r="U377" s="51"/>
      <c r="V377" s="51"/>
      <c r="W377" s="51"/>
    </row>
    <row r="378" spans="1:23" s="3" customFormat="1" ht="15" customHeight="1">
      <c r="A378" s="179"/>
      <c r="B378" s="178"/>
      <c r="C378" s="180"/>
      <c r="D378" s="50"/>
      <c r="E378" s="50"/>
      <c r="F378" s="50"/>
      <c r="G378" s="50"/>
      <c r="H378" s="51"/>
      <c r="I378" s="161"/>
      <c r="J378" s="52"/>
      <c r="K378" s="44"/>
      <c r="L378" s="52"/>
      <c r="M378" s="52"/>
      <c r="N378" s="51"/>
      <c r="O378" s="51"/>
      <c r="P378" s="51"/>
      <c r="Q378" s="51"/>
      <c r="R378" s="51"/>
      <c r="S378" s="51"/>
      <c r="T378" s="51"/>
      <c r="U378" s="51"/>
      <c r="V378" s="51"/>
      <c r="W378" s="51"/>
    </row>
    <row r="379" spans="1:23" s="3" customFormat="1" ht="15" customHeight="1">
      <c r="A379" s="134" t="s">
        <v>384</v>
      </c>
      <c r="B379" s="174"/>
      <c r="C379" s="180"/>
      <c r="D379" s="50"/>
      <c r="E379" s="50"/>
      <c r="F379" s="50"/>
      <c r="G379" s="50"/>
      <c r="H379" s="25">
        <f>H381</f>
        <v>10000</v>
      </c>
      <c r="I379" s="612"/>
      <c r="J379" s="52"/>
      <c r="K379" s="44"/>
      <c r="L379" s="52"/>
      <c r="M379" s="52"/>
      <c r="N379" s="51"/>
      <c r="O379" s="51"/>
      <c r="P379" s="51"/>
      <c r="Q379" s="51"/>
      <c r="R379" s="51"/>
      <c r="S379" s="51"/>
      <c r="T379" s="51"/>
      <c r="U379" s="51"/>
      <c r="V379" s="51"/>
      <c r="W379" s="51"/>
    </row>
    <row r="380" spans="1:23" s="3" customFormat="1" ht="15" customHeight="1">
      <c r="A380" s="70" t="s">
        <v>251</v>
      </c>
      <c r="B380" s="174"/>
      <c r="C380" s="180"/>
      <c r="D380" s="50"/>
      <c r="E380" s="50"/>
      <c r="F380" s="50"/>
      <c r="G380" s="50"/>
      <c r="H380" s="51"/>
      <c r="I380" s="612"/>
      <c r="J380" s="52"/>
      <c r="K380" s="44"/>
      <c r="L380" s="52"/>
      <c r="M380" s="52"/>
      <c r="N380" s="51"/>
      <c r="O380" s="51"/>
      <c r="P380" s="51"/>
      <c r="Q380" s="51"/>
      <c r="R380" s="51"/>
      <c r="S380" s="51"/>
      <c r="T380" s="51"/>
      <c r="U380" s="51"/>
      <c r="V380" s="51"/>
      <c r="W380" s="51"/>
    </row>
    <row r="381" spans="1:23" s="3" customFormat="1" ht="15" customHeight="1">
      <c r="A381" s="179"/>
      <c r="B381" s="174" t="s">
        <v>826</v>
      </c>
      <c r="C381" s="180"/>
      <c r="D381" s="50"/>
      <c r="E381" s="50"/>
      <c r="F381" s="50"/>
      <c r="G381" s="50"/>
      <c r="H381" s="51">
        <v>10000</v>
      </c>
      <c r="I381" s="612"/>
      <c r="J381" s="52"/>
      <c r="K381" s="44"/>
      <c r="L381" s="52"/>
      <c r="M381" s="52"/>
      <c r="N381" s="51"/>
      <c r="O381" s="51"/>
      <c r="P381" s="51"/>
      <c r="Q381" s="51"/>
      <c r="R381" s="51"/>
      <c r="S381" s="51"/>
      <c r="T381" s="51"/>
      <c r="U381" s="51"/>
      <c r="V381" s="51"/>
      <c r="W381" s="51"/>
    </row>
    <row r="382" spans="1:23" s="3" customFormat="1" ht="15" customHeight="1">
      <c r="A382" s="70"/>
      <c r="B382" s="163"/>
      <c r="C382" s="163"/>
      <c r="D382" s="50"/>
      <c r="E382" s="50"/>
      <c r="F382" s="50"/>
      <c r="G382" s="50"/>
      <c r="H382" s="51"/>
      <c r="I382" s="161"/>
      <c r="J382" s="52"/>
      <c r="K382" s="44"/>
      <c r="L382" s="52"/>
      <c r="M382" s="52"/>
      <c r="N382" s="51"/>
      <c r="O382" s="51"/>
      <c r="P382" s="51"/>
      <c r="Q382" s="51"/>
      <c r="R382" s="51"/>
      <c r="S382" s="51"/>
      <c r="T382" s="51"/>
      <c r="U382" s="51"/>
      <c r="V382" s="51"/>
      <c r="W382" s="51"/>
    </row>
    <row r="383" spans="1:23" s="3" customFormat="1" ht="15" customHeight="1">
      <c r="A383" s="134" t="s">
        <v>62</v>
      </c>
      <c r="B383" s="163"/>
      <c r="C383" s="163"/>
      <c r="D383" s="50"/>
      <c r="E383" s="50"/>
      <c r="F383" s="50"/>
      <c r="G383" s="50"/>
      <c r="H383" s="25">
        <f>H386+H388+H389</f>
        <v>291050</v>
      </c>
      <c r="I383" s="161"/>
      <c r="J383" s="52"/>
      <c r="K383" s="44"/>
      <c r="L383" s="52"/>
      <c r="M383" s="52"/>
      <c r="N383" s="51"/>
      <c r="O383" s="51"/>
      <c r="P383" s="51"/>
      <c r="Q383" s="51"/>
      <c r="R383" s="51"/>
      <c r="S383" s="51"/>
      <c r="T383" s="51"/>
      <c r="U383" s="51"/>
      <c r="V383" s="51"/>
      <c r="W383" s="51"/>
    </row>
    <row r="384" spans="1:23" s="3" customFormat="1" ht="15" customHeight="1">
      <c r="A384" s="70" t="s">
        <v>251</v>
      </c>
      <c r="B384" s="163"/>
      <c r="C384" s="163"/>
      <c r="D384" s="50"/>
      <c r="E384" s="50"/>
      <c r="F384" s="50"/>
      <c r="G384" s="50"/>
      <c r="H384" s="51"/>
      <c r="I384" s="161"/>
      <c r="J384" s="52"/>
      <c r="K384" s="44"/>
      <c r="L384" s="52"/>
      <c r="M384" s="52"/>
      <c r="N384" s="51"/>
      <c r="O384" s="51"/>
      <c r="P384" s="51"/>
      <c r="Q384" s="51"/>
      <c r="R384" s="51"/>
      <c r="S384" s="51"/>
      <c r="T384" s="51"/>
      <c r="U384" s="51"/>
      <c r="V384" s="51"/>
      <c r="W384" s="51"/>
    </row>
    <row r="385" spans="1:23" s="3" customFormat="1" ht="15" customHeight="1">
      <c r="A385" s="70"/>
      <c r="B385" s="699" t="s">
        <v>46</v>
      </c>
      <c r="C385" s="163"/>
      <c r="D385" s="50"/>
      <c r="E385" s="50"/>
      <c r="F385" s="50"/>
      <c r="G385" s="50"/>
      <c r="H385" s="51"/>
      <c r="I385" s="161"/>
      <c r="J385" s="52"/>
      <c r="K385" s="44"/>
      <c r="L385" s="52"/>
      <c r="M385" s="52"/>
      <c r="N385" s="51"/>
      <c r="O385" s="51"/>
      <c r="P385" s="51"/>
      <c r="Q385" s="51"/>
      <c r="R385" s="51"/>
      <c r="S385" s="51"/>
      <c r="T385" s="51"/>
      <c r="U385" s="51"/>
      <c r="V385" s="51"/>
      <c r="W385" s="51"/>
    </row>
    <row r="386" spans="1:23" s="3" customFormat="1" ht="17.25" customHeight="1">
      <c r="A386" s="70"/>
      <c r="B386" s="699" t="s">
        <v>103</v>
      </c>
      <c r="C386" s="163"/>
      <c r="D386" s="50"/>
      <c r="E386" s="50"/>
      <c r="F386" s="50"/>
      <c r="G386" s="50"/>
      <c r="H386" s="51">
        <v>2000</v>
      </c>
      <c r="I386" s="161"/>
      <c r="J386" s="52"/>
      <c r="K386" s="44"/>
      <c r="L386" s="52"/>
      <c r="M386" s="52"/>
      <c r="N386" s="51"/>
      <c r="O386" s="51"/>
      <c r="P386" s="51"/>
      <c r="Q386" s="51"/>
      <c r="R386" s="51"/>
      <c r="S386" s="51"/>
      <c r="T386" s="51"/>
      <c r="U386" s="51"/>
      <c r="V386" s="51"/>
      <c r="W386" s="51"/>
    </row>
    <row r="387" spans="1:23" s="3" customFormat="1" ht="15" customHeight="1">
      <c r="A387" s="70"/>
      <c r="B387" s="163"/>
      <c r="C387" s="163"/>
      <c r="D387" s="50"/>
      <c r="E387" s="50"/>
      <c r="F387" s="50"/>
      <c r="G387" s="50"/>
      <c r="H387" s="51"/>
      <c r="I387" s="161"/>
      <c r="J387" s="52"/>
      <c r="K387" s="44"/>
      <c r="L387" s="52"/>
      <c r="M387" s="52"/>
      <c r="N387" s="51"/>
      <c r="O387" s="51"/>
      <c r="P387" s="51"/>
      <c r="Q387" s="51"/>
      <c r="R387" s="51"/>
      <c r="S387" s="51"/>
      <c r="T387" s="51"/>
      <c r="U387" s="51"/>
      <c r="V387" s="51"/>
      <c r="W387" s="51"/>
    </row>
    <row r="388" spans="1:23" s="3" customFormat="1" ht="15" customHeight="1">
      <c r="A388" s="70"/>
      <c r="B388" s="699" t="s">
        <v>63</v>
      </c>
      <c r="C388" s="163"/>
      <c r="D388" s="50"/>
      <c r="E388" s="50"/>
      <c r="F388" s="50"/>
      <c r="G388" s="50"/>
      <c r="H388" s="51">
        <v>245692.5</v>
      </c>
      <c r="I388" s="161"/>
      <c r="J388" s="52"/>
      <c r="K388" s="44"/>
      <c r="L388" s="52"/>
      <c r="M388" s="52"/>
      <c r="N388" s="51"/>
      <c r="O388" s="51"/>
      <c r="P388" s="51"/>
      <c r="Q388" s="51"/>
      <c r="R388" s="51"/>
      <c r="S388" s="51"/>
      <c r="T388" s="51"/>
      <c r="U388" s="51"/>
      <c r="V388" s="51"/>
      <c r="W388" s="51"/>
    </row>
    <row r="389" spans="1:23" s="3" customFormat="1" ht="15" customHeight="1">
      <c r="A389" s="70"/>
      <c r="B389" s="699" t="s">
        <v>64</v>
      </c>
      <c r="C389" s="163"/>
      <c r="D389" s="50"/>
      <c r="E389" s="50"/>
      <c r="F389" s="50"/>
      <c r="G389" s="50"/>
      <c r="H389" s="51">
        <v>43357.5</v>
      </c>
      <c r="I389" s="161"/>
      <c r="J389" s="52"/>
      <c r="K389" s="44"/>
      <c r="L389" s="52"/>
      <c r="M389" s="52"/>
      <c r="N389" s="51"/>
      <c r="O389" s="51"/>
      <c r="P389" s="51"/>
      <c r="Q389" s="51"/>
      <c r="R389" s="51"/>
      <c r="S389" s="51"/>
      <c r="T389" s="51"/>
      <c r="U389" s="51"/>
      <c r="V389" s="51"/>
      <c r="W389" s="51"/>
    </row>
    <row r="390" spans="1:23" s="3" customFormat="1" ht="15" customHeight="1">
      <c r="A390" s="70"/>
      <c r="B390" s="699" t="s">
        <v>753</v>
      </c>
      <c r="C390" s="163"/>
      <c r="D390" s="50"/>
      <c r="E390" s="50"/>
      <c r="F390" s="50"/>
      <c r="G390" s="50"/>
      <c r="H390" s="51"/>
      <c r="I390" s="161"/>
      <c r="J390" s="52"/>
      <c r="K390" s="44"/>
      <c r="L390" s="52"/>
      <c r="M390" s="52"/>
      <c r="N390" s="51"/>
      <c r="O390" s="51"/>
      <c r="P390" s="51"/>
      <c r="Q390" s="51"/>
      <c r="R390" s="51"/>
      <c r="S390" s="51"/>
      <c r="T390" s="51"/>
      <c r="U390" s="51"/>
      <c r="V390" s="51"/>
      <c r="W390" s="51"/>
    </row>
    <row r="391" spans="1:23" s="3" customFormat="1" ht="15" customHeight="1">
      <c r="A391" s="70"/>
      <c r="B391" s="699"/>
      <c r="C391" s="163"/>
      <c r="D391" s="50"/>
      <c r="E391" s="50"/>
      <c r="F391" s="50"/>
      <c r="G391" s="50"/>
      <c r="H391" s="51"/>
      <c r="I391" s="161"/>
      <c r="J391" s="52"/>
      <c r="K391" s="44"/>
      <c r="L391" s="52"/>
      <c r="M391" s="52"/>
      <c r="N391" s="51"/>
      <c r="O391" s="51"/>
      <c r="P391" s="51"/>
      <c r="Q391" s="51"/>
      <c r="R391" s="51"/>
      <c r="S391" s="51"/>
      <c r="T391" s="51"/>
      <c r="U391" s="51"/>
      <c r="V391" s="51"/>
      <c r="W391" s="51"/>
    </row>
    <row r="392" spans="1:23" s="3" customFormat="1" ht="15" customHeight="1">
      <c r="A392" s="134" t="s">
        <v>410</v>
      </c>
      <c r="B392" s="699"/>
      <c r="C392" s="163"/>
      <c r="D392" s="50"/>
      <c r="E392" s="50"/>
      <c r="F392" s="50"/>
      <c r="G392" s="50"/>
      <c r="H392" s="25">
        <f>H395</f>
        <v>328930</v>
      </c>
      <c r="I392" s="161"/>
      <c r="J392" s="52"/>
      <c r="K392" s="44"/>
      <c r="L392" s="52"/>
      <c r="M392" s="52"/>
      <c r="N392" s="51"/>
      <c r="O392" s="51"/>
      <c r="P392" s="51"/>
      <c r="Q392" s="51"/>
      <c r="R392" s="51"/>
      <c r="S392" s="51"/>
      <c r="T392" s="51"/>
      <c r="U392" s="51"/>
      <c r="V392" s="51"/>
      <c r="W392" s="51"/>
    </row>
    <row r="393" spans="1:23" s="3" customFormat="1" ht="15" customHeight="1">
      <c r="A393" s="70" t="s">
        <v>251</v>
      </c>
      <c r="B393" s="699"/>
      <c r="C393" s="163"/>
      <c r="D393" s="50"/>
      <c r="E393" s="50"/>
      <c r="F393" s="50"/>
      <c r="G393" s="50"/>
      <c r="H393" s="51"/>
      <c r="I393" s="161"/>
      <c r="J393" s="52"/>
      <c r="K393" s="44"/>
      <c r="L393" s="52"/>
      <c r="M393" s="52"/>
      <c r="N393" s="51"/>
      <c r="O393" s="51"/>
      <c r="P393" s="51"/>
      <c r="Q393" s="51"/>
      <c r="R393" s="51"/>
      <c r="S393" s="51"/>
      <c r="T393" s="51"/>
      <c r="U393" s="51"/>
      <c r="V393" s="51"/>
      <c r="W393" s="51"/>
    </row>
    <row r="394" spans="1:23" s="3" customFormat="1" ht="15" customHeight="1">
      <c r="A394" s="70"/>
      <c r="B394" s="699" t="s">
        <v>408</v>
      </c>
      <c r="C394" s="163"/>
      <c r="D394" s="50"/>
      <c r="E394" s="50"/>
      <c r="F394" s="50"/>
      <c r="G394" s="50"/>
      <c r="H394" s="51"/>
      <c r="I394" s="161"/>
      <c r="J394" s="52"/>
      <c r="K394" s="44"/>
      <c r="L394" s="52"/>
      <c r="M394" s="52"/>
      <c r="N394" s="51"/>
      <c r="O394" s="51"/>
      <c r="P394" s="51"/>
      <c r="Q394" s="51"/>
      <c r="R394" s="51"/>
      <c r="S394" s="51"/>
      <c r="T394" s="51"/>
      <c r="U394" s="51"/>
      <c r="V394" s="51"/>
      <c r="W394" s="51"/>
    </row>
    <row r="395" spans="1:23" s="3" customFormat="1" ht="15" customHeight="1">
      <c r="A395" s="70"/>
      <c r="B395" s="699" t="s">
        <v>409</v>
      </c>
      <c r="C395" s="163"/>
      <c r="D395" s="50"/>
      <c r="E395" s="50"/>
      <c r="F395" s="50"/>
      <c r="G395" s="50"/>
      <c r="H395" s="51">
        <v>328930</v>
      </c>
      <c r="I395" s="161"/>
      <c r="J395" s="52"/>
      <c r="K395" s="44"/>
      <c r="L395" s="52"/>
      <c r="M395" s="52"/>
      <c r="N395" s="51"/>
      <c r="O395" s="51"/>
      <c r="P395" s="51"/>
      <c r="Q395" s="51"/>
      <c r="R395" s="51"/>
      <c r="S395" s="51"/>
      <c r="T395" s="51"/>
      <c r="U395" s="51"/>
      <c r="V395" s="51"/>
      <c r="W395" s="51"/>
    </row>
    <row r="396" spans="1:23" s="3" customFormat="1" ht="15" customHeight="1">
      <c r="A396" s="70"/>
      <c r="B396" s="699"/>
      <c r="C396" s="163"/>
      <c r="D396" s="50"/>
      <c r="E396" s="50"/>
      <c r="F396" s="50"/>
      <c r="G396" s="50"/>
      <c r="H396" s="51"/>
      <c r="I396" s="161"/>
      <c r="J396" s="52"/>
      <c r="K396" s="44"/>
      <c r="L396" s="52"/>
      <c r="M396" s="52"/>
      <c r="N396" s="51"/>
      <c r="O396" s="51"/>
      <c r="P396" s="51"/>
      <c r="Q396" s="51"/>
      <c r="R396" s="51"/>
      <c r="S396" s="51"/>
      <c r="T396" s="51"/>
      <c r="U396" s="51"/>
      <c r="V396" s="51"/>
      <c r="W396" s="51"/>
    </row>
    <row r="397" spans="1:23" s="3" customFormat="1" ht="15" customHeight="1">
      <c r="A397" s="134" t="s">
        <v>407</v>
      </c>
      <c r="B397" s="699"/>
      <c r="C397" s="163"/>
      <c r="D397" s="50"/>
      <c r="E397" s="50"/>
      <c r="F397" s="50"/>
      <c r="G397" s="50"/>
      <c r="H397" s="25">
        <f>H400</f>
        <v>35000</v>
      </c>
      <c r="I397" s="161"/>
      <c r="J397" s="52"/>
      <c r="K397" s="44"/>
      <c r="L397" s="52"/>
      <c r="M397" s="52"/>
      <c r="N397" s="51"/>
      <c r="O397" s="51"/>
      <c r="P397" s="51"/>
      <c r="Q397" s="51"/>
      <c r="R397" s="51"/>
      <c r="S397" s="51"/>
      <c r="T397" s="51"/>
      <c r="U397" s="51"/>
      <c r="V397" s="51"/>
      <c r="W397" s="51"/>
    </row>
    <row r="398" spans="1:23" s="3" customFormat="1" ht="15" customHeight="1">
      <c r="A398" s="70" t="s">
        <v>251</v>
      </c>
      <c r="B398" s="699"/>
      <c r="C398" s="163"/>
      <c r="D398" s="50"/>
      <c r="E398" s="50"/>
      <c r="F398" s="50"/>
      <c r="G398" s="50"/>
      <c r="H398" s="51"/>
      <c r="I398" s="161"/>
      <c r="J398" s="52"/>
      <c r="K398" s="44"/>
      <c r="L398" s="52"/>
      <c r="M398" s="52"/>
      <c r="N398" s="51"/>
      <c r="O398" s="51"/>
      <c r="P398" s="51"/>
      <c r="Q398" s="51"/>
      <c r="R398" s="51"/>
      <c r="S398" s="51"/>
      <c r="T398" s="51"/>
      <c r="U398" s="51"/>
      <c r="V398" s="51"/>
      <c r="W398" s="51"/>
    </row>
    <row r="399" spans="1:23" s="3" customFormat="1" ht="15" customHeight="1">
      <c r="A399" s="70"/>
      <c r="B399" s="699" t="s">
        <v>411</v>
      </c>
      <c r="C399" s="163"/>
      <c r="D399" s="50"/>
      <c r="E399" s="50"/>
      <c r="F399" s="50"/>
      <c r="G399" s="50"/>
      <c r="H399" s="51"/>
      <c r="I399" s="161"/>
      <c r="J399" s="52"/>
      <c r="K399" s="44"/>
      <c r="L399" s="52"/>
      <c r="M399" s="52"/>
      <c r="N399" s="51"/>
      <c r="O399" s="51"/>
      <c r="P399" s="51"/>
      <c r="Q399" s="51"/>
      <c r="R399" s="51"/>
      <c r="S399" s="51"/>
      <c r="T399" s="51"/>
      <c r="U399" s="51"/>
      <c r="V399" s="51"/>
      <c r="W399" s="51"/>
    </row>
    <row r="400" spans="1:23" s="3" customFormat="1" ht="15" customHeight="1">
      <c r="A400" s="70"/>
      <c r="B400" s="699" t="s">
        <v>412</v>
      </c>
      <c r="C400" s="163"/>
      <c r="D400" s="50"/>
      <c r="E400" s="50"/>
      <c r="F400" s="50"/>
      <c r="G400" s="50"/>
      <c r="H400" s="51">
        <v>35000</v>
      </c>
      <c r="I400" s="161"/>
      <c r="J400" s="52"/>
      <c r="K400" s="44"/>
      <c r="L400" s="52"/>
      <c r="M400" s="52"/>
      <c r="N400" s="51"/>
      <c r="O400" s="51"/>
      <c r="P400" s="51"/>
      <c r="Q400" s="51"/>
      <c r="R400" s="51"/>
      <c r="S400" s="51"/>
      <c r="T400" s="51"/>
      <c r="U400" s="51"/>
      <c r="V400" s="51"/>
      <c r="W400" s="51"/>
    </row>
    <row r="401" spans="1:23" s="3" customFormat="1" ht="15" customHeight="1">
      <c r="A401" s="70"/>
      <c r="B401" s="699"/>
      <c r="C401" s="163"/>
      <c r="D401" s="50"/>
      <c r="E401" s="50"/>
      <c r="F401" s="50"/>
      <c r="G401" s="50"/>
      <c r="H401" s="51"/>
      <c r="I401" s="161"/>
      <c r="J401" s="52"/>
      <c r="K401" s="44"/>
      <c r="L401" s="52"/>
      <c r="M401" s="52"/>
      <c r="N401" s="51"/>
      <c r="O401" s="51"/>
      <c r="P401" s="51"/>
      <c r="Q401" s="51"/>
      <c r="R401" s="51"/>
      <c r="S401" s="51"/>
      <c r="T401" s="51"/>
      <c r="U401" s="51"/>
      <c r="V401" s="51"/>
      <c r="W401" s="51"/>
    </row>
    <row r="402" spans="1:23" s="3" customFormat="1" ht="15" customHeight="1">
      <c r="A402" s="70"/>
      <c r="B402" s="699"/>
      <c r="C402" s="163"/>
      <c r="D402" s="50"/>
      <c r="E402" s="50"/>
      <c r="F402" s="50"/>
      <c r="G402" s="50"/>
      <c r="H402" s="51"/>
      <c r="I402" s="161"/>
      <c r="J402" s="52"/>
      <c r="K402" s="44"/>
      <c r="L402" s="52"/>
      <c r="M402" s="52"/>
      <c r="N402" s="51"/>
      <c r="O402" s="51"/>
      <c r="P402" s="51"/>
      <c r="Q402" s="51"/>
      <c r="R402" s="51"/>
      <c r="S402" s="51"/>
      <c r="T402" s="51"/>
      <c r="U402" s="51"/>
      <c r="V402" s="51"/>
      <c r="W402" s="51"/>
    </row>
    <row r="403" spans="1:23" s="3" customFormat="1" ht="15" customHeight="1">
      <c r="A403" s="70"/>
      <c r="B403" s="163"/>
      <c r="C403" s="163"/>
      <c r="D403" s="50"/>
      <c r="E403" s="50"/>
      <c r="F403" s="50"/>
      <c r="G403" s="50"/>
      <c r="H403" s="51"/>
      <c r="I403" s="161"/>
      <c r="J403" s="52"/>
      <c r="K403" s="44"/>
      <c r="L403" s="52"/>
      <c r="M403" s="52"/>
      <c r="N403" s="51"/>
      <c r="O403" s="51"/>
      <c r="P403" s="51"/>
      <c r="Q403" s="51"/>
      <c r="R403" s="51"/>
      <c r="S403" s="51"/>
      <c r="T403" s="51"/>
      <c r="U403" s="51"/>
      <c r="V403" s="51"/>
      <c r="W403" s="51"/>
    </row>
    <row r="404" spans="1:23" s="3" customFormat="1" ht="17.25" customHeight="1">
      <c r="A404" s="179" t="s">
        <v>262</v>
      </c>
      <c r="B404" s="178"/>
      <c r="C404" s="180"/>
      <c r="D404" s="50"/>
      <c r="E404" s="50"/>
      <c r="F404" s="50"/>
      <c r="G404" s="50"/>
      <c r="H404" s="53">
        <f>H406+H415+H420+H426</f>
        <v>141687</v>
      </c>
      <c r="I404" s="161"/>
      <c r="J404" s="52"/>
      <c r="K404" s="44"/>
      <c r="L404" s="52"/>
      <c r="M404" s="52"/>
      <c r="N404" s="51"/>
      <c r="O404" s="51"/>
      <c r="P404" s="51"/>
      <c r="Q404" s="51"/>
      <c r="R404" s="51"/>
      <c r="S404" s="51"/>
      <c r="T404" s="51"/>
      <c r="U404" s="51"/>
      <c r="V404" s="51"/>
      <c r="W404" s="51"/>
    </row>
    <row r="405" spans="1:23" s="3" customFormat="1" ht="16.5" customHeight="1">
      <c r="A405" s="70" t="s">
        <v>251</v>
      </c>
      <c r="B405" s="181"/>
      <c r="C405" s="182"/>
      <c r="D405" s="22"/>
      <c r="E405" s="16"/>
      <c r="F405" s="27"/>
      <c r="G405" s="27"/>
      <c r="H405" s="51"/>
      <c r="I405" s="161"/>
      <c r="J405" s="40"/>
      <c r="K405" s="44"/>
      <c r="L405" s="40"/>
      <c r="M405" s="40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s="3" customFormat="1" ht="16.5" customHeight="1">
      <c r="A406" s="134" t="s">
        <v>332</v>
      </c>
      <c r="B406" s="181"/>
      <c r="C406" s="182"/>
      <c r="D406" s="22"/>
      <c r="E406" s="16"/>
      <c r="F406" s="27"/>
      <c r="G406" s="27"/>
      <c r="H406" s="25">
        <f>H408+H411</f>
        <v>46119</v>
      </c>
      <c r="I406" s="161"/>
      <c r="J406" s="40"/>
      <c r="K406" s="44"/>
      <c r="L406" s="40"/>
      <c r="M406" s="40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s="3" customFormat="1" ht="16.5" customHeight="1">
      <c r="A407" s="70" t="s">
        <v>251</v>
      </c>
      <c r="B407" s="181"/>
      <c r="C407" s="182"/>
      <c r="D407" s="22"/>
      <c r="E407" s="16"/>
      <c r="F407" s="27"/>
      <c r="G407" s="27"/>
      <c r="H407" s="51"/>
      <c r="I407" s="161"/>
      <c r="J407" s="40"/>
      <c r="K407" s="44"/>
      <c r="L407" s="40"/>
      <c r="M407" s="40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3" customFormat="1" ht="16.5" customHeight="1">
      <c r="A408" s="940"/>
      <c r="B408" s="940" t="s">
        <v>333</v>
      </c>
      <c r="C408" s="180"/>
      <c r="D408" s="942"/>
      <c r="E408" s="942"/>
      <c r="F408" s="942"/>
      <c r="G408" s="942"/>
      <c r="H408" s="53">
        <f>H409</f>
        <v>2700</v>
      </c>
      <c r="I408" s="161"/>
      <c r="J408" s="40"/>
      <c r="K408" s="44"/>
      <c r="L408" s="40"/>
      <c r="M408" s="40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s="3" customFormat="1" ht="16.5" customHeight="1">
      <c r="A409" s="134"/>
      <c r="B409" s="178" t="s">
        <v>70</v>
      </c>
      <c r="C409" s="180"/>
      <c r="D409" s="50"/>
      <c r="E409" s="50"/>
      <c r="F409" s="50"/>
      <c r="G409" s="50"/>
      <c r="H409" s="51">
        <v>2700</v>
      </c>
      <c r="I409" s="161"/>
      <c r="J409" s="40"/>
      <c r="K409" s="44"/>
      <c r="L409" s="40"/>
      <c r="M409" s="40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s="3" customFormat="1" ht="16.5" customHeight="1">
      <c r="A410" s="70"/>
      <c r="B410" s="181"/>
      <c r="C410" s="182"/>
      <c r="D410" s="22"/>
      <c r="E410" s="16"/>
      <c r="F410" s="27"/>
      <c r="G410" s="27"/>
      <c r="H410" s="51"/>
      <c r="I410" s="161"/>
      <c r="J410" s="40"/>
      <c r="K410" s="44"/>
      <c r="L410" s="40"/>
      <c r="M410" s="40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s="3" customFormat="1" ht="16.5" customHeight="1">
      <c r="A411" s="940"/>
      <c r="B411" s="940" t="s">
        <v>329</v>
      </c>
      <c r="C411" s="180"/>
      <c r="D411" s="941"/>
      <c r="E411" s="941"/>
      <c r="F411" s="27"/>
      <c r="G411" s="27"/>
      <c r="H411" s="53">
        <f>H413</f>
        <v>43419</v>
      </c>
      <c r="I411" s="161"/>
      <c r="J411" s="40"/>
      <c r="K411" s="44"/>
      <c r="L411" s="40"/>
      <c r="M411" s="40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s="3" customFormat="1" ht="16.5" customHeight="1">
      <c r="A412" s="70"/>
      <c r="B412" s="181" t="s">
        <v>67</v>
      </c>
      <c r="C412" s="182"/>
      <c r="D412" s="22"/>
      <c r="E412" s="16"/>
      <c r="F412" s="27"/>
      <c r="G412" s="27"/>
      <c r="H412" s="51"/>
      <c r="I412" s="161"/>
      <c r="J412" s="40"/>
      <c r="K412" s="44"/>
      <c r="L412" s="40"/>
      <c r="M412" s="40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s="3" customFormat="1" ht="16.5" customHeight="1">
      <c r="A413" s="70"/>
      <c r="B413" s="181" t="s">
        <v>331</v>
      </c>
      <c r="C413" s="182"/>
      <c r="D413" s="22"/>
      <c r="E413" s="16"/>
      <c r="F413" s="27"/>
      <c r="G413" s="27"/>
      <c r="H413" s="51">
        <v>43419</v>
      </c>
      <c r="I413" s="161"/>
      <c r="J413" s="40"/>
      <c r="K413" s="44"/>
      <c r="L413" s="40"/>
      <c r="M413" s="40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s="3" customFormat="1" ht="16.5" customHeight="1">
      <c r="A414" s="70"/>
      <c r="B414" s="181"/>
      <c r="C414" s="182"/>
      <c r="D414" s="22"/>
      <c r="E414" s="16"/>
      <c r="F414" s="27"/>
      <c r="G414" s="27"/>
      <c r="H414" s="51"/>
      <c r="I414" s="161"/>
      <c r="J414" s="40"/>
      <c r="K414" s="44"/>
      <c r="L414" s="40"/>
      <c r="M414" s="40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s="3" customFormat="1" ht="16.5" customHeight="1">
      <c r="A415" s="134" t="s">
        <v>300</v>
      </c>
      <c r="B415" s="181"/>
      <c r="C415" s="182"/>
      <c r="D415" s="22"/>
      <c r="E415" s="16"/>
      <c r="F415" s="27"/>
      <c r="G415" s="27"/>
      <c r="H415" s="25">
        <f>H417+H418</f>
        <v>25568</v>
      </c>
      <c r="I415" s="161"/>
      <c r="J415" s="40"/>
      <c r="K415" s="44"/>
      <c r="L415" s="40"/>
      <c r="M415" s="40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s="3" customFormat="1" ht="16.5" customHeight="1">
      <c r="A416" s="70" t="s">
        <v>251</v>
      </c>
      <c r="B416" s="181"/>
      <c r="C416" s="182"/>
      <c r="D416" s="22"/>
      <c r="E416" s="16"/>
      <c r="F416" s="27"/>
      <c r="G416" s="27"/>
      <c r="H416" s="51"/>
      <c r="I416" s="161"/>
      <c r="J416" s="40"/>
      <c r="K416" s="44"/>
      <c r="L416" s="40"/>
      <c r="M416" s="40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s="3" customFormat="1" ht="16.5" customHeight="1">
      <c r="A417" s="70"/>
      <c r="B417" s="181" t="s">
        <v>301</v>
      </c>
      <c r="C417" s="182"/>
      <c r="D417" s="22"/>
      <c r="E417" s="16"/>
      <c r="F417" s="27"/>
      <c r="G417" s="27"/>
      <c r="H417" s="51">
        <v>13068</v>
      </c>
      <c r="I417" s="161"/>
      <c r="J417" s="40"/>
      <c r="K417" s="44"/>
      <c r="L417" s="40"/>
      <c r="M417" s="40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s="3" customFormat="1" ht="16.5" customHeight="1">
      <c r="A418" s="70"/>
      <c r="B418" s="181" t="s">
        <v>121</v>
      </c>
      <c r="C418" s="182"/>
      <c r="D418" s="22"/>
      <c r="E418" s="16"/>
      <c r="F418" s="27"/>
      <c r="G418" s="27"/>
      <c r="H418" s="51">
        <v>12500</v>
      </c>
      <c r="I418" s="161"/>
      <c r="J418" s="40"/>
      <c r="K418" s="44"/>
      <c r="L418" s="40"/>
      <c r="M418" s="40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s="3" customFormat="1" ht="16.5" customHeight="1">
      <c r="A419" s="70"/>
      <c r="B419" s="181"/>
      <c r="C419" s="182"/>
      <c r="D419" s="22"/>
      <c r="E419" s="16"/>
      <c r="F419" s="27"/>
      <c r="G419" s="27"/>
      <c r="H419" s="51"/>
      <c r="I419" s="161"/>
      <c r="J419" s="40"/>
      <c r="K419" s="44"/>
      <c r="L419" s="40"/>
      <c r="M419" s="40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s="3" customFormat="1" ht="16.5" customHeight="1">
      <c r="A420" s="134" t="s">
        <v>304</v>
      </c>
      <c r="B420" s="181"/>
      <c r="C420" s="182"/>
      <c r="D420" s="22"/>
      <c r="E420" s="16"/>
      <c r="F420" s="27"/>
      <c r="G420" s="27"/>
      <c r="H420" s="25">
        <f>H422+H423</f>
        <v>40000</v>
      </c>
      <c r="I420" s="161"/>
      <c r="J420" s="40"/>
      <c r="K420" s="44"/>
      <c r="L420" s="40"/>
      <c r="M420" s="40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s="3" customFormat="1" ht="16.5" customHeight="1">
      <c r="A421" s="70" t="s">
        <v>251</v>
      </c>
      <c r="B421" s="181"/>
      <c r="C421" s="182"/>
      <c r="D421" s="22"/>
      <c r="E421" s="16"/>
      <c r="F421" s="27"/>
      <c r="G421" s="27"/>
      <c r="H421" s="51"/>
      <c r="I421" s="161"/>
      <c r="J421" s="40"/>
      <c r="K421" s="44"/>
      <c r="L421" s="40"/>
      <c r="M421" s="40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s="3" customFormat="1" ht="16.5" customHeight="1">
      <c r="A422" s="70"/>
      <c r="B422" s="181" t="s">
        <v>302</v>
      </c>
      <c r="C422" s="182"/>
      <c r="D422" s="22"/>
      <c r="E422" s="16"/>
      <c r="F422" s="27"/>
      <c r="G422" s="27"/>
      <c r="H422" s="51">
        <v>34000</v>
      </c>
      <c r="I422" s="161"/>
      <c r="J422" s="40"/>
      <c r="K422" s="44"/>
      <c r="L422" s="40"/>
      <c r="M422" s="40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s="3" customFormat="1" ht="16.5" customHeight="1">
      <c r="A423" s="70"/>
      <c r="B423" s="181" t="s">
        <v>303</v>
      </c>
      <c r="C423" s="182"/>
      <c r="D423" s="22"/>
      <c r="E423" s="16"/>
      <c r="F423" s="27"/>
      <c r="G423" s="27"/>
      <c r="H423" s="51">
        <v>6000</v>
      </c>
      <c r="I423" s="161"/>
      <c r="J423" s="40"/>
      <c r="K423" s="44"/>
      <c r="L423" s="40"/>
      <c r="M423" s="40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s="3" customFormat="1" ht="16.5" customHeight="1">
      <c r="A424" s="70"/>
      <c r="B424" s="181" t="s">
        <v>562</v>
      </c>
      <c r="C424" s="182"/>
      <c r="D424" s="22"/>
      <c r="E424" s="16"/>
      <c r="F424" s="27"/>
      <c r="G424" s="27"/>
      <c r="H424" s="51"/>
      <c r="I424" s="161"/>
      <c r="J424" s="40"/>
      <c r="K424" s="44"/>
      <c r="L424" s="40"/>
      <c r="M424" s="40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s="3" customFormat="1" ht="16.5" customHeight="1">
      <c r="A425" s="70"/>
      <c r="B425" s="181"/>
      <c r="C425" s="182"/>
      <c r="D425" s="22"/>
      <c r="E425" s="16"/>
      <c r="F425" s="27"/>
      <c r="G425" s="27"/>
      <c r="H425" s="51"/>
      <c r="I425" s="161"/>
      <c r="J425" s="40"/>
      <c r="K425" s="44"/>
      <c r="L425" s="40"/>
      <c r="M425" s="40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s="3" customFormat="1" ht="16.5" customHeight="1">
      <c r="A426" s="134" t="s">
        <v>305</v>
      </c>
      <c r="B426" s="181"/>
      <c r="C426" s="182"/>
      <c r="D426" s="22"/>
      <c r="E426" s="16"/>
      <c r="F426" s="27"/>
      <c r="G426" s="27"/>
      <c r="H426" s="25">
        <f>H428</f>
        <v>30000</v>
      </c>
      <c r="I426" s="161"/>
      <c r="J426" s="40"/>
      <c r="K426" s="44"/>
      <c r="L426" s="40"/>
      <c r="M426" s="40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3" customFormat="1" ht="16.5" customHeight="1">
      <c r="A427" s="70" t="s">
        <v>251</v>
      </c>
      <c r="B427" s="181"/>
      <c r="C427" s="182"/>
      <c r="D427" s="22"/>
      <c r="E427" s="16"/>
      <c r="F427" s="27"/>
      <c r="G427" s="27"/>
      <c r="H427" s="51"/>
      <c r="I427" s="161"/>
      <c r="J427" s="40"/>
      <c r="K427" s="44"/>
      <c r="L427" s="40"/>
      <c r="M427" s="40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s="3" customFormat="1" ht="16.5" customHeight="1">
      <c r="A428" s="70"/>
      <c r="B428" s="181" t="s">
        <v>310</v>
      </c>
      <c r="C428" s="182"/>
      <c r="D428" s="22"/>
      <c r="E428" s="16"/>
      <c r="F428" s="27"/>
      <c r="G428" s="27"/>
      <c r="H428" s="51">
        <v>30000</v>
      </c>
      <c r="I428" s="161"/>
      <c r="J428" s="40"/>
      <c r="K428" s="44"/>
      <c r="L428" s="40"/>
      <c r="M428" s="40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s="3" customFormat="1" ht="16.5" customHeight="1">
      <c r="A429" s="70"/>
      <c r="B429" s="181"/>
      <c r="C429" s="182"/>
      <c r="D429" s="22"/>
      <c r="E429" s="16"/>
      <c r="F429" s="27"/>
      <c r="G429" s="27"/>
      <c r="H429" s="51"/>
      <c r="I429" s="161"/>
      <c r="J429" s="40"/>
      <c r="K429" s="44"/>
      <c r="L429" s="40"/>
      <c r="M429" s="40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s="3" customFormat="1" ht="16.5" customHeight="1">
      <c r="A430" s="70"/>
      <c r="B430" s="28"/>
      <c r="C430" s="561"/>
      <c r="D430" s="562"/>
      <c r="E430" s="15"/>
      <c r="F430" s="27"/>
      <c r="G430" s="27"/>
      <c r="H430" s="51"/>
      <c r="I430" s="161"/>
      <c r="J430" s="40"/>
      <c r="K430" s="44"/>
      <c r="L430" s="40"/>
      <c r="M430" s="40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s="3" customFormat="1" ht="16.5" customHeight="1">
      <c r="A431" s="177" t="s">
        <v>584</v>
      </c>
      <c r="B431" s="28"/>
      <c r="C431" s="561"/>
      <c r="D431" s="562"/>
      <c r="E431" s="15"/>
      <c r="F431" s="27"/>
      <c r="G431" s="27"/>
      <c r="H431" s="51"/>
      <c r="I431" s="161"/>
      <c r="J431" s="40"/>
      <c r="K431" s="44"/>
      <c r="L431" s="40"/>
      <c r="M431" s="40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s="3" customFormat="1" ht="16.5" customHeight="1">
      <c r="A432" s="177"/>
      <c r="B432" s="28"/>
      <c r="C432" s="561"/>
      <c r="D432" s="562"/>
      <c r="E432" s="15"/>
      <c r="F432" s="27"/>
      <c r="G432" s="27"/>
      <c r="H432" s="51"/>
      <c r="I432" s="161"/>
      <c r="J432" s="40"/>
      <c r="K432" s="44"/>
      <c r="L432" s="40"/>
      <c r="M432" s="40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s="3" customFormat="1" ht="16.5" customHeight="1">
      <c r="A433" s="70"/>
      <c r="B433" s="28"/>
      <c r="C433" s="561"/>
      <c r="D433" s="562"/>
      <c r="E433" s="15"/>
      <c r="F433" s="27"/>
      <c r="G433" s="27"/>
      <c r="H433" s="51"/>
      <c r="I433" s="161"/>
      <c r="J433" s="40"/>
      <c r="K433" s="44"/>
      <c r="L433" s="40"/>
      <c r="M433" s="40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s="3" customFormat="1" ht="15" customHeight="1">
      <c r="A434" s="179" t="s">
        <v>71</v>
      </c>
      <c r="B434" s="178"/>
      <c r="C434" s="180"/>
      <c r="D434" s="50"/>
      <c r="E434" s="50"/>
      <c r="F434" s="50"/>
      <c r="G434" s="50"/>
      <c r="H434" s="53">
        <f>H436+H441+H445</f>
        <v>1717718</v>
      </c>
      <c r="I434" s="161"/>
      <c r="J434" s="52"/>
      <c r="K434" s="44"/>
      <c r="L434" s="52"/>
      <c r="M434" s="52"/>
      <c r="N434" s="51"/>
      <c r="O434" s="51"/>
      <c r="P434" s="51"/>
      <c r="Q434" s="51"/>
      <c r="R434" s="51"/>
      <c r="S434" s="51"/>
      <c r="T434" s="51"/>
      <c r="U434" s="51"/>
      <c r="V434" s="51"/>
      <c r="W434" s="51"/>
    </row>
    <row r="435" spans="1:23" s="3" customFormat="1" ht="15" customHeight="1">
      <c r="A435" s="70" t="s">
        <v>251</v>
      </c>
      <c r="B435" s="181"/>
      <c r="C435" s="180"/>
      <c r="D435" s="50"/>
      <c r="E435" s="50"/>
      <c r="F435" s="50"/>
      <c r="G435" s="50"/>
      <c r="H435" s="25"/>
      <c r="I435" s="161"/>
      <c r="J435" s="52"/>
      <c r="K435" s="44"/>
      <c r="L435" s="52"/>
      <c r="M435" s="52"/>
      <c r="N435" s="51"/>
      <c r="O435" s="51"/>
      <c r="P435" s="51"/>
      <c r="Q435" s="51"/>
      <c r="R435" s="51"/>
      <c r="S435" s="51"/>
      <c r="T435" s="51"/>
      <c r="U435" s="51"/>
      <c r="V435" s="51"/>
      <c r="W435" s="51"/>
    </row>
    <row r="436" spans="1:23" s="3" customFormat="1" ht="15" customHeight="1">
      <c r="A436" s="134" t="s">
        <v>585</v>
      </c>
      <c r="B436" s="181"/>
      <c r="C436" s="180"/>
      <c r="D436" s="50"/>
      <c r="E436" s="50"/>
      <c r="F436" s="50"/>
      <c r="G436" s="50"/>
      <c r="H436" s="25">
        <f>H438+H439</f>
        <v>1530723</v>
      </c>
      <c r="I436" s="161"/>
      <c r="J436" s="52"/>
      <c r="K436" s="44"/>
      <c r="L436" s="52"/>
      <c r="M436" s="52"/>
      <c r="N436" s="51"/>
      <c r="O436" s="51"/>
      <c r="P436" s="51"/>
      <c r="Q436" s="51"/>
      <c r="R436" s="51"/>
      <c r="S436" s="51"/>
      <c r="T436" s="51"/>
      <c r="U436" s="51"/>
      <c r="V436" s="51"/>
      <c r="W436" s="51"/>
    </row>
    <row r="437" spans="1:23" s="3" customFormat="1" ht="15" customHeight="1">
      <c r="A437" s="70" t="s">
        <v>251</v>
      </c>
      <c r="B437" s="181"/>
      <c r="C437" s="180"/>
      <c r="D437" s="50"/>
      <c r="E437" s="50"/>
      <c r="F437" s="50"/>
      <c r="G437" s="50"/>
      <c r="H437" s="25"/>
      <c r="I437" s="161"/>
      <c r="J437" s="52"/>
      <c r="K437" s="44"/>
      <c r="L437" s="52"/>
      <c r="M437" s="52"/>
      <c r="N437" s="51"/>
      <c r="O437" s="51"/>
      <c r="P437" s="51"/>
      <c r="Q437" s="51"/>
      <c r="R437" s="51"/>
      <c r="S437" s="51"/>
      <c r="T437" s="51"/>
      <c r="U437" s="51"/>
      <c r="V437" s="51"/>
      <c r="W437" s="51"/>
    </row>
    <row r="438" spans="1:23" s="3" customFormat="1" ht="15" customHeight="1">
      <c r="A438" s="70"/>
      <c r="B438" s="181" t="s">
        <v>819</v>
      </c>
      <c r="C438" s="180"/>
      <c r="D438" s="50"/>
      <c r="E438" s="50"/>
      <c r="F438" s="50"/>
      <c r="G438" s="50"/>
      <c r="H438" s="51">
        <v>1000000</v>
      </c>
      <c r="I438" s="161"/>
      <c r="J438" s="52"/>
      <c r="K438" s="44"/>
      <c r="L438" s="52"/>
      <c r="M438" s="52"/>
      <c r="N438" s="51"/>
      <c r="O438" s="51"/>
      <c r="P438" s="51"/>
      <c r="Q438" s="51"/>
      <c r="R438" s="51"/>
      <c r="S438" s="51"/>
      <c r="T438" s="51"/>
      <c r="U438" s="51"/>
      <c r="V438" s="51"/>
      <c r="W438" s="51"/>
    </row>
    <row r="439" spans="1:23" s="3" customFormat="1" ht="15" customHeight="1">
      <c r="A439" s="70"/>
      <c r="B439" s="181" t="s">
        <v>775</v>
      </c>
      <c r="C439" s="180"/>
      <c r="D439" s="50"/>
      <c r="E439" s="50"/>
      <c r="F439" s="50"/>
      <c r="G439" s="50"/>
      <c r="H439" s="51">
        <v>530723</v>
      </c>
      <c r="I439" s="161"/>
      <c r="J439" s="52"/>
      <c r="K439" s="44"/>
      <c r="L439" s="52"/>
      <c r="M439" s="52"/>
      <c r="N439" s="51"/>
      <c r="O439" s="51"/>
      <c r="P439" s="51"/>
      <c r="Q439" s="51"/>
      <c r="R439" s="51"/>
      <c r="S439" s="51"/>
      <c r="T439" s="51"/>
      <c r="U439" s="51"/>
      <c r="V439" s="51"/>
      <c r="W439" s="51"/>
    </row>
    <row r="440" spans="1:23" s="3" customFormat="1" ht="15" customHeight="1">
      <c r="A440" s="70"/>
      <c r="B440" s="181"/>
      <c r="C440" s="180"/>
      <c r="D440" s="50"/>
      <c r="E440" s="50"/>
      <c r="F440" s="50"/>
      <c r="G440" s="50"/>
      <c r="H440" s="25"/>
      <c r="I440" s="161"/>
      <c r="J440" s="52"/>
      <c r="K440" s="44"/>
      <c r="L440" s="52"/>
      <c r="M440" s="52"/>
      <c r="N440" s="51"/>
      <c r="O440" s="51"/>
      <c r="P440" s="51"/>
      <c r="Q440" s="51"/>
      <c r="R440" s="51"/>
      <c r="S440" s="51"/>
      <c r="T440" s="51"/>
      <c r="U440" s="51"/>
      <c r="V440" s="51"/>
      <c r="W440" s="51"/>
    </row>
    <row r="441" spans="1:23" s="3" customFormat="1" ht="16.5" customHeight="1">
      <c r="A441" s="134" t="s">
        <v>299</v>
      </c>
      <c r="B441" s="28"/>
      <c r="C441" s="561"/>
      <c r="D441" s="562"/>
      <c r="E441" s="15"/>
      <c r="F441" s="27"/>
      <c r="G441" s="27"/>
      <c r="H441" s="25">
        <f>H443</f>
        <v>183395</v>
      </c>
      <c r="I441" s="161"/>
      <c r="J441" s="40"/>
      <c r="K441" s="44"/>
      <c r="L441" s="40"/>
      <c r="M441" s="40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s="3" customFormat="1" ht="16.5" customHeight="1">
      <c r="A442" s="70" t="s">
        <v>251</v>
      </c>
      <c r="B442" s="28"/>
      <c r="C442" s="561"/>
      <c r="D442" s="562"/>
      <c r="E442" s="15"/>
      <c r="F442" s="27"/>
      <c r="G442" s="27"/>
      <c r="H442" s="51"/>
      <c r="I442" s="161"/>
      <c r="J442" s="40"/>
      <c r="K442" s="44"/>
      <c r="L442" s="40"/>
      <c r="M442" s="40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s="3" customFormat="1" ht="16.5" customHeight="1">
      <c r="A443" s="70"/>
      <c r="B443" s="28" t="s">
        <v>106</v>
      </c>
      <c r="C443" s="561"/>
      <c r="D443" s="562"/>
      <c r="E443" s="15"/>
      <c r="F443" s="27"/>
      <c r="G443" s="27"/>
      <c r="H443" s="51">
        <v>183395</v>
      </c>
      <c r="I443" s="161"/>
      <c r="J443" s="40"/>
      <c r="K443" s="44"/>
      <c r="L443" s="40"/>
      <c r="M443" s="40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s="3" customFormat="1" ht="16.5" customHeight="1">
      <c r="A444" s="70"/>
      <c r="B444" s="28"/>
      <c r="C444" s="561"/>
      <c r="D444" s="562"/>
      <c r="E444" s="15"/>
      <c r="F444" s="27"/>
      <c r="G444" s="27"/>
      <c r="H444" s="51"/>
      <c r="I444" s="161"/>
      <c r="J444" s="40"/>
      <c r="K444" s="44"/>
      <c r="L444" s="40"/>
      <c r="M444" s="40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s="3" customFormat="1" ht="16.5" customHeight="1">
      <c r="A445" s="134" t="s">
        <v>47</v>
      </c>
      <c r="B445" s="28"/>
      <c r="C445" s="561"/>
      <c r="D445" s="562"/>
      <c r="E445" s="15"/>
      <c r="F445" s="27"/>
      <c r="G445" s="27"/>
      <c r="H445" s="25">
        <f>SUM(H447)</f>
        <v>3600</v>
      </c>
      <c r="I445" s="161"/>
      <c r="J445" s="40"/>
      <c r="K445" s="44"/>
      <c r="L445" s="40"/>
      <c r="M445" s="40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3" customFormat="1" ht="16.5" customHeight="1">
      <c r="A446" s="70" t="s">
        <v>251</v>
      </c>
      <c r="B446" s="28"/>
      <c r="C446" s="561"/>
      <c r="D446" s="562"/>
      <c r="E446" s="15"/>
      <c r="F446" s="27"/>
      <c r="G446" s="27"/>
      <c r="H446" s="51"/>
      <c r="I446" s="161"/>
      <c r="J446" s="40"/>
      <c r="K446" s="44"/>
      <c r="L446" s="40"/>
      <c r="M446" s="40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s="3" customFormat="1" ht="16.5" customHeight="1">
      <c r="A447" s="70"/>
      <c r="B447" s="28" t="s">
        <v>805</v>
      </c>
      <c r="C447" s="561"/>
      <c r="D447" s="562"/>
      <c r="E447" s="15"/>
      <c r="F447" s="27"/>
      <c r="G447" s="27"/>
      <c r="H447" s="51">
        <v>3600</v>
      </c>
      <c r="I447" s="161"/>
      <c r="J447" s="40"/>
      <c r="K447" s="44"/>
      <c r="L447" s="40"/>
      <c r="M447" s="40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s="3" customFormat="1" ht="16.5" customHeight="1">
      <c r="A448" s="70"/>
      <c r="B448" s="28"/>
      <c r="C448" s="561"/>
      <c r="D448" s="562"/>
      <c r="E448" s="15"/>
      <c r="F448" s="27"/>
      <c r="G448" s="27"/>
      <c r="H448" s="51"/>
      <c r="I448" s="161"/>
      <c r="J448" s="40"/>
      <c r="K448" s="44"/>
      <c r="L448" s="40"/>
      <c r="M448" s="40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s="3" customFormat="1" ht="16.5" customHeight="1">
      <c r="A449" s="70"/>
      <c r="B449" s="28"/>
      <c r="C449" s="561"/>
      <c r="D449" s="562"/>
      <c r="E449" s="15"/>
      <c r="F449" s="27"/>
      <c r="G449" s="27"/>
      <c r="H449" s="51"/>
      <c r="I449" s="161"/>
      <c r="J449" s="40"/>
      <c r="K449" s="44"/>
      <c r="L449" s="40"/>
      <c r="M449" s="40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s="3" customFormat="1" ht="17.25" customHeight="1">
      <c r="A450" s="179" t="s">
        <v>262</v>
      </c>
      <c r="B450" s="178"/>
      <c r="C450" s="180"/>
      <c r="D450" s="50"/>
      <c r="E450" s="50"/>
      <c r="F450" s="50"/>
      <c r="G450" s="50"/>
      <c r="H450" s="53">
        <f>H452+H462+H466</f>
        <v>412734.5</v>
      </c>
      <c r="I450" s="161"/>
      <c r="J450" s="52"/>
      <c r="K450" s="44"/>
      <c r="L450" s="52"/>
      <c r="M450" s="52"/>
      <c r="N450" s="51"/>
      <c r="O450" s="51"/>
      <c r="P450" s="51"/>
      <c r="Q450" s="51"/>
      <c r="R450" s="51"/>
      <c r="S450" s="51"/>
      <c r="T450" s="51"/>
      <c r="U450" s="51"/>
      <c r="V450" s="51"/>
      <c r="W450" s="51"/>
    </row>
    <row r="451" spans="1:23" s="3" customFormat="1" ht="16.5" customHeight="1">
      <c r="A451" s="70" t="s">
        <v>251</v>
      </c>
      <c r="B451" s="181"/>
      <c r="C451" s="182"/>
      <c r="D451" s="22"/>
      <c r="E451" s="16"/>
      <c r="F451" s="27"/>
      <c r="G451" s="27"/>
      <c r="H451" s="51"/>
      <c r="I451" s="161"/>
      <c r="J451" s="40"/>
      <c r="K451" s="44"/>
      <c r="L451" s="40"/>
      <c r="M451" s="40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s="3" customFormat="1" ht="16.5" customHeight="1">
      <c r="A452" s="134" t="s">
        <v>701</v>
      </c>
      <c r="B452" s="181"/>
      <c r="C452" s="182"/>
      <c r="D452" s="22"/>
      <c r="E452" s="16"/>
      <c r="F452" s="27"/>
      <c r="G452" s="27"/>
      <c r="H452" s="25">
        <f>H456+H460</f>
        <v>250000</v>
      </c>
      <c r="I452" s="161"/>
      <c r="J452" s="40"/>
      <c r="K452" s="44"/>
      <c r="L452" s="40"/>
      <c r="M452" s="40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s="3" customFormat="1" ht="16.5" customHeight="1">
      <c r="A453" s="70" t="s">
        <v>251</v>
      </c>
      <c r="B453" s="181"/>
      <c r="C453" s="182"/>
      <c r="D453" s="22"/>
      <c r="E453" s="16"/>
      <c r="F453" s="27"/>
      <c r="G453" s="27"/>
      <c r="H453" s="51"/>
      <c r="I453" s="161"/>
      <c r="J453" s="40"/>
      <c r="K453" s="44"/>
      <c r="L453" s="40"/>
      <c r="M453" s="40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s="3" customFormat="1" ht="16.5" customHeight="1">
      <c r="A454" s="70"/>
      <c r="B454" s="181" t="s">
        <v>413</v>
      </c>
      <c r="C454" s="182"/>
      <c r="D454" s="22"/>
      <c r="E454" s="16"/>
      <c r="F454" s="27"/>
      <c r="G454" s="27"/>
      <c r="H454" s="51"/>
      <c r="I454" s="161"/>
      <c r="J454" s="40"/>
      <c r="K454" s="44"/>
      <c r="L454" s="40"/>
      <c r="M454" s="40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s="3" customFormat="1" ht="16.5" customHeight="1">
      <c r="A455" s="70"/>
      <c r="B455" s="181" t="s">
        <v>414</v>
      </c>
      <c r="C455" s="182"/>
      <c r="D455" s="22"/>
      <c r="E455" s="16"/>
      <c r="F455" s="27"/>
      <c r="G455" s="27"/>
      <c r="H455" s="51"/>
      <c r="I455" s="161"/>
      <c r="J455" s="40"/>
      <c r="K455" s="44"/>
      <c r="L455" s="40"/>
      <c r="M455" s="40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s="3" customFormat="1" ht="16.5" customHeight="1">
      <c r="A456" s="70"/>
      <c r="B456" s="181" t="s">
        <v>415</v>
      </c>
      <c r="C456" s="182"/>
      <c r="D456" s="22"/>
      <c r="E456" s="16"/>
      <c r="F456" s="27"/>
      <c r="G456" s="27"/>
      <c r="H456" s="51">
        <v>230000</v>
      </c>
      <c r="I456" s="161"/>
      <c r="J456" s="40"/>
      <c r="K456" s="44"/>
      <c r="L456" s="40"/>
      <c r="M456" s="40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s="3" customFormat="1" ht="16.5" customHeight="1">
      <c r="A457" s="70"/>
      <c r="B457" s="181"/>
      <c r="C457" s="182"/>
      <c r="D457" s="22"/>
      <c r="E457" s="16"/>
      <c r="F457" s="27"/>
      <c r="G457" s="27"/>
      <c r="H457" s="51"/>
      <c r="I457" s="161"/>
      <c r="J457" s="40"/>
      <c r="K457" s="44"/>
      <c r="L457" s="40"/>
      <c r="M457" s="40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s="3" customFormat="1" ht="16.5" customHeight="1">
      <c r="A458" s="70"/>
      <c r="B458" s="181" t="s">
        <v>416</v>
      </c>
      <c r="C458" s="182"/>
      <c r="D458" s="22"/>
      <c r="E458" s="16"/>
      <c r="F458" s="27"/>
      <c r="G458" s="27"/>
      <c r="H458" s="51"/>
      <c r="I458" s="161"/>
      <c r="J458" s="40"/>
      <c r="K458" s="44"/>
      <c r="L458" s="40"/>
      <c r="M458" s="40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s="3" customFormat="1" ht="16.5" customHeight="1">
      <c r="A459" s="70"/>
      <c r="B459" s="181" t="s">
        <v>417</v>
      </c>
      <c r="C459" s="182"/>
      <c r="D459" s="22"/>
      <c r="E459" s="16"/>
      <c r="F459" s="27"/>
      <c r="G459" s="27"/>
      <c r="H459" s="51"/>
      <c r="I459" s="161"/>
      <c r="J459" s="40"/>
      <c r="K459" s="44"/>
      <c r="L459" s="40"/>
      <c r="M459" s="40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s="3" customFormat="1" ht="16.5" customHeight="1">
      <c r="A460" s="70"/>
      <c r="B460" s="181" t="s">
        <v>418</v>
      </c>
      <c r="C460" s="182"/>
      <c r="D460" s="22"/>
      <c r="E460" s="16"/>
      <c r="F460" s="27"/>
      <c r="G460" s="27"/>
      <c r="H460" s="51">
        <v>20000</v>
      </c>
      <c r="I460" s="161"/>
      <c r="J460" s="40"/>
      <c r="K460" s="44"/>
      <c r="L460" s="40"/>
      <c r="M460" s="40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s="3" customFormat="1" ht="16.5" customHeight="1">
      <c r="A461" s="70"/>
      <c r="B461" s="181"/>
      <c r="C461" s="182"/>
      <c r="D461" s="22"/>
      <c r="E461" s="16"/>
      <c r="F461" s="27"/>
      <c r="G461" s="27"/>
      <c r="H461" s="51"/>
      <c r="I461" s="161"/>
      <c r="J461" s="40"/>
      <c r="K461" s="44"/>
      <c r="L461" s="40"/>
      <c r="M461" s="40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s="3" customFormat="1" ht="16.5" customHeight="1">
      <c r="A462" s="134" t="s">
        <v>59</v>
      </c>
      <c r="B462" s="181"/>
      <c r="C462" s="182"/>
      <c r="D462" s="22"/>
      <c r="E462" s="16"/>
      <c r="F462" s="27"/>
      <c r="G462" s="27"/>
      <c r="H462" s="25">
        <f>H464</f>
        <v>159134.5</v>
      </c>
      <c r="I462" s="161"/>
      <c r="J462" s="40"/>
      <c r="K462" s="44"/>
      <c r="L462" s="40"/>
      <c r="M462" s="40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s="3" customFormat="1" ht="16.5" customHeight="1">
      <c r="A463" s="70" t="s">
        <v>251</v>
      </c>
      <c r="B463" s="181"/>
      <c r="C463" s="182"/>
      <c r="D463" s="22"/>
      <c r="E463" s="16"/>
      <c r="F463" s="27"/>
      <c r="G463" s="27"/>
      <c r="H463" s="51"/>
      <c r="I463" s="161"/>
      <c r="J463" s="40"/>
      <c r="K463" s="44"/>
      <c r="L463" s="40"/>
      <c r="M463" s="40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s="3" customFormat="1" ht="16.5" customHeight="1">
      <c r="A464" s="70"/>
      <c r="B464" s="181" t="s">
        <v>502</v>
      </c>
      <c r="C464" s="182"/>
      <c r="D464" s="22"/>
      <c r="E464" s="16"/>
      <c r="F464" s="27"/>
      <c r="G464" s="27"/>
      <c r="H464" s="51">
        <v>159134.5</v>
      </c>
      <c r="I464" s="161"/>
      <c r="J464" s="40"/>
      <c r="K464" s="44"/>
      <c r="L464" s="40"/>
      <c r="M464" s="40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3" customFormat="1" ht="16.5" customHeight="1">
      <c r="A465" s="70"/>
      <c r="B465" s="181"/>
      <c r="C465" s="182"/>
      <c r="D465" s="22"/>
      <c r="E465" s="16"/>
      <c r="F465" s="27"/>
      <c r="G465" s="27"/>
      <c r="H465" s="51"/>
      <c r="I465" s="161"/>
      <c r="J465" s="40"/>
      <c r="K465" s="44"/>
      <c r="L465" s="40"/>
      <c r="M465" s="40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s="3" customFormat="1" ht="16.5" customHeight="1">
      <c r="A466" s="134" t="s">
        <v>48</v>
      </c>
      <c r="B466" s="181"/>
      <c r="C466" s="182"/>
      <c r="D466" s="22"/>
      <c r="E466" s="16"/>
      <c r="F466" s="27"/>
      <c r="G466" s="27"/>
      <c r="H466" s="25">
        <f>SUM(H468)</f>
        <v>3600</v>
      </c>
      <c r="I466" s="161"/>
      <c r="J466" s="40"/>
      <c r="K466" s="44"/>
      <c r="L466" s="40"/>
      <c r="M466" s="40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s="3" customFormat="1" ht="16.5" customHeight="1">
      <c r="A467" s="70" t="s">
        <v>251</v>
      </c>
      <c r="B467" s="28"/>
      <c r="C467" s="561"/>
      <c r="D467" s="562"/>
      <c r="E467" s="15"/>
      <c r="F467" s="27"/>
      <c r="G467" s="27"/>
      <c r="H467" s="51"/>
      <c r="I467" s="161"/>
      <c r="J467" s="40"/>
      <c r="K467" s="44"/>
      <c r="L467" s="40"/>
      <c r="M467" s="40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s="3" customFormat="1" ht="16.5" customHeight="1">
      <c r="A468" s="70"/>
      <c r="B468" s="28" t="s">
        <v>49</v>
      </c>
      <c r="C468" s="561"/>
      <c r="D468" s="562"/>
      <c r="E468" s="15"/>
      <c r="F468" s="27"/>
      <c r="G468" s="27"/>
      <c r="H468" s="51">
        <v>3600</v>
      </c>
      <c r="I468" s="161"/>
      <c r="J468" s="40"/>
      <c r="K468" s="44"/>
      <c r="L468" s="40"/>
      <c r="M468" s="40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s="3" customFormat="1" ht="16.5" customHeight="1">
      <c r="A469" s="70"/>
      <c r="B469" s="28"/>
      <c r="C469" s="561"/>
      <c r="D469" s="562"/>
      <c r="E469" s="15"/>
      <c r="F469" s="27"/>
      <c r="G469" s="27"/>
      <c r="H469" s="51"/>
      <c r="I469" s="161"/>
      <c r="J469" s="40"/>
      <c r="K469" s="44"/>
      <c r="L469" s="40"/>
      <c r="M469" s="40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s="3" customFormat="1" ht="16.5" customHeight="1">
      <c r="A470" s="153"/>
      <c r="B470" s="70"/>
      <c r="C470" s="164"/>
      <c r="D470" s="50"/>
      <c r="E470" s="50"/>
      <c r="F470" s="50"/>
      <c r="G470" s="50"/>
      <c r="H470" s="51"/>
      <c r="I470" s="510"/>
      <c r="J470" s="52"/>
      <c r="K470" s="511"/>
      <c r="L470" s="52"/>
      <c r="M470" s="52"/>
      <c r="N470" s="51"/>
      <c r="O470" s="51"/>
      <c r="P470" s="51"/>
      <c r="Q470" s="51"/>
      <c r="R470" s="51"/>
      <c r="S470" s="51"/>
      <c r="T470" s="51"/>
      <c r="U470" s="51"/>
      <c r="V470" s="51"/>
      <c r="W470" s="51"/>
    </row>
    <row r="471" spans="1:23" s="3" customFormat="1" ht="17.25" customHeight="1">
      <c r="A471" s="183" t="s">
        <v>320</v>
      </c>
      <c r="B471" s="183"/>
      <c r="C471" s="176"/>
      <c r="D471" s="22"/>
      <c r="E471" s="16"/>
      <c r="F471" s="50"/>
      <c r="G471" s="50"/>
      <c r="H471" s="51"/>
      <c r="I471" s="161"/>
      <c r="J471" s="52"/>
      <c r="K471" s="44"/>
      <c r="L471" s="52"/>
      <c r="M471" s="52"/>
      <c r="N471" s="51"/>
      <c r="O471" s="51"/>
      <c r="P471" s="51"/>
      <c r="Q471" s="51"/>
      <c r="R471" s="51"/>
      <c r="S471" s="51"/>
      <c r="T471" s="51"/>
      <c r="U471" s="51"/>
      <c r="V471" s="51"/>
      <c r="W471" s="51"/>
    </row>
    <row r="472" spans="1:23" s="3" customFormat="1" ht="17.25" customHeight="1">
      <c r="A472" s="183" t="s">
        <v>321</v>
      </c>
      <c r="B472" s="183"/>
      <c r="C472" s="176"/>
      <c r="D472" s="22"/>
      <c r="E472" s="16"/>
      <c r="F472" s="50"/>
      <c r="G472" s="50"/>
      <c r="H472" s="51"/>
      <c r="I472" s="161"/>
      <c r="J472" s="52"/>
      <c r="K472" s="44"/>
      <c r="L472" s="52"/>
      <c r="M472" s="52"/>
      <c r="N472" s="51"/>
      <c r="O472" s="51"/>
      <c r="P472" s="51"/>
      <c r="Q472" s="51"/>
      <c r="R472" s="51"/>
      <c r="S472" s="51"/>
      <c r="T472" s="51"/>
      <c r="U472" s="51"/>
      <c r="V472" s="51"/>
      <c r="W472" s="51"/>
    </row>
    <row r="473" spans="1:23" s="3" customFormat="1" ht="17.25" customHeight="1">
      <c r="A473" s="183"/>
      <c r="B473" s="183"/>
      <c r="C473" s="176"/>
      <c r="D473" s="22"/>
      <c r="E473" s="16"/>
      <c r="F473" s="50"/>
      <c r="G473" s="50"/>
      <c r="H473" s="51"/>
      <c r="I473" s="161"/>
      <c r="J473" s="52"/>
      <c r="K473" s="44"/>
      <c r="L473" s="52"/>
      <c r="M473" s="52"/>
      <c r="N473" s="51"/>
      <c r="O473" s="51"/>
      <c r="P473" s="51"/>
      <c r="Q473" s="51"/>
      <c r="R473" s="51"/>
      <c r="S473" s="51"/>
      <c r="T473" s="51"/>
      <c r="U473" s="51"/>
      <c r="V473" s="51"/>
      <c r="W473" s="51"/>
    </row>
    <row r="474" spans="1:23" s="3" customFormat="1" ht="17.25" customHeight="1">
      <c r="A474" s="183"/>
      <c r="B474" s="183"/>
      <c r="C474" s="176"/>
      <c r="D474" s="22"/>
      <c r="E474" s="16"/>
      <c r="F474" s="50"/>
      <c r="G474" s="50"/>
      <c r="H474" s="51"/>
      <c r="I474" s="161"/>
      <c r="J474" s="52"/>
      <c r="K474" s="44"/>
      <c r="L474" s="52"/>
      <c r="M474" s="52"/>
      <c r="N474" s="51"/>
      <c r="O474" s="51"/>
      <c r="P474" s="51"/>
      <c r="Q474" s="51"/>
      <c r="R474" s="51"/>
      <c r="S474" s="51"/>
      <c r="T474" s="51"/>
      <c r="U474" s="51"/>
      <c r="V474" s="51"/>
      <c r="W474" s="51"/>
    </row>
    <row r="475" spans="1:23" s="3" customFormat="1" ht="17.25" customHeight="1">
      <c r="A475" s="183" t="s">
        <v>441</v>
      </c>
      <c r="B475" s="183"/>
      <c r="C475" s="176"/>
      <c r="D475" s="22"/>
      <c r="E475" s="16"/>
      <c r="F475" s="50"/>
      <c r="G475" s="50"/>
      <c r="H475" s="51"/>
      <c r="I475" s="161"/>
      <c r="J475" s="52"/>
      <c r="K475" s="44"/>
      <c r="L475" s="52"/>
      <c r="M475" s="52"/>
      <c r="N475" s="51"/>
      <c r="O475" s="51"/>
      <c r="P475" s="51"/>
      <c r="Q475" s="51"/>
      <c r="R475" s="51"/>
      <c r="S475" s="51"/>
      <c r="T475" s="51"/>
      <c r="U475" s="51"/>
      <c r="V475" s="51"/>
      <c r="W475" s="51"/>
    </row>
    <row r="476" spans="1:23" s="3" customFormat="1" ht="17.25" customHeight="1">
      <c r="A476" s="183"/>
      <c r="B476" s="183"/>
      <c r="C476" s="176"/>
      <c r="D476" s="22"/>
      <c r="E476" s="16"/>
      <c r="F476" s="50"/>
      <c r="G476" s="50"/>
      <c r="H476" s="51"/>
      <c r="I476" s="161"/>
      <c r="J476" s="52"/>
      <c r="K476" s="44"/>
      <c r="L476" s="52"/>
      <c r="M476" s="52"/>
      <c r="N476" s="51"/>
      <c r="O476" s="51"/>
      <c r="P476" s="51"/>
      <c r="Q476" s="51"/>
      <c r="R476" s="51"/>
      <c r="S476" s="51"/>
      <c r="T476" s="51"/>
      <c r="U476" s="51"/>
      <c r="V476" s="51"/>
      <c r="W476" s="51"/>
    </row>
    <row r="477" spans="1:23" s="3" customFormat="1" ht="17.25" customHeight="1">
      <c r="A477" s="183" t="s">
        <v>428</v>
      </c>
      <c r="B477" s="183"/>
      <c r="C477" s="176"/>
      <c r="D477" s="22"/>
      <c r="E477" s="16"/>
      <c r="F477" s="50"/>
      <c r="G477" s="50"/>
      <c r="H477" s="51"/>
      <c r="I477" s="161"/>
      <c r="J477" s="52"/>
      <c r="K477" s="44"/>
      <c r="L477" s="52"/>
      <c r="M477" s="52"/>
      <c r="N477" s="51"/>
      <c r="O477" s="51"/>
      <c r="P477" s="51"/>
      <c r="Q477" s="51"/>
      <c r="R477" s="51"/>
      <c r="S477" s="51"/>
      <c r="T477" s="51"/>
      <c r="U477" s="51"/>
      <c r="V477" s="51"/>
      <c r="W477" s="51"/>
    </row>
    <row r="478" spans="1:23" s="3" customFormat="1" ht="17.25" customHeight="1">
      <c r="A478" s="183"/>
      <c r="B478" s="183"/>
      <c r="C478" s="176"/>
      <c r="D478" s="22"/>
      <c r="E478" s="16"/>
      <c r="F478" s="50"/>
      <c r="G478" s="50"/>
      <c r="H478" s="51"/>
      <c r="I478" s="161"/>
      <c r="J478" s="52"/>
      <c r="K478" s="44"/>
      <c r="L478" s="52"/>
      <c r="M478" s="52"/>
      <c r="N478" s="51"/>
      <c r="O478" s="51"/>
      <c r="P478" s="51"/>
      <c r="Q478" s="51"/>
      <c r="R478" s="51"/>
      <c r="S478" s="51"/>
      <c r="T478" s="51"/>
      <c r="U478" s="51"/>
      <c r="V478" s="51"/>
      <c r="W478" s="51"/>
    </row>
    <row r="479" spans="1:23" s="3" customFormat="1" ht="17.25" customHeight="1">
      <c r="A479" s="183" t="s">
        <v>429</v>
      </c>
      <c r="B479" s="183"/>
      <c r="C479" s="176"/>
      <c r="D479" s="22"/>
      <c r="E479" s="16"/>
      <c r="F479" s="50"/>
      <c r="G479" s="50"/>
      <c r="H479" s="51"/>
      <c r="I479" s="161"/>
      <c r="J479" s="52"/>
      <c r="K479" s="44"/>
      <c r="L479" s="52"/>
      <c r="M479" s="52"/>
      <c r="N479" s="51"/>
      <c r="O479" s="51"/>
      <c r="P479" s="51"/>
      <c r="Q479" s="51"/>
      <c r="R479" s="51"/>
      <c r="S479" s="51"/>
      <c r="T479" s="51"/>
      <c r="U479" s="51"/>
      <c r="V479" s="51"/>
      <c r="W479" s="51"/>
    </row>
    <row r="480" spans="1:23" s="3" customFormat="1" ht="17.25" customHeight="1">
      <c r="A480" s="967" t="s">
        <v>430</v>
      </c>
      <c r="B480" s="967"/>
      <c r="C480" s="968"/>
      <c r="D480" s="969"/>
      <c r="E480" s="462"/>
      <c r="F480" s="941"/>
      <c r="G480" s="50"/>
      <c r="H480" s="51"/>
      <c r="I480" s="161"/>
      <c r="J480" s="52"/>
      <c r="K480" s="44"/>
      <c r="L480" s="52"/>
      <c r="M480" s="52"/>
      <c r="N480" s="51"/>
      <c r="O480" s="51"/>
      <c r="P480" s="51"/>
      <c r="Q480" s="51"/>
      <c r="R480" s="51"/>
      <c r="S480" s="51"/>
      <c r="T480" s="51"/>
      <c r="U480" s="51"/>
      <c r="V480" s="51"/>
      <c r="W480" s="51"/>
    </row>
    <row r="481" spans="1:23" s="3" customFormat="1" ht="17.25" customHeight="1">
      <c r="A481" s="967" t="s">
        <v>431</v>
      </c>
      <c r="B481" s="967"/>
      <c r="C481" s="968"/>
      <c r="D481" s="969"/>
      <c r="E481" s="462"/>
      <c r="F481" s="941"/>
      <c r="G481" s="50"/>
      <c r="H481" s="51"/>
      <c r="I481" s="161"/>
      <c r="J481" s="52"/>
      <c r="K481" s="44"/>
      <c r="L481" s="52"/>
      <c r="M481" s="52"/>
      <c r="N481" s="51"/>
      <c r="O481" s="51"/>
      <c r="P481" s="51"/>
      <c r="Q481" s="51"/>
      <c r="R481" s="51"/>
      <c r="S481" s="51"/>
      <c r="T481" s="51"/>
      <c r="U481" s="51"/>
      <c r="V481" s="51"/>
      <c r="W481" s="51"/>
    </row>
    <row r="482" spans="1:23" s="3" customFormat="1" ht="17.25" customHeight="1">
      <c r="A482" s="183" t="s">
        <v>432</v>
      </c>
      <c r="B482" s="183"/>
      <c r="C482" s="176"/>
      <c r="D482" s="22"/>
      <c r="E482" s="16"/>
      <c r="F482" s="50"/>
      <c r="G482" s="50"/>
      <c r="H482" s="51"/>
      <c r="I482" s="161"/>
      <c r="J482" s="52"/>
      <c r="K482" s="44"/>
      <c r="L482" s="52"/>
      <c r="M482" s="52"/>
      <c r="N482" s="51"/>
      <c r="O482" s="51"/>
      <c r="P482" s="51"/>
      <c r="Q482" s="51"/>
      <c r="R482" s="51"/>
      <c r="S482" s="51"/>
      <c r="T482" s="51"/>
      <c r="U482" s="51"/>
      <c r="V482" s="51"/>
      <c r="W482" s="51"/>
    </row>
    <row r="483" spans="1:23" s="3" customFormat="1" ht="17.25" customHeight="1">
      <c r="A483" s="183"/>
      <c r="B483" s="183"/>
      <c r="C483" s="176"/>
      <c r="D483" s="22"/>
      <c r="E483" s="16"/>
      <c r="F483" s="50"/>
      <c r="G483" s="50"/>
      <c r="H483" s="51"/>
      <c r="I483" s="161"/>
      <c r="J483" s="52"/>
      <c r="K483" s="44"/>
      <c r="L483" s="52"/>
      <c r="M483" s="52"/>
      <c r="N483" s="51"/>
      <c r="O483" s="51"/>
      <c r="P483" s="51"/>
      <c r="Q483" s="51"/>
      <c r="R483" s="51"/>
      <c r="S483" s="51"/>
      <c r="T483" s="51"/>
      <c r="U483" s="51"/>
      <c r="V483" s="51"/>
      <c r="W483" s="51"/>
    </row>
    <row r="484" spans="1:23" s="3" customFormat="1" ht="17.25" customHeight="1">
      <c r="A484" s="183"/>
      <c r="B484" s="183"/>
      <c r="C484" s="176"/>
      <c r="D484" s="22"/>
      <c r="E484" s="16"/>
      <c r="F484" s="50"/>
      <c r="G484" s="50"/>
      <c r="H484" s="51"/>
      <c r="I484" s="161"/>
      <c r="J484" s="52"/>
      <c r="K484" s="44"/>
      <c r="L484" s="52"/>
      <c r="M484" s="52"/>
      <c r="N484" s="51"/>
      <c r="O484" s="51"/>
      <c r="P484" s="51"/>
      <c r="Q484" s="51"/>
      <c r="R484" s="51"/>
      <c r="S484" s="51"/>
      <c r="T484" s="51"/>
      <c r="U484" s="51"/>
      <c r="V484" s="51"/>
      <c r="W484" s="51"/>
    </row>
    <row r="485" spans="1:23" s="3" customFormat="1" ht="17.25" customHeight="1">
      <c r="A485" s="183" t="s">
        <v>433</v>
      </c>
      <c r="B485" s="183"/>
      <c r="C485" s="176"/>
      <c r="D485" s="22"/>
      <c r="E485" s="16"/>
      <c r="F485" s="50"/>
      <c r="G485" s="50"/>
      <c r="H485" s="51"/>
      <c r="I485" s="161"/>
      <c r="J485" s="52"/>
      <c r="K485" s="44"/>
      <c r="L485" s="52"/>
      <c r="M485" s="52"/>
      <c r="N485" s="51"/>
      <c r="O485" s="51"/>
      <c r="P485" s="51"/>
      <c r="Q485" s="51"/>
      <c r="R485" s="51"/>
      <c r="S485" s="51"/>
      <c r="T485" s="51"/>
      <c r="U485" s="51"/>
      <c r="V485" s="51"/>
      <c r="W485" s="51"/>
    </row>
    <row r="486" spans="1:23" s="3" customFormat="1" ht="17.25" customHeight="1">
      <c r="A486" s="183"/>
      <c r="B486" s="183"/>
      <c r="C486" s="176"/>
      <c r="D486" s="22"/>
      <c r="E486" s="16"/>
      <c r="F486" s="50"/>
      <c r="G486" s="50"/>
      <c r="H486" s="51"/>
      <c r="I486" s="161"/>
      <c r="J486" s="52"/>
      <c r="K486" s="44"/>
      <c r="L486" s="52"/>
      <c r="M486" s="52"/>
      <c r="N486" s="51"/>
      <c r="O486" s="51"/>
      <c r="P486" s="51"/>
      <c r="Q486" s="51"/>
      <c r="R486" s="51"/>
      <c r="S486" s="51"/>
      <c r="T486" s="51"/>
      <c r="U486" s="51"/>
      <c r="V486" s="51"/>
      <c r="W486" s="51"/>
    </row>
    <row r="487" spans="1:23" s="3" customFormat="1" ht="17.25" customHeight="1">
      <c r="A487" s="183" t="s">
        <v>434</v>
      </c>
      <c r="B487" s="183"/>
      <c r="C487" s="176"/>
      <c r="D487" s="22"/>
      <c r="E487" s="16"/>
      <c r="F487" s="50"/>
      <c r="G487" s="50"/>
      <c r="H487" s="51"/>
      <c r="I487" s="161"/>
      <c r="J487" s="52"/>
      <c r="K487" s="44"/>
      <c r="L487" s="52"/>
      <c r="M487" s="52"/>
      <c r="N487" s="51"/>
      <c r="O487" s="51"/>
      <c r="P487" s="51"/>
      <c r="Q487" s="51"/>
      <c r="R487" s="51"/>
      <c r="S487" s="51"/>
      <c r="T487" s="51"/>
      <c r="U487" s="51"/>
      <c r="V487" s="51"/>
      <c r="W487" s="51"/>
    </row>
    <row r="488" spans="1:23" s="3" customFormat="1" ht="17.25" customHeight="1">
      <c r="A488" s="967" t="s">
        <v>435</v>
      </c>
      <c r="B488" s="967"/>
      <c r="C488" s="968"/>
      <c r="D488" s="969"/>
      <c r="E488" s="462"/>
      <c r="F488" s="941"/>
      <c r="G488" s="941"/>
      <c r="H488" s="51"/>
      <c r="I488" s="161"/>
      <c r="J488" s="52"/>
      <c r="K488" s="44"/>
      <c r="L488" s="52"/>
      <c r="M488" s="52"/>
      <c r="N488" s="51"/>
      <c r="O488" s="51"/>
      <c r="P488" s="51"/>
      <c r="Q488" s="51"/>
      <c r="R488" s="51"/>
      <c r="S488" s="51"/>
      <c r="T488" s="51"/>
      <c r="U488" s="51"/>
      <c r="V488" s="51"/>
      <c r="W488" s="51"/>
    </row>
    <row r="489" spans="1:23" s="3" customFormat="1" ht="17.25" customHeight="1">
      <c r="A489" s="967" t="s">
        <v>431</v>
      </c>
      <c r="B489" s="967"/>
      <c r="C489" s="968"/>
      <c r="D489" s="969"/>
      <c r="E489" s="462"/>
      <c r="F489" s="941"/>
      <c r="G489" s="50"/>
      <c r="H489" s="51"/>
      <c r="I489" s="161"/>
      <c r="J489" s="52"/>
      <c r="K489" s="44"/>
      <c r="L489" s="52"/>
      <c r="M489" s="52"/>
      <c r="N489" s="51"/>
      <c r="O489" s="51"/>
      <c r="P489" s="51"/>
      <c r="Q489" s="51"/>
      <c r="R489" s="51"/>
      <c r="S489" s="51"/>
      <c r="T489" s="51"/>
      <c r="U489" s="51"/>
      <c r="V489" s="51"/>
      <c r="W489" s="51"/>
    </row>
    <row r="490" spans="1:23" s="3" customFormat="1" ht="17.25" customHeight="1">
      <c r="A490" s="183" t="s">
        <v>436</v>
      </c>
      <c r="B490" s="183"/>
      <c r="C490" s="176"/>
      <c r="D490" s="22"/>
      <c r="E490" s="16"/>
      <c r="F490" s="50"/>
      <c r="G490" s="50"/>
      <c r="H490" s="51"/>
      <c r="I490" s="161"/>
      <c r="J490" s="52"/>
      <c r="K490" s="44"/>
      <c r="L490" s="52"/>
      <c r="M490" s="52"/>
      <c r="N490" s="51"/>
      <c r="O490" s="51"/>
      <c r="P490" s="51"/>
      <c r="Q490" s="51"/>
      <c r="R490" s="51"/>
      <c r="S490" s="51"/>
      <c r="T490" s="51"/>
      <c r="U490" s="51"/>
      <c r="V490" s="51"/>
      <c r="W490" s="51"/>
    </row>
    <row r="491" spans="1:23" s="3" customFormat="1" ht="17.25" customHeight="1">
      <c r="A491" s="183"/>
      <c r="B491" s="183"/>
      <c r="C491" s="176"/>
      <c r="D491" s="22"/>
      <c r="E491" s="16"/>
      <c r="F491" s="50"/>
      <c r="G491" s="50"/>
      <c r="H491" s="51"/>
      <c r="I491" s="161"/>
      <c r="J491" s="52"/>
      <c r="K491" s="44"/>
      <c r="L491" s="52"/>
      <c r="M491" s="52"/>
      <c r="N491" s="51"/>
      <c r="O491" s="51"/>
      <c r="P491" s="51"/>
      <c r="Q491" s="51"/>
      <c r="R491" s="51"/>
      <c r="S491" s="51"/>
      <c r="T491" s="51"/>
      <c r="U491" s="51"/>
      <c r="V491" s="51"/>
      <c r="W491" s="51"/>
    </row>
    <row r="492" spans="1:23" s="3" customFormat="1" ht="17.25" customHeight="1">
      <c r="A492" s="183"/>
      <c r="B492" s="183"/>
      <c r="C492" s="176"/>
      <c r="D492" s="22"/>
      <c r="E492" s="16"/>
      <c r="F492" s="50"/>
      <c r="G492" s="50"/>
      <c r="H492" s="51"/>
      <c r="I492" s="161"/>
      <c r="J492" s="52"/>
      <c r="K492" s="44"/>
      <c r="L492" s="52"/>
      <c r="M492" s="52"/>
      <c r="N492" s="51"/>
      <c r="O492" s="51"/>
      <c r="P492" s="51"/>
      <c r="Q492" s="51"/>
      <c r="R492" s="51"/>
      <c r="S492" s="51"/>
      <c r="T492" s="51"/>
      <c r="U492" s="51"/>
      <c r="V492" s="51"/>
      <c r="W492" s="51"/>
    </row>
    <row r="493" spans="1:23" s="3" customFormat="1" ht="17.25" customHeight="1">
      <c r="A493" s="529" t="s">
        <v>839</v>
      </c>
      <c r="B493" s="67"/>
      <c r="C493" s="67"/>
      <c r="D493" s="16"/>
      <c r="E493" s="16"/>
      <c r="F493" s="50"/>
      <c r="G493" s="50"/>
      <c r="H493" s="51"/>
      <c r="I493" s="161"/>
      <c r="J493" s="52"/>
      <c r="K493" s="44"/>
      <c r="L493" s="52"/>
      <c r="M493" s="52"/>
      <c r="N493" s="51"/>
      <c r="O493" s="51"/>
      <c r="P493" s="51"/>
      <c r="Q493" s="51"/>
      <c r="R493" s="51"/>
      <c r="S493" s="51"/>
      <c r="T493" s="51"/>
      <c r="U493" s="51"/>
      <c r="V493" s="51"/>
      <c r="W493" s="51"/>
    </row>
    <row r="494" spans="1:23" s="3" customFormat="1" ht="17.25" customHeight="1">
      <c r="A494" s="529"/>
      <c r="B494" s="67"/>
      <c r="C494" s="67"/>
      <c r="D494" s="16"/>
      <c r="E494" s="16"/>
      <c r="F494" s="50"/>
      <c r="G494" s="50"/>
      <c r="H494" s="51"/>
      <c r="I494" s="161"/>
      <c r="J494" s="52"/>
      <c r="K494" s="44"/>
      <c r="L494" s="52"/>
      <c r="M494" s="52"/>
      <c r="N494" s="51"/>
      <c r="O494" s="51"/>
      <c r="P494" s="51"/>
      <c r="Q494" s="51"/>
      <c r="R494" s="51"/>
      <c r="S494" s="51"/>
      <c r="T494" s="51"/>
      <c r="U494" s="51"/>
      <c r="V494" s="51"/>
      <c r="W494" s="51"/>
    </row>
    <row r="495" spans="1:23" s="3" customFormat="1" ht="17.25" customHeight="1">
      <c r="A495" s="529"/>
      <c r="B495" s="67"/>
      <c r="C495" s="67"/>
      <c r="D495" s="16"/>
      <c r="E495" s="16"/>
      <c r="F495" s="50"/>
      <c r="G495" s="50"/>
      <c r="H495" s="51"/>
      <c r="I495" s="161"/>
      <c r="J495" s="52"/>
      <c r="K495" s="44"/>
      <c r="L495" s="52"/>
      <c r="M495" s="52"/>
      <c r="N495" s="51"/>
      <c r="O495" s="51"/>
      <c r="P495" s="51"/>
      <c r="Q495" s="51"/>
      <c r="R495" s="51"/>
      <c r="S495" s="51"/>
      <c r="T495" s="51"/>
      <c r="U495" s="51"/>
      <c r="V495" s="51"/>
      <c r="W495" s="51"/>
    </row>
    <row r="496" spans="1:23" s="3" customFormat="1" ht="17.25" customHeight="1">
      <c r="A496" s="529" t="s">
        <v>693</v>
      </c>
      <c r="B496" s="67"/>
      <c r="C496" s="67"/>
      <c r="D496" s="16"/>
      <c r="E496" s="16"/>
      <c r="F496" s="50"/>
      <c r="G496" s="50"/>
      <c r="H496" s="51"/>
      <c r="I496" s="161"/>
      <c r="J496" s="52"/>
      <c r="K496" s="44"/>
      <c r="L496" s="52"/>
      <c r="M496" s="52"/>
      <c r="N496" s="51"/>
      <c r="O496" s="51"/>
      <c r="P496" s="51"/>
      <c r="Q496" s="51"/>
      <c r="R496" s="51"/>
      <c r="S496" s="51"/>
      <c r="T496" s="51"/>
      <c r="U496" s="51"/>
      <c r="V496" s="51"/>
      <c r="W496" s="51"/>
    </row>
    <row r="497" spans="1:23" s="3" customFormat="1" ht="17.25" customHeight="1">
      <c r="A497" s="184"/>
      <c r="B497" s="67"/>
      <c r="C497" s="67"/>
      <c r="D497" s="16"/>
      <c r="E497" s="16"/>
      <c r="F497" s="50"/>
      <c r="G497" s="50"/>
      <c r="H497" s="51"/>
      <c r="I497" s="161"/>
      <c r="J497" s="52"/>
      <c r="K497" s="44"/>
      <c r="L497" s="52"/>
      <c r="M497" s="52"/>
      <c r="N497" s="51"/>
      <c r="O497" s="51"/>
      <c r="P497" s="51"/>
      <c r="Q497" s="51"/>
      <c r="R497" s="51"/>
      <c r="S497" s="51"/>
      <c r="T497" s="51"/>
      <c r="U497" s="51"/>
      <c r="V497" s="51"/>
      <c r="W497" s="51"/>
    </row>
    <row r="498" spans="1:23" s="3" customFormat="1" ht="17.25" customHeight="1">
      <c r="A498" s="529" t="s">
        <v>694</v>
      </c>
      <c r="B498" s="461"/>
      <c r="C498" s="461"/>
      <c r="D498" s="462"/>
      <c r="E498" s="462"/>
      <c r="F498" s="50"/>
      <c r="G498" s="50"/>
      <c r="H498" s="51"/>
      <c r="I498" s="161"/>
      <c r="J498" s="52"/>
      <c r="K498" s="44"/>
      <c r="L498" s="52"/>
      <c r="M498" s="52"/>
      <c r="N498" s="51"/>
      <c r="O498" s="51"/>
      <c r="P498" s="51"/>
      <c r="Q498" s="51"/>
      <c r="R498" s="51"/>
      <c r="S498" s="51"/>
      <c r="T498" s="51"/>
      <c r="U498" s="51"/>
      <c r="V498" s="51"/>
      <c r="W498" s="51"/>
    </row>
    <row r="499" spans="1:23" s="3" customFormat="1" ht="17.25" customHeight="1">
      <c r="A499" s="530" t="s">
        <v>734</v>
      </c>
      <c r="B499" s="461"/>
      <c r="C499" s="461"/>
      <c r="D499" s="462"/>
      <c r="E499" s="462"/>
      <c r="F499" s="50"/>
      <c r="G499" s="50"/>
      <c r="H499" s="51"/>
      <c r="I499" s="161"/>
      <c r="J499" s="52"/>
      <c r="K499" s="44"/>
      <c r="L499" s="52"/>
      <c r="M499" s="52"/>
      <c r="N499" s="51"/>
      <c r="O499" s="51"/>
      <c r="P499" s="51"/>
      <c r="Q499" s="51"/>
      <c r="R499" s="51"/>
      <c r="S499" s="51"/>
      <c r="T499" s="51"/>
      <c r="U499" s="51"/>
      <c r="V499" s="51"/>
      <c r="W499" s="51"/>
    </row>
    <row r="500" spans="1:23" s="3" customFormat="1" ht="17.25" customHeight="1">
      <c r="A500" s="529" t="s">
        <v>437</v>
      </c>
      <c r="B500" s="126"/>
      <c r="C500" s="67"/>
      <c r="D500" s="16"/>
      <c r="E500" s="16"/>
      <c r="F500" s="50"/>
      <c r="G500" s="50"/>
      <c r="H500" s="51"/>
      <c r="I500" s="161"/>
      <c r="J500" s="52"/>
      <c r="K500" s="44"/>
      <c r="L500" s="52"/>
      <c r="M500" s="52"/>
      <c r="N500" s="51"/>
      <c r="O500" s="51"/>
      <c r="P500" s="51"/>
      <c r="Q500" s="51"/>
      <c r="R500" s="51"/>
      <c r="S500" s="51"/>
      <c r="T500" s="51"/>
      <c r="U500" s="51"/>
      <c r="V500" s="51"/>
      <c r="W500" s="51"/>
    </row>
    <row r="501" spans="1:23" s="3" customFormat="1" ht="17.25" customHeight="1">
      <c r="A501" s="529"/>
      <c r="B501" s="67"/>
      <c r="C501" s="67"/>
      <c r="D501" s="16"/>
      <c r="E501" s="16"/>
      <c r="F501" s="50"/>
      <c r="G501" s="50"/>
      <c r="H501" s="51"/>
      <c r="I501" s="161"/>
      <c r="J501" s="52"/>
      <c r="K501" s="44"/>
      <c r="L501" s="52"/>
      <c r="M501" s="52"/>
      <c r="N501" s="51"/>
      <c r="O501" s="51"/>
      <c r="P501" s="51"/>
      <c r="Q501" s="51"/>
      <c r="R501" s="51"/>
      <c r="S501" s="51"/>
      <c r="T501" s="51"/>
      <c r="U501" s="51"/>
      <c r="V501" s="51"/>
      <c r="W501" s="51"/>
    </row>
    <row r="502" spans="1:23" s="3" customFormat="1" ht="17.25" customHeight="1">
      <c r="A502" s="459"/>
      <c r="B502" s="460"/>
      <c r="C502" s="461"/>
      <c r="D502" s="462"/>
      <c r="E502" s="462"/>
      <c r="F502" s="462"/>
      <c r="G502" s="462"/>
      <c r="H502" s="463"/>
      <c r="I502" s="161"/>
      <c r="J502" s="52"/>
      <c r="K502" s="44"/>
      <c r="L502" s="52"/>
      <c r="M502" s="52"/>
      <c r="N502" s="51"/>
      <c r="O502" s="51"/>
      <c r="P502" s="51"/>
      <c r="Q502" s="51"/>
      <c r="R502" s="51"/>
      <c r="S502" s="51"/>
      <c r="T502" s="51"/>
      <c r="U502" s="51"/>
      <c r="V502" s="51"/>
      <c r="W502" s="51"/>
    </row>
    <row r="503" spans="1:23" s="3" customFormat="1" ht="17.25" customHeight="1">
      <c r="A503" s="529" t="s">
        <v>747</v>
      </c>
      <c r="B503" s="67"/>
      <c r="C503" s="67"/>
      <c r="D503" s="462"/>
      <c r="E503" s="462"/>
      <c r="F503" s="462"/>
      <c r="G503" s="462"/>
      <c r="H503" s="463"/>
      <c r="I503" s="161"/>
      <c r="J503" s="52"/>
      <c r="K503" s="44"/>
      <c r="L503" s="52"/>
      <c r="M503" s="52"/>
      <c r="N503" s="51"/>
      <c r="O503" s="51"/>
      <c r="P503" s="51"/>
      <c r="Q503" s="51"/>
      <c r="R503" s="51"/>
      <c r="S503" s="51"/>
      <c r="T503" s="51"/>
      <c r="U503" s="51"/>
      <c r="V503" s="51"/>
      <c r="W503" s="51"/>
    </row>
    <row r="504" spans="1:23" s="3" customFormat="1" ht="17.25" customHeight="1">
      <c r="A504" s="184"/>
      <c r="B504" s="67"/>
      <c r="C504" s="67"/>
      <c r="D504" s="462"/>
      <c r="E504" s="462"/>
      <c r="F504" s="462"/>
      <c r="G504" s="462"/>
      <c r="H504" s="463"/>
      <c r="I504" s="161"/>
      <c r="J504" s="52"/>
      <c r="K504" s="44"/>
      <c r="L504" s="52"/>
      <c r="M504" s="52"/>
      <c r="N504" s="51"/>
      <c r="O504" s="51"/>
      <c r="P504" s="51"/>
      <c r="Q504" s="51"/>
      <c r="R504" s="51"/>
      <c r="S504" s="51"/>
      <c r="T504" s="51"/>
      <c r="U504" s="51"/>
      <c r="V504" s="51"/>
      <c r="W504" s="51"/>
    </row>
    <row r="505" spans="1:23" s="3" customFormat="1" ht="17.25" customHeight="1">
      <c r="A505" s="529" t="s">
        <v>735</v>
      </c>
      <c r="B505" s="461"/>
      <c r="C505" s="461"/>
      <c r="D505" s="462"/>
      <c r="E505" s="462"/>
      <c r="F505" s="462"/>
      <c r="G505" s="462"/>
      <c r="H505" s="463"/>
      <c r="I505" s="161"/>
      <c r="J505" s="52"/>
      <c r="K505" s="44"/>
      <c r="L505" s="52"/>
      <c r="M505" s="52"/>
      <c r="N505" s="51"/>
      <c r="O505" s="51"/>
      <c r="P505" s="51"/>
      <c r="Q505" s="51"/>
      <c r="R505" s="51"/>
      <c r="S505" s="51"/>
      <c r="T505" s="51"/>
      <c r="U505" s="51"/>
      <c r="V505" s="51"/>
      <c r="W505" s="51"/>
    </row>
    <row r="506" spans="1:23" s="3" customFormat="1" ht="17.25" customHeight="1">
      <c r="A506" s="530" t="s">
        <v>734</v>
      </c>
      <c r="B506" s="461"/>
      <c r="C506" s="461"/>
      <c r="D506" s="462"/>
      <c r="E506" s="462"/>
      <c r="F506" s="462"/>
      <c r="G506" s="462"/>
      <c r="H506" s="463"/>
      <c r="I506" s="161"/>
      <c r="J506" s="52"/>
      <c r="K506" s="44"/>
      <c r="L506" s="52"/>
      <c r="M506" s="52"/>
      <c r="N506" s="51"/>
      <c r="O506" s="51"/>
      <c r="P506" s="51"/>
      <c r="Q506" s="51"/>
      <c r="R506" s="51"/>
      <c r="S506" s="51"/>
      <c r="T506" s="51"/>
      <c r="U506" s="51"/>
      <c r="V506" s="51"/>
      <c r="W506" s="51"/>
    </row>
    <row r="507" spans="1:23" s="3" customFormat="1" ht="17.25" customHeight="1">
      <c r="A507" s="529" t="s">
        <v>438</v>
      </c>
      <c r="B507" s="126"/>
      <c r="C507" s="67"/>
      <c r="D507" s="462"/>
      <c r="E507" s="462"/>
      <c r="F507" s="462"/>
      <c r="G507" s="462"/>
      <c r="H507" s="463"/>
      <c r="I507" s="161"/>
      <c r="J507" s="52"/>
      <c r="K507" s="44"/>
      <c r="L507" s="52"/>
      <c r="M507" s="52"/>
      <c r="N507" s="51"/>
      <c r="O507" s="51"/>
      <c r="P507" s="51"/>
      <c r="Q507" s="51"/>
      <c r="R507" s="51"/>
      <c r="S507" s="51"/>
      <c r="T507" s="51"/>
      <c r="U507" s="51"/>
      <c r="V507" s="51"/>
      <c r="W507" s="51"/>
    </row>
    <row r="508" spans="1:23" s="3" customFormat="1" ht="17.25" customHeight="1">
      <c r="A508" s="459"/>
      <c r="B508" s="460"/>
      <c r="C508" s="461"/>
      <c r="D508" s="462"/>
      <c r="E508" s="462"/>
      <c r="F508" s="462"/>
      <c r="G508" s="462"/>
      <c r="H508" s="463"/>
      <c r="I508" s="161"/>
      <c r="J508" s="52"/>
      <c r="K508" s="44"/>
      <c r="L508" s="52"/>
      <c r="M508" s="52"/>
      <c r="N508" s="51"/>
      <c r="O508" s="51"/>
      <c r="P508" s="51"/>
      <c r="Q508" s="51"/>
      <c r="R508" s="51"/>
      <c r="S508" s="51"/>
      <c r="T508" s="51"/>
      <c r="U508" s="51"/>
      <c r="V508" s="51"/>
      <c r="W508" s="51"/>
    </row>
    <row r="509" spans="1:23" s="3" customFormat="1" ht="17.25" customHeight="1">
      <c r="A509" s="459"/>
      <c r="B509" s="460"/>
      <c r="C509" s="461"/>
      <c r="D509" s="462"/>
      <c r="E509" s="462"/>
      <c r="F509" s="462"/>
      <c r="G509" s="462"/>
      <c r="H509" s="463"/>
      <c r="I509" s="161"/>
      <c r="J509" s="52"/>
      <c r="K509" s="44"/>
      <c r="L509" s="52"/>
      <c r="M509" s="52"/>
      <c r="N509" s="51"/>
      <c r="O509" s="51"/>
      <c r="P509" s="51"/>
      <c r="Q509" s="51"/>
      <c r="R509" s="51"/>
      <c r="S509" s="51"/>
      <c r="T509" s="51"/>
      <c r="U509" s="51"/>
      <c r="V509" s="51"/>
      <c r="W509" s="51"/>
    </row>
    <row r="510" spans="1:23" ht="18.75">
      <c r="A510" s="540" t="s">
        <v>840</v>
      </c>
      <c r="B510" s="464"/>
      <c r="C510" s="464"/>
      <c r="D510" s="19"/>
      <c r="E510" s="19"/>
      <c r="F510" s="19"/>
      <c r="G510" s="147"/>
      <c r="H510" s="17"/>
      <c r="I510" s="137"/>
      <c r="J510" s="37"/>
      <c r="K510" s="130"/>
      <c r="L510" s="36"/>
      <c r="M510" s="36"/>
      <c r="N510" s="16"/>
      <c r="O510" s="16"/>
      <c r="P510" s="16"/>
      <c r="Q510" s="131"/>
      <c r="R510" s="131"/>
      <c r="S510" s="131"/>
      <c r="T510" s="131"/>
      <c r="U510" s="131"/>
      <c r="V510" s="131"/>
      <c r="W510" s="131"/>
    </row>
    <row r="511" spans="1:23" ht="18.75">
      <c r="A511" s="540"/>
      <c r="B511" s="464"/>
      <c r="C511" s="464"/>
      <c r="D511" s="19"/>
      <c r="E511" s="19"/>
      <c r="F511" s="19"/>
      <c r="G511" s="147"/>
      <c r="H511" s="17"/>
      <c r="I511" s="137"/>
      <c r="J511" s="37"/>
      <c r="K511" s="130"/>
      <c r="L511" s="36"/>
      <c r="M511" s="36"/>
      <c r="N511" s="16"/>
      <c r="O511" s="16"/>
      <c r="P511" s="16"/>
      <c r="Q511" s="131"/>
      <c r="R511" s="131"/>
      <c r="S511" s="131"/>
      <c r="T511" s="131"/>
      <c r="U511" s="131"/>
      <c r="V511" s="131"/>
      <c r="W511" s="131"/>
    </row>
    <row r="512" spans="1:23" ht="18.75">
      <c r="A512" s="540"/>
      <c r="B512" s="464"/>
      <c r="C512" s="464"/>
      <c r="D512" s="19"/>
      <c r="E512" s="19"/>
      <c r="F512" s="19"/>
      <c r="G512" s="147"/>
      <c r="H512" s="17"/>
      <c r="I512" s="137"/>
      <c r="J512" s="37"/>
      <c r="K512" s="130"/>
      <c r="L512" s="36"/>
      <c r="M512" s="36"/>
      <c r="N512" s="16"/>
      <c r="O512" s="16"/>
      <c r="P512" s="16"/>
      <c r="Q512" s="131"/>
      <c r="R512" s="131"/>
      <c r="S512" s="131"/>
      <c r="T512" s="131"/>
      <c r="U512" s="131"/>
      <c r="V512" s="131"/>
      <c r="W512" s="131"/>
    </row>
    <row r="513" spans="1:23" ht="16.5">
      <c r="A513" s="153" t="s">
        <v>702</v>
      </c>
      <c r="B513" s="153"/>
      <c r="C513" s="154"/>
      <c r="D513" s="19"/>
      <c r="E513" s="16"/>
      <c r="F513" s="16"/>
      <c r="G513" s="139"/>
      <c r="H513" s="139">
        <v>229038.27</v>
      </c>
      <c r="I513" s="137"/>
      <c r="J513" s="37"/>
      <c r="K513" s="130"/>
      <c r="L513" s="36"/>
      <c r="M513" s="36"/>
      <c r="N513" s="16"/>
      <c r="O513" s="16"/>
      <c r="P513" s="16"/>
      <c r="Q513" s="131"/>
      <c r="R513" s="131"/>
      <c r="S513" s="131"/>
      <c r="T513" s="131"/>
      <c r="U513" s="131"/>
      <c r="V513" s="131"/>
      <c r="W513" s="131"/>
    </row>
    <row r="514" spans="1:23" ht="16.5">
      <c r="A514" s="153" t="s">
        <v>322</v>
      </c>
      <c r="B514" s="153"/>
      <c r="C514" s="154"/>
      <c r="D514" s="19"/>
      <c r="E514" s="16"/>
      <c r="F514" s="16"/>
      <c r="G514" s="139"/>
      <c r="H514" s="139">
        <f>H518+96929.58</f>
        <v>212538.27000000002</v>
      </c>
      <c r="I514" s="137"/>
      <c r="J514" s="37"/>
      <c r="K514" s="130"/>
      <c r="L514" s="36"/>
      <c r="M514" s="36"/>
      <c r="N514" s="16"/>
      <c r="O514" s="16"/>
      <c r="P514" s="16"/>
      <c r="Q514" s="131"/>
      <c r="R514" s="131"/>
      <c r="S514" s="131"/>
      <c r="T514" s="131"/>
      <c r="U514" s="131"/>
      <c r="V514" s="131"/>
      <c r="W514" s="131"/>
    </row>
    <row r="515" spans="1:23" ht="16.5">
      <c r="A515" s="153" t="s">
        <v>703</v>
      </c>
      <c r="B515" s="153"/>
      <c r="C515" s="154"/>
      <c r="D515" s="19"/>
      <c r="E515" s="16"/>
      <c r="F515" s="16"/>
      <c r="G515" s="139"/>
      <c r="H515" s="139"/>
      <c r="I515" s="137"/>
      <c r="J515" s="37"/>
      <c r="K515" s="130"/>
      <c r="L515" s="36"/>
      <c r="M515" s="36"/>
      <c r="N515" s="16"/>
      <c r="O515" s="16"/>
      <c r="P515" s="16"/>
      <c r="Q515" s="131"/>
      <c r="R515" s="131"/>
      <c r="S515" s="131"/>
      <c r="T515" s="131"/>
      <c r="U515" s="131"/>
      <c r="V515" s="131"/>
      <c r="W515" s="131"/>
    </row>
    <row r="516" spans="1:23" ht="16.5">
      <c r="A516" s="153"/>
      <c r="B516" s="153"/>
      <c r="C516" s="154"/>
      <c r="D516" s="19"/>
      <c r="E516" s="16"/>
      <c r="F516" s="16"/>
      <c r="G516" s="139"/>
      <c r="H516" s="139"/>
      <c r="I516" s="137"/>
      <c r="J516" s="37"/>
      <c r="K516" s="130"/>
      <c r="L516" s="36"/>
      <c r="M516" s="36"/>
      <c r="N516" s="16"/>
      <c r="O516" s="16"/>
      <c r="P516" s="16"/>
      <c r="Q516" s="131"/>
      <c r="R516" s="131"/>
      <c r="S516" s="131"/>
      <c r="T516" s="131"/>
      <c r="U516" s="131"/>
      <c r="V516" s="131"/>
      <c r="W516" s="131"/>
    </row>
    <row r="517" spans="1:23" ht="16.5">
      <c r="A517" s="153"/>
      <c r="B517" s="153" t="s">
        <v>323</v>
      </c>
      <c r="C517" s="541"/>
      <c r="D517" s="542"/>
      <c r="E517" s="16"/>
      <c r="F517" s="16"/>
      <c r="G517" s="139"/>
      <c r="H517" s="139">
        <v>132108.69</v>
      </c>
      <c r="I517" s="137"/>
      <c r="J517" s="37"/>
      <c r="K517" s="130"/>
      <c r="L517" s="36"/>
      <c r="M517" s="36"/>
      <c r="N517" s="16"/>
      <c r="O517" s="16"/>
      <c r="P517" s="16"/>
      <c r="Q517" s="131"/>
      <c r="R517" s="131"/>
      <c r="S517" s="131"/>
      <c r="T517" s="131"/>
      <c r="U517" s="131"/>
      <c r="V517" s="131"/>
      <c r="W517" s="131"/>
    </row>
    <row r="518" spans="1:23" ht="16.5">
      <c r="A518" s="153"/>
      <c r="B518" s="153" t="s">
        <v>324</v>
      </c>
      <c r="C518" s="541"/>
      <c r="D518" s="542"/>
      <c r="E518" s="16"/>
      <c r="F518" s="16"/>
      <c r="G518" s="139"/>
      <c r="H518" s="139">
        <f>H517-3500+5000-18000</f>
        <v>115608.69</v>
      </c>
      <c r="I518" s="137"/>
      <c r="J518" s="37"/>
      <c r="K518" s="130"/>
      <c r="L518" s="36"/>
      <c r="M518" s="36"/>
      <c r="N518" s="16"/>
      <c r="O518" s="16"/>
      <c r="P518" s="16"/>
      <c r="Q518" s="131"/>
      <c r="R518" s="131"/>
      <c r="S518" s="131"/>
      <c r="T518" s="131"/>
      <c r="U518" s="131"/>
      <c r="V518" s="131"/>
      <c r="W518" s="131"/>
    </row>
    <row r="519" spans="1:23" ht="16.5">
      <c r="A519" s="153"/>
      <c r="B519" s="153"/>
      <c r="C519" s="541"/>
      <c r="D519" s="542"/>
      <c r="E519" s="16"/>
      <c r="F519" s="16"/>
      <c r="G519" s="139"/>
      <c r="H519" s="139"/>
      <c r="I519" s="137"/>
      <c r="J519" s="37"/>
      <c r="K519" s="130"/>
      <c r="L519" s="36"/>
      <c r="M519" s="36"/>
      <c r="N519" s="16"/>
      <c r="O519" s="16"/>
      <c r="P519" s="16"/>
      <c r="Q519" s="131"/>
      <c r="R519" s="131"/>
      <c r="S519" s="131"/>
      <c r="T519" s="131"/>
      <c r="U519" s="131"/>
      <c r="V519" s="131"/>
      <c r="W519" s="131"/>
    </row>
    <row r="520" spans="1:23" ht="16.5">
      <c r="A520" s="153" t="s">
        <v>141</v>
      </c>
      <c r="B520" s="153"/>
      <c r="C520" s="154"/>
      <c r="D520" s="19"/>
      <c r="E520" s="16"/>
      <c r="F520" s="16"/>
      <c r="G520" s="139"/>
      <c r="H520" s="139">
        <f>H524+H527</f>
        <v>314060.01</v>
      </c>
      <c r="I520" s="137"/>
      <c r="J520" s="37"/>
      <c r="K520" s="130"/>
      <c r="L520" s="36"/>
      <c r="M520" s="36"/>
      <c r="N520" s="16"/>
      <c r="O520" s="16"/>
      <c r="P520" s="16"/>
      <c r="Q520" s="131"/>
      <c r="R520" s="131"/>
      <c r="S520" s="131"/>
      <c r="T520" s="131"/>
      <c r="U520" s="131"/>
      <c r="V520" s="131"/>
      <c r="W520" s="131"/>
    </row>
    <row r="521" spans="1:23" ht="16.5">
      <c r="A521" s="153" t="s">
        <v>322</v>
      </c>
      <c r="B521" s="153"/>
      <c r="C521" s="154"/>
      <c r="D521" s="19"/>
      <c r="E521" s="16"/>
      <c r="F521" s="16"/>
      <c r="G521" s="139"/>
      <c r="H521" s="139">
        <f>H525+H528</f>
        <v>461307.41000000003</v>
      </c>
      <c r="I521" s="137"/>
      <c r="J521" s="37"/>
      <c r="K521" s="130"/>
      <c r="L521" s="36"/>
      <c r="M521" s="36"/>
      <c r="N521" s="16"/>
      <c r="O521" s="16"/>
      <c r="P521" s="16"/>
      <c r="Q521" s="131"/>
      <c r="R521" s="131"/>
      <c r="S521" s="131"/>
      <c r="T521" s="131"/>
      <c r="U521" s="131"/>
      <c r="V521" s="131"/>
      <c r="W521" s="131"/>
    </row>
    <row r="522" spans="1:23" ht="16.5">
      <c r="A522" s="153" t="s">
        <v>703</v>
      </c>
      <c r="B522" s="153"/>
      <c r="C522" s="154"/>
      <c r="D522" s="19"/>
      <c r="E522" s="16"/>
      <c r="F522" s="16"/>
      <c r="G522" s="139"/>
      <c r="H522" s="139"/>
      <c r="I522" s="137"/>
      <c r="J522" s="37"/>
      <c r="K522" s="130"/>
      <c r="L522" s="36"/>
      <c r="M522" s="36"/>
      <c r="N522" s="16"/>
      <c r="O522" s="16"/>
      <c r="P522" s="16"/>
      <c r="Q522" s="131"/>
      <c r="R522" s="131"/>
      <c r="S522" s="131"/>
      <c r="T522" s="131"/>
      <c r="U522" s="131"/>
      <c r="V522" s="131"/>
      <c r="W522" s="131"/>
    </row>
    <row r="523" spans="1:23" ht="16.5">
      <c r="A523" s="153"/>
      <c r="B523" s="153"/>
      <c r="C523" s="154"/>
      <c r="D523" s="19"/>
      <c r="E523" s="16"/>
      <c r="F523" s="16"/>
      <c r="G523" s="139"/>
      <c r="H523" s="139"/>
      <c r="I523" s="137"/>
      <c r="J523" s="37"/>
      <c r="K523" s="130"/>
      <c r="L523" s="36"/>
      <c r="M523" s="36"/>
      <c r="N523" s="16"/>
      <c r="O523" s="16"/>
      <c r="P523" s="16"/>
      <c r="Q523" s="131"/>
      <c r="R523" s="131"/>
      <c r="S523" s="131"/>
      <c r="T523" s="131"/>
      <c r="U523" s="131"/>
      <c r="V523" s="131"/>
      <c r="W523" s="131"/>
    </row>
    <row r="524" spans="1:23" ht="16.5">
      <c r="A524" s="153"/>
      <c r="B524" s="153" t="s">
        <v>323</v>
      </c>
      <c r="C524" s="541"/>
      <c r="D524" s="542"/>
      <c r="E524" s="16"/>
      <c r="F524" s="16"/>
      <c r="G524" s="139"/>
      <c r="H524" s="139">
        <f>82682.59-6950</f>
        <v>75732.59</v>
      </c>
      <c r="I524" s="137"/>
      <c r="J524" s="37"/>
      <c r="K524" s="130"/>
      <c r="L524" s="36"/>
      <c r="M524" s="36"/>
      <c r="N524" s="16"/>
      <c r="O524" s="16"/>
      <c r="P524" s="16"/>
      <c r="Q524" s="131"/>
      <c r="R524" s="131"/>
      <c r="S524" s="131"/>
      <c r="T524" s="131"/>
      <c r="U524" s="131"/>
      <c r="V524" s="131"/>
      <c r="W524" s="131"/>
    </row>
    <row r="525" spans="1:23" ht="16.5">
      <c r="A525" s="153"/>
      <c r="B525" s="153" t="s">
        <v>324</v>
      </c>
      <c r="C525" s="541"/>
      <c r="D525" s="542"/>
      <c r="E525" s="16"/>
      <c r="F525" s="16"/>
      <c r="G525" s="139"/>
      <c r="H525" s="139">
        <f>H524+230704.4-168000</f>
        <v>138436.99</v>
      </c>
      <c r="I525" s="137"/>
      <c r="J525" s="37"/>
      <c r="K525" s="130"/>
      <c r="L525" s="36"/>
      <c r="M525" s="36"/>
      <c r="N525" s="16"/>
      <c r="O525" s="16"/>
      <c r="P525" s="16"/>
      <c r="Q525" s="131"/>
      <c r="R525" s="131"/>
      <c r="S525" s="131"/>
      <c r="T525" s="131"/>
      <c r="U525" s="131"/>
      <c r="V525" s="131"/>
      <c r="W525" s="131"/>
    </row>
    <row r="526" spans="1:23" ht="16.5">
      <c r="A526" s="153"/>
      <c r="B526" s="153"/>
      <c r="C526" s="541"/>
      <c r="D526" s="542"/>
      <c r="E526" s="16"/>
      <c r="F526" s="16"/>
      <c r="G526" s="139"/>
      <c r="H526" s="139"/>
      <c r="I526" s="137"/>
      <c r="J526" s="37"/>
      <c r="K526" s="130"/>
      <c r="L526" s="36"/>
      <c r="M526" s="36"/>
      <c r="N526" s="16"/>
      <c r="O526" s="16"/>
      <c r="P526" s="16"/>
      <c r="Q526" s="131"/>
      <c r="R526" s="131"/>
      <c r="S526" s="131"/>
      <c r="T526" s="131"/>
      <c r="U526" s="131"/>
      <c r="V526" s="131"/>
      <c r="W526" s="131"/>
    </row>
    <row r="527" spans="1:23" ht="16.5">
      <c r="A527" s="153"/>
      <c r="B527" s="153" t="s">
        <v>820</v>
      </c>
      <c r="C527" s="541"/>
      <c r="D527" s="542"/>
      <c r="E527" s="16"/>
      <c r="F527" s="16"/>
      <c r="G527" s="139"/>
      <c r="H527" s="139">
        <v>238327.42</v>
      </c>
      <c r="I527" s="137"/>
      <c r="J527" s="37"/>
      <c r="K527" s="130"/>
      <c r="L527" s="36"/>
      <c r="M527" s="36"/>
      <c r="N527" s="16"/>
      <c r="O527" s="16"/>
      <c r="P527" s="16"/>
      <c r="Q527" s="131"/>
      <c r="R527" s="131"/>
      <c r="S527" s="131"/>
      <c r="T527" s="131"/>
      <c r="U527" s="131"/>
      <c r="V527" s="131"/>
      <c r="W527" s="131"/>
    </row>
    <row r="528" spans="1:23" ht="16.5">
      <c r="A528" s="153"/>
      <c r="B528" s="153" t="s">
        <v>324</v>
      </c>
      <c r="C528" s="541"/>
      <c r="D528" s="542"/>
      <c r="E528" s="16"/>
      <c r="F528" s="16"/>
      <c r="G528" s="139"/>
      <c r="H528" s="139">
        <f>H527+126543-42000</f>
        <v>322870.42000000004</v>
      </c>
      <c r="I528" s="137"/>
      <c r="J528" s="37"/>
      <c r="K528" s="130"/>
      <c r="L528" s="36"/>
      <c r="M528" s="36"/>
      <c r="N528" s="16"/>
      <c r="O528" s="16"/>
      <c r="P528" s="16"/>
      <c r="Q528" s="131"/>
      <c r="R528" s="131"/>
      <c r="S528" s="131"/>
      <c r="T528" s="131"/>
      <c r="U528" s="131"/>
      <c r="V528" s="131"/>
      <c r="W528" s="131"/>
    </row>
    <row r="529" spans="1:23" ht="16.5">
      <c r="A529" s="153"/>
      <c r="B529" s="153"/>
      <c r="C529" s="154"/>
      <c r="D529" s="19"/>
      <c r="E529" s="16"/>
      <c r="F529" s="16"/>
      <c r="G529" s="139"/>
      <c r="H529" s="139"/>
      <c r="I529" s="137"/>
      <c r="J529" s="37"/>
      <c r="K529" s="130"/>
      <c r="L529" s="36"/>
      <c r="M529" s="36"/>
      <c r="N529" s="16"/>
      <c r="O529" s="16"/>
      <c r="P529" s="16"/>
      <c r="Q529" s="131"/>
      <c r="R529" s="131"/>
      <c r="S529" s="131"/>
      <c r="T529" s="131"/>
      <c r="U529" s="131"/>
      <c r="V529" s="131"/>
      <c r="W529" s="131"/>
    </row>
    <row r="530" spans="1:23" s="568" customFormat="1" ht="16.5">
      <c r="A530" s="464" t="s">
        <v>1</v>
      </c>
      <c r="B530" s="153"/>
      <c r="C530" s="541"/>
      <c r="D530" s="19"/>
      <c r="E530" s="19"/>
      <c r="F530" s="19"/>
      <c r="G530" s="563"/>
      <c r="H530" s="139">
        <f>143302-47000+75201.05</f>
        <v>171503.05</v>
      </c>
      <c r="I530" s="564"/>
      <c r="J530" s="565"/>
      <c r="K530" s="566"/>
      <c r="L530" s="565"/>
      <c r="M530" s="565"/>
      <c r="N530" s="19"/>
      <c r="O530" s="19"/>
      <c r="P530" s="19"/>
      <c r="Q530" s="567"/>
      <c r="R530" s="567"/>
      <c r="S530" s="567"/>
      <c r="T530" s="567"/>
      <c r="U530" s="567"/>
      <c r="V530" s="567"/>
      <c r="W530" s="567"/>
    </row>
    <row r="531" spans="1:23" ht="16.5">
      <c r="A531" s="153" t="s">
        <v>322</v>
      </c>
      <c r="B531" s="153"/>
      <c r="C531" s="541"/>
      <c r="D531" s="19"/>
      <c r="E531" s="16"/>
      <c r="F531" s="16"/>
      <c r="G531" s="139"/>
      <c r="H531" s="139">
        <f>H530+165335</f>
        <v>336838.05</v>
      </c>
      <c r="I531" s="137"/>
      <c r="J531" s="37"/>
      <c r="K531" s="130"/>
      <c r="L531" s="36"/>
      <c r="M531" s="36"/>
      <c r="N531" s="16"/>
      <c r="O531" s="16"/>
      <c r="P531" s="16"/>
      <c r="Q531" s="131"/>
      <c r="R531" s="131"/>
      <c r="S531" s="131"/>
      <c r="T531" s="131"/>
      <c r="U531" s="131"/>
      <c r="V531" s="131"/>
      <c r="W531" s="131"/>
    </row>
    <row r="532" spans="1:23" ht="16.5">
      <c r="A532" s="153"/>
      <c r="B532" s="153" t="s">
        <v>251</v>
      </c>
      <c r="C532" s="541"/>
      <c r="D532" s="19"/>
      <c r="E532" s="16"/>
      <c r="F532" s="16"/>
      <c r="G532" s="139"/>
      <c r="H532" s="139"/>
      <c r="I532" s="137"/>
      <c r="J532" s="37"/>
      <c r="K532" s="130"/>
      <c r="L532" s="36"/>
      <c r="M532" s="36"/>
      <c r="N532" s="16"/>
      <c r="O532" s="16"/>
      <c r="P532" s="16"/>
      <c r="Q532" s="131"/>
      <c r="R532" s="131"/>
      <c r="S532" s="131"/>
      <c r="T532" s="131"/>
      <c r="U532" s="131"/>
      <c r="V532" s="131"/>
      <c r="W532" s="131"/>
    </row>
    <row r="533" spans="1:23" ht="16.5">
      <c r="A533" s="153"/>
      <c r="B533" s="153"/>
      <c r="C533" s="154"/>
      <c r="D533" s="19"/>
      <c r="E533" s="16"/>
      <c r="F533" s="16"/>
      <c r="G533" s="139"/>
      <c r="H533" s="139"/>
      <c r="I533" s="137"/>
      <c r="J533" s="37"/>
      <c r="K533" s="130"/>
      <c r="L533" s="36"/>
      <c r="M533" s="36"/>
      <c r="N533" s="16"/>
      <c r="O533" s="16"/>
      <c r="P533" s="16"/>
      <c r="Q533" s="131"/>
      <c r="R533" s="131"/>
      <c r="S533" s="131"/>
      <c r="T533" s="131"/>
      <c r="U533" s="131"/>
      <c r="V533" s="131"/>
      <c r="W533" s="131"/>
    </row>
    <row r="534" spans="1:23" ht="16.5">
      <c r="A534" s="153"/>
      <c r="B534" s="153" t="s">
        <v>820</v>
      </c>
      <c r="C534" s="541"/>
      <c r="D534" s="542"/>
      <c r="E534" s="16"/>
      <c r="F534" s="16"/>
      <c r="G534" s="139"/>
      <c r="H534" s="139">
        <v>75201.05</v>
      </c>
      <c r="I534" s="137"/>
      <c r="J534" s="37"/>
      <c r="K534" s="130"/>
      <c r="L534" s="36"/>
      <c r="M534" s="36"/>
      <c r="N534" s="16"/>
      <c r="O534" s="16"/>
      <c r="P534" s="16"/>
      <c r="Q534" s="131"/>
      <c r="R534" s="131"/>
      <c r="S534" s="131"/>
      <c r="T534" s="131"/>
      <c r="U534" s="131"/>
      <c r="V534" s="131"/>
      <c r="W534" s="131"/>
    </row>
    <row r="535" spans="1:23" ht="16.5">
      <c r="A535" s="153"/>
      <c r="B535" s="153" t="s">
        <v>324</v>
      </c>
      <c r="C535" s="541"/>
      <c r="D535" s="542"/>
      <c r="E535" s="16"/>
      <c r="F535" s="16"/>
      <c r="G535" s="139"/>
      <c r="H535" s="139">
        <f>H534+159134.5</f>
        <v>234335.55</v>
      </c>
      <c r="I535" s="137"/>
      <c r="J535" s="37"/>
      <c r="K535" s="130"/>
      <c r="L535" s="36"/>
      <c r="M535" s="36"/>
      <c r="N535" s="16"/>
      <c r="O535" s="16"/>
      <c r="P535" s="16"/>
      <c r="Q535" s="131"/>
      <c r="R535" s="131"/>
      <c r="S535" s="131"/>
      <c r="T535" s="131"/>
      <c r="U535" s="131"/>
      <c r="V535" s="131"/>
      <c r="W535" s="131"/>
    </row>
    <row r="536" spans="1:23" ht="16.5">
      <c r="A536" s="153"/>
      <c r="B536" s="153"/>
      <c r="C536" s="154"/>
      <c r="D536" s="19"/>
      <c r="E536" s="16"/>
      <c r="F536" s="16"/>
      <c r="G536" s="139"/>
      <c r="H536" s="139"/>
      <c r="I536" s="137"/>
      <c r="J536" s="37"/>
      <c r="K536" s="130"/>
      <c r="L536" s="36"/>
      <c r="M536" s="36"/>
      <c r="N536" s="16"/>
      <c r="O536" s="16"/>
      <c r="P536" s="16"/>
      <c r="Q536" s="131"/>
      <c r="R536" s="131"/>
      <c r="S536" s="131"/>
      <c r="T536" s="131"/>
      <c r="U536" s="131"/>
      <c r="V536" s="131"/>
      <c r="W536" s="131"/>
    </row>
    <row r="537" spans="1:23" ht="15.75">
      <c r="A537" s="138"/>
      <c r="B537" s="138"/>
      <c r="C537" s="185"/>
      <c r="D537" s="186"/>
      <c r="E537" s="16"/>
      <c r="F537" s="16"/>
      <c r="G537" s="139"/>
      <c r="H537" s="139"/>
      <c r="I537" s="137"/>
      <c r="J537" s="37"/>
      <c r="K537" s="130"/>
      <c r="L537" s="36"/>
      <c r="M537" s="36"/>
      <c r="N537" s="16"/>
      <c r="O537" s="16"/>
      <c r="P537" s="16"/>
      <c r="Q537" s="131"/>
      <c r="R537" s="131"/>
      <c r="S537" s="131"/>
      <c r="T537" s="131"/>
      <c r="U537" s="131"/>
      <c r="V537" s="131"/>
      <c r="W537" s="131"/>
    </row>
    <row r="538" spans="1:23" ht="15.75">
      <c r="A538" s="138"/>
      <c r="B538" s="138"/>
      <c r="C538" s="185"/>
      <c r="D538" s="186"/>
      <c r="E538" s="16"/>
      <c r="F538" s="16"/>
      <c r="G538" s="139"/>
      <c r="H538" s="139"/>
      <c r="I538" s="137"/>
      <c r="J538" s="37"/>
      <c r="K538" s="130"/>
      <c r="L538" s="36"/>
      <c r="M538" s="36"/>
      <c r="N538" s="16"/>
      <c r="O538" s="16"/>
      <c r="P538" s="16"/>
      <c r="Q538" s="131"/>
      <c r="R538" s="131"/>
      <c r="S538" s="131"/>
      <c r="T538" s="131"/>
      <c r="U538" s="131"/>
      <c r="V538" s="131"/>
      <c r="W538" s="131"/>
    </row>
    <row r="539" spans="1:13" ht="16.5" customHeight="1">
      <c r="A539" s="97" t="s">
        <v>325</v>
      </c>
      <c r="B539" s="97"/>
      <c r="C539" s="187"/>
      <c r="D539" s="188"/>
      <c r="E539" s="188"/>
      <c r="F539" s="189"/>
      <c r="G539" s="188"/>
      <c r="H539" s="139"/>
      <c r="I539" s="71"/>
      <c r="J539" s="1"/>
      <c r="K539" s="190"/>
      <c r="L539" s="4"/>
      <c r="M539" s="4"/>
    </row>
    <row r="540" spans="1:13" ht="16.5" customHeight="1">
      <c r="A540" s="97"/>
      <c r="B540" s="97"/>
      <c r="C540" s="187"/>
      <c r="D540" s="188"/>
      <c r="E540" s="188"/>
      <c r="F540" s="189"/>
      <c r="G540" s="188"/>
      <c r="H540" s="139"/>
      <c r="I540" s="71"/>
      <c r="J540" s="1"/>
      <c r="K540" s="190"/>
      <c r="L540" s="4"/>
      <c r="M540" s="4"/>
    </row>
    <row r="541" spans="1:13" ht="16.5" customHeight="1">
      <c r="A541" s="97"/>
      <c r="B541" s="97"/>
      <c r="C541" s="187"/>
      <c r="D541" s="188"/>
      <c r="E541" s="188"/>
      <c r="F541" s="189"/>
      <c r="G541" s="188"/>
      <c r="H541" s="139"/>
      <c r="I541" s="71"/>
      <c r="J541" s="1"/>
      <c r="K541" s="190"/>
      <c r="L541" s="4"/>
      <c r="M541" s="4"/>
    </row>
    <row r="542" spans="1:13" ht="16.5" customHeight="1">
      <c r="A542" s="706" t="s">
        <v>553</v>
      </c>
      <c r="B542" s="707"/>
      <c r="C542" s="708"/>
      <c r="D542" s="707"/>
      <c r="E542" s="188"/>
      <c r="F542" s="189"/>
      <c r="G542" s="188"/>
      <c r="H542" s="139"/>
      <c r="I542" s="71"/>
      <c r="J542" s="1"/>
      <c r="K542" s="190"/>
      <c r="L542" s="4"/>
      <c r="M542" s="4"/>
    </row>
    <row r="543" spans="1:13" ht="16.5" customHeight="1">
      <c r="A543" s="706" t="s">
        <v>551</v>
      </c>
      <c r="B543" s="707"/>
      <c r="C543" s="708"/>
      <c r="D543" s="707"/>
      <c r="E543" s="188"/>
      <c r="F543" s="189"/>
      <c r="G543" s="188"/>
      <c r="H543" s="139"/>
      <c r="I543" s="71"/>
      <c r="J543" s="1"/>
      <c r="K543" s="190"/>
      <c r="L543" s="4"/>
      <c r="M543" s="4"/>
    </row>
    <row r="544" spans="1:13" ht="16.5" customHeight="1">
      <c r="A544" s="191" t="s">
        <v>554</v>
      </c>
      <c r="B544" s="97"/>
      <c r="C544" s="187"/>
      <c r="D544" s="188"/>
      <c r="E544" s="188"/>
      <c r="F544" s="189"/>
      <c r="G544" s="188"/>
      <c r="H544" s="139"/>
      <c r="I544" s="71"/>
      <c r="J544" s="1"/>
      <c r="K544" s="190"/>
      <c r="L544" s="4"/>
      <c r="M544" s="4"/>
    </row>
    <row r="545" spans="1:13" ht="16.5" customHeight="1">
      <c r="A545" s="97"/>
      <c r="B545" s="97" t="s">
        <v>555</v>
      </c>
      <c r="C545" s="187"/>
      <c r="D545" s="188"/>
      <c r="E545" s="188"/>
      <c r="F545" s="724" t="s">
        <v>557</v>
      </c>
      <c r="G545" s="43" t="s">
        <v>552</v>
      </c>
      <c r="H545" s="43"/>
      <c r="I545" s="71"/>
      <c r="J545" s="1"/>
      <c r="K545" s="190"/>
      <c r="L545" s="4"/>
      <c r="M545" s="4"/>
    </row>
    <row r="546" spans="1:13" ht="16.5" customHeight="1">
      <c r="A546" s="689"/>
      <c r="B546" s="80" t="s">
        <v>560</v>
      </c>
      <c r="C546" s="80"/>
      <c r="D546" s="188"/>
      <c r="E546" s="188"/>
      <c r="F546" s="189"/>
      <c r="G546" s="188"/>
      <c r="H546" s="139"/>
      <c r="I546" s="71"/>
      <c r="J546" s="1"/>
      <c r="K546" s="190"/>
      <c r="L546" s="4"/>
      <c r="M546" s="4"/>
    </row>
    <row r="547" spans="1:13" ht="16.5" customHeight="1">
      <c r="A547" s="689"/>
      <c r="B547" s="80" t="s">
        <v>559</v>
      </c>
      <c r="C547" s="80"/>
      <c r="D547" s="188"/>
      <c r="E547" s="188"/>
      <c r="F547" s="189">
        <v>21170390.5</v>
      </c>
      <c r="G547" s="189">
        <v>21178190.5</v>
      </c>
      <c r="H547" s="189"/>
      <c r="I547" s="71"/>
      <c r="J547" s="1"/>
      <c r="K547" s="190"/>
      <c r="L547" s="4"/>
      <c r="M547" s="4"/>
    </row>
    <row r="548" spans="1:13" ht="16.5" customHeight="1">
      <c r="A548" s="689" t="s">
        <v>82</v>
      </c>
      <c r="B548" s="80" t="s">
        <v>83</v>
      </c>
      <c r="C548" s="80"/>
      <c r="D548" s="188"/>
      <c r="E548" s="188"/>
      <c r="F548" s="189">
        <v>21185630.5</v>
      </c>
      <c r="G548" s="189">
        <v>21193430.5</v>
      </c>
      <c r="H548" s="189"/>
      <c r="I548" s="71"/>
      <c r="J548" s="1"/>
      <c r="K548" s="190"/>
      <c r="L548" s="4"/>
      <c r="M548" s="4"/>
    </row>
    <row r="549" spans="1:13" ht="16.5" customHeight="1">
      <c r="A549" s="97"/>
      <c r="B549" s="97"/>
      <c r="C549" s="187"/>
      <c r="D549" s="188"/>
      <c r="E549" s="188"/>
      <c r="F549" s="189"/>
      <c r="G549" s="189"/>
      <c r="H549" s="139"/>
      <c r="I549" s="71"/>
      <c r="J549" s="1"/>
      <c r="K549" s="190"/>
      <c r="L549" s="4"/>
      <c r="M549" s="4"/>
    </row>
    <row r="550" spans="1:13" ht="16.5" customHeight="1">
      <c r="A550" s="97"/>
      <c r="B550" s="97"/>
      <c r="C550" s="187"/>
      <c r="D550" s="188"/>
      <c r="E550" s="188"/>
      <c r="F550" s="189"/>
      <c r="G550" s="189"/>
      <c r="H550" s="139"/>
      <c r="I550" s="71"/>
      <c r="J550" s="1"/>
      <c r="K550" s="190"/>
      <c r="L550" s="4"/>
      <c r="M550" s="4"/>
    </row>
    <row r="551" spans="1:13" ht="16.5" customHeight="1">
      <c r="A551" s="97"/>
      <c r="B551" s="97" t="s">
        <v>556</v>
      </c>
      <c r="C551" s="187"/>
      <c r="D551" s="188"/>
      <c r="E551" s="188"/>
      <c r="F551" s="724" t="s">
        <v>557</v>
      </c>
      <c r="G551" s="43" t="s">
        <v>552</v>
      </c>
      <c r="H551" s="43"/>
      <c r="I551" s="71"/>
      <c r="J551" s="1"/>
      <c r="K551" s="190"/>
      <c r="L551" s="4"/>
      <c r="M551" s="4"/>
    </row>
    <row r="552" spans="1:13" ht="16.5" customHeight="1">
      <c r="A552" s="15"/>
      <c r="B552" s="725" t="s">
        <v>561</v>
      </c>
      <c r="C552" s="422"/>
      <c r="D552" s="188"/>
      <c r="E552" s="188"/>
      <c r="F552" s="189"/>
      <c r="G552" s="139"/>
      <c r="H552" s="139"/>
      <c r="I552" s="71"/>
      <c r="J552" s="1"/>
      <c r="K552" s="190"/>
      <c r="L552" s="4"/>
      <c r="M552" s="4"/>
    </row>
    <row r="553" spans="1:13" ht="16.5" customHeight="1">
      <c r="A553" s="15"/>
      <c r="B553" s="80" t="s">
        <v>559</v>
      </c>
      <c r="C553" s="80"/>
      <c r="D553" s="188"/>
      <c r="E553" s="188"/>
      <c r="F553" s="189">
        <v>21170390.5</v>
      </c>
      <c r="G553" s="189">
        <v>21178190.5</v>
      </c>
      <c r="H553" s="189"/>
      <c r="I553" s="71"/>
      <c r="J553" s="1"/>
      <c r="K553" s="190"/>
      <c r="L553" s="4"/>
      <c r="M553" s="4"/>
    </row>
    <row r="554" spans="1:13" ht="16.5" customHeight="1">
      <c r="A554" s="15"/>
      <c r="B554" s="66" t="s">
        <v>84</v>
      </c>
      <c r="C554" s="422"/>
      <c r="D554" s="188"/>
      <c r="E554" s="188"/>
      <c r="F554" s="189">
        <v>21185630.5</v>
      </c>
      <c r="G554" s="189">
        <v>21193430.5</v>
      </c>
      <c r="H554" s="189"/>
      <c r="I554" s="71"/>
      <c r="J554" s="1"/>
      <c r="K554" s="190"/>
      <c r="L554" s="4"/>
      <c r="M554" s="4"/>
    </row>
    <row r="555" spans="1:13" ht="16.5" customHeight="1">
      <c r="A555" s="97"/>
      <c r="B555" s="97"/>
      <c r="C555" s="187"/>
      <c r="D555" s="188"/>
      <c r="E555" s="188"/>
      <c r="F555" s="189"/>
      <c r="G555" s="189"/>
      <c r="H555" s="139"/>
      <c r="I555" s="71"/>
      <c r="J555" s="1"/>
      <c r="K555" s="190"/>
      <c r="L555" s="4"/>
      <c r="M555" s="4"/>
    </row>
    <row r="556" spans="1:13" ht="16.5" customHeight="1">
      <c r="A556" s="97"/>
      <c r="B556" s="97"/>
      <c r="C556" s="187"/>
      <c r="D556" s="188"/>
      <c r="E556" s="188"/>
      <c r="F556" s="189"/>
      <c r="G556" s="188"/>
      <c r="H556" s="139"/>
      <c r="I556" s="71"/>
      <c r="J556" s="1"/>
      <c r="K556" s="190"/>
      <c r="L556" s="4"/>
      <c r="M556" s="4"/>
    </row>
    <row r="557" spans="1:13" ht="16.5" customHeight="1">
      <c r="A557" s="97" t="s">
        <v>327</v>
      </c>
      <c r="B557" s="97"/>
      <c r="C557" s="187"/>
      <c r="D557" s="188"/>
      <c r="E557" s="188"/>
      <c r="F557" s="189"/>
      <c r="G557" s="188"/>
      <c r="H557" s="139"/>
      <c r="I557" s="71"/>
      <c r="J557" s="1"/>
      <c r="K557" s="190"/>
      <c r="L557" s="4"/>
      <c r="M557" s="4"/>
    </row>
    <row r="558" spans="1:13" ht="16.5" customHeight="1">
      <c r="A558" s="97"/>
      <c r="B558" s="97"/>
      <c r="C558" s="187"/>
      <c r="D558" s="188"/>
      <c r="E558" s="188"/>
      <c r="F558" s="189"/>
      <c r="G558" s="188"/>
      <c r="H558" s="139"/>
      <c r="I558" s="71"/>
      <c r="J558" s="1"/>
      <c r="K558" s="190"/>
      <c r="L558" s="4"/>
      <c r="M558" s="4"/>
    </row>
    <row r="559" spans="1:13" ht="18" customHeight="1">
      <c r="A559" s="191" t="s">
        <v>326</v>
      </c>
      <c r="B559" s="191"/>
      <c r="C559" s="192"/>
      <c r="D559" s="193"/>
      <c r="E559" s="193"/>
      <c r="F559" s="194"/>
      <c r="G559" s="193"/>
      <c r="H559" s="17"/>
      <c r="I559" s="71"/>
      <c r="J559" s="1"/>
      <c r="K559" s="190"/>
      <c r="L559" s="4"/>
      <c r="M559" s="4"/>
    </row>
    <row r="560" spans="1:13" ht="18" customHeight="1">
      <c r="A560" s="191"/>
      <c r="B560" s="191"/>
      <c r="C560" s="192"/>
      <c r="D560" s="193"/>
      <c r="E560" s="193"/>
      <c r="F560" s="194"/>
      <c r="G560" s="193"/>
      <c r="H560" s="17"/>
      <c r="I560" s="71"/>
      <c r="J560" s="1"/>
      <c r="K560" s="190"/>
      <c r="L560" s="4"/>
      <c r="M560" s="4"/>
    </row>
    <row r="561" spans="1:13" ht="18" customHeight="1">
      <c r="A561" s="80"/>
      <c r="B561" s="138"/>
      <c r="C561" s="185"/>
      <c r="D561" s="186"/>
      <c r="E561" s="15"/>
      <c r="F561" s="15"/>
      <c r="G561" s="15"/>
      <c r="H561" s="17"/>
      <c r="I561" s="71"/>
      <c r="J561" s="1"/>
      <c r="K561" s="190"/>
      <c r="L561" s="4"/>
      <c r="M561" s="4"/>
    </row>
    <row r="562" spans="1:13" ht="16.5" customHeight="1">
      <c r="A562" s="97" t="s">
        <v>550</v>
      </c>
      <c r="B562" s="97"/>
      <c r="C562" s="187"/>
      <c r="D562" s="188"/>
      <c r="E562" s="188"/>
      <c r="F562" s="189"/>
      <c r="G562" s="188"/>
      <c r="H562" s="139"/>
      <c r="I562" s="71"/>
      <c r="J562" s="1"/>
      <c r="K562" s="190"/>
      <c r="L562" s="4"/>
      <c r="M562" s="4"/>
    </row>
    <row r="563" spans="1:13" ht="18.75">
      <c r="A563" s="191"/>
      <c r="B563" s="191"/>
      <c r="C563" s="192"/>
      <c r="D563" s="193"/>
      <c r="E563" s="193"/>
      <c r="F563" s="194"/>
      <c r="G563" s="193"/>
      <c r="H563" s="17"/>
      <c r="I563" s="195"/>
      <c r="J563" s="1"/>
      <c r="K563" s="190"/>
      <c r="L563" s="2"/>
      <c r="M563" s="2"/>
    </row>
    <row r="564" spans="1:13" ht="18.75">
      <c r="A564" s="191" t="s">
        <v>335</v>
      </c>
      <c r="B564" s="191"/>
      <c r="C564" s="192"/>
      <c r="D564" s="193"/>
      <c r="E564" s="193"/>
      <c r="F564" s="194"/>
      <c r="G564" s="193"/>
      <c r="I564" s="195"/>
      <c r="J564" s="1"/>
      <c r="K564" s="190"/>
      <c r="L564" s="2"/>
      <c r="M564" s="2"/>
    </row>
    <row r="565" spans="1:13" ht="18.75">
      <c r="A565" s="191"/>
      <c r="B565" s="191"/>
      <c r="C565" s="192"/>
      <c r="D565" s="193"/>
      <c r="E565" s="193"/>
      <c r="F565" s="194"/>
      <c r="G565" s="193"/>
      <c r="I565" s="195"/>
      <c r="J565" s="1"/>
      <c r="K565" s="190"/>
      <c r="L565" s="2"/>
      <c r="M565" s="2"/>
    </row>
    <row r="566" spans="1:13" ht="18.75">
      <c r="A566" s="191"/>
      <c r="B566" s="191"/>
      <c r="C566" s="192"/>
      <c r="D566" s="193"/>
      <c r="E566" s="193"/>
      <c r="F566" s="194"/>
      <c r="G566" s="193"/>
      <c r="I566" s="195"/>
      <c r="J566" s="1"/>
      <c r="K566" s="190"/>
      <c r="L566" s="2"/>
      <c r="M566" s="2"/>
    </row>
    <row r="567" spans="1:13" ht="18.75">
      <c r="A567" s="191"/>
      <c r="B567" s="191"/>
      <c r="C567" s="192"/>
      <c r="D567" s="193"/>
      <c r="E567" s="193"/>
      <c r="F567" s="194"/>
      <c r="G567" s="193"/>
      <c r="I567" s="195"/>
      <c r="J567" s="1"/>
      <c r="K567" s="190"/>
      <c r="L567" s="2"/>
      <c r="M567" s="2"/>
    </row>
    <row r="568" spans="1:11" ht="18.75">
      <c r="A568" s="94"/>
      <c r="B568" s="94"/>
      <c r="C568" s="95"/>
      <c r="D568" s="196"/>
      <c r="E568" s="196"/>
      <c r="F568" s="197" t="s">
        <v>336</v>
      </c>
      <c r="G568" s="196"/>
      <c r="I568" s="71"/>
      <c r="K568" s="73"/>
    </row>
    <row r="569" spans="1:11" ht="18.75">
      <c r="A569" s="94"/>
      <c r="B569" s="94"/>
      <c r="C569" s="95"/>
      <c r="D569" s="196"/>
      <c r="E569" s="196"/>
      <c r="F569" s="197" t="s">
        <v>337</v>
      </c>
      <c r="G569" s="196"/>
      <c r="I569" s="71"/>
      <c r="K569" s="73"/>
    </row>
    <row r="570" spans="1:11" ht="18.75">
      <c r="A570" s="94"/>
      <c r="B570" s="94"/>
      <c r="C570" s="95"/>
      <c r="D570" s="196"/>
      <c r="E570" s="196"/>
      <c r="F570" s="197"/>
      <c r="G570" s="196"/>
      <c r="I570" s="71"/>
      <c r="K570" s="73"/>
    </row>
    <row r="571" spans="1:11" ht="19.5">
      <c r="A571" s="94"/>
      <c r="B571" s="94"/>
      <c r="C571" s="95"/>
      <c r="D571" s="196"/>
      <c r="E571" s="196"/>
      <c r="F571" s="198" t="s">
        <v>815</v>
      </c>
      <c r="G571" s="196"/>
      <c r="I571" s="71"/>
      <c r="K571" s="73"/>
    </row>
    <row r="572" spans="1:11" ht="18.75">
      <c r="A572" s="67"/>
      <c r="B572" s="67"/>
      <c r="C572" s="67"/>
      <c r="I572" s="71"/>
      <c r="K572" s="73"/>
    </row>
    <row r="573" spans="1:11" ht="18.75">
      <c r="A573" s="67"/>
      <c r="B573" s="67"/>
      <c r="C573" s="67"/>
      <c r="I573" s="71"/>
      <c r="K573" s="73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ignoredErrors>
    <ignoredError sqref="B341 E3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6"/>
  <sheetViews>
    <sheetView zoomScalePageLayoutView="0" workbookViewId="0" topLeftCell="A217">
      <selection activeCell="E235" sqref="E235"/>
    </sheetView>
  </sheetViews>
  <sheetFormatPr defaultColWidth="9.140625" defaultRowHeight="12.75"/>
  <cols>
    <col min="1" max="1" width="3.7109375" style="62" customWidth="1"/>
    <col min="2" max="2" width="5.140625" style="62" customWidth="1"/>
    <col min="3" max="3" width="6.57421875" style="62" customWidth="1"/>
    <col min="4" max="4" width="5.28125" style="62" customWidth="1"/>
    <col min="5" max="5" width="26.28125" style="62" customWidth="1"/>
    <col min="6" max="6" width="14.7109375" style="62" customWidth="1"/>
    <col min="7" max="7" width="13.421875" style="62" customWidth="1"/>
    <col min="8" max="8" width="23.28125" style="62" customWidth="1"/>
    <col min="9" max="9" width="12.421875" style="62" customWidth="1"/>
    <col min="10" max="10" width="12.28125" style="62" customWidth="1"/>
    <col min="11" max="11" width="8.421875" style="62" customWidth="1"/>
    <col min="12" max="12" width="8.140625" style="62" customWidth="1"/>
    <col min="13" max="13" width="15.140625" style="62" customWidth="1"/>
    <col min="14" max="14" width="20.8515625" style="62" customWidth="1"/>
    <col min="15" max="15" width="14.7109375" style="62" customWidth="1"/>
    <col min="16" max="16384" width="9.140625" style="62" customWidth="1"/>
  </cols>
  <sheetData>
    <row r="1" spans="1:12" ht="20.25">
      <c r="A1" s="208"/>
      <c r="B1" s="209"/>
      <c r="C1" s="209"/>
      <c r="D1" s="208"/>
      <c r="E1" s="210"/>
      <c r="F1" s="210"/>
      <c r="G1" s="210"/>
      <c r="H1" s="211" t="s">
        <v>344</v>
      </c>
      <c r="I1" s="2"/>
      <c r="J1" s="2"/>
      <c r="K1" s="212"/>
      <c r="L1" s="212"/>
    </row>
    <row r="2" spans="1:12" ht="18.75">
      <c r="A2" s="208"/>
      <c r="B2" s="209"/>
      <c r="C2" s="209"/>
      <c r="D2" s="208"/>
      <c r="E2" s="210"/>
      <c r="F2" s="210"/>
      <c r="G2" s="210"/>
      <c r="H2" s="213" t="s">
        <v>779</v>
      </c>
      <c r="I2" s="2"/>
      <c r="J2" s="2"/>
      <c r="K2" s="212"/>
      <c r="L2" s="212"/>
    </row>
    <row r="3" spans="1:12" ht="18.75">
      <c r="A3" s="208"/>
      <c r="B3" s="209"/>
      <c r="C3" s="209"/>
      <c r="D3" s="208"/>
      <c r="E3" s="210"/>
      <c r="F3" s="210"/>
      <c r="G3" s="210"/>
      <c r="H3" s="213" t="s">
        <v>780</v>
      </c>
      <c r="I3" s="2"/>
      <c r="J3" s="214"/>
      <c r="K3" s="212"/>
      <c r="L3" s="212"/>
    </row>
    <row r="4" spans="1:12" ht="18.75">
      <c r="A4" s="208"/>
      <c r="B4" s="209"/>
      <c r="C4" s="209"/>
      <c r="D4" s="208"/>
      <c r="E4" s="210"/>
      <c r="F4" s="210"/>
      <c r="G4" s="210"/>
      <c r="H4" s="701" t="s">
        <v>423</v>
      </c>
      <c r="I4" s="2"/>
      <c r="J4" s="215"/>
      <c r="K4" s="212"/>
      <c r="L4" s="212"/>
    </row>
    <row r="5" spans="1:12" ht="12.75">
      <c r="A5" s="208"/>
      <c r="B5" s="209"/>
      <c r="C5" s="209"/>
      <c r="D5" s="208"/>
      <c r="E5" s="210"/>
      <c r="F5" s="210"/>
      <c r="G5" s="210"/>
      <c r="H5" s="216"/>
      <c r="I5" s="2"/>
      <c r="J5" s="2"/>
      <c r="K5" s="212"/>
      <c r="L5" s="212"/>
    </row>
    <row r="6" spans="1:12" ht="19.5">
      <c r="A6" s="208"/>
      <c r="B6" s="217"/>
      <c r="C6" s="218" t="s">
        <v>345</v>
      </c>
      <c r="D6" s="219"/>
      <c r="E6" s="220"/>
      <c r="F6" s="220"/>
      <c r="G6" s="220"/>
      <c r="H6" s="221"/>
      <c r="I6" s="222"/>
      <c r="J6" s="222"/>
      <c r="K6" s="223"/>
      <c r="L6" s="223"/>
    </row>
    <row r="7" spans="1:12" ht="19.5">
      <c r="A7" s="208"/>
      <c r="B7" s="217"/>
      <c r="C7" s="218"/>
      <c r="D7" s="219"/>
      <c r="E7" s="220"/>
      <c r="F7" s="220"/>
      <c r="G7" s="220"/>
      <c r="H7" s="221"/>
      <c r="I7" s="222"/>
      <c r="J7" s="224"/>
      <c r="K7" s="223"/>
      <c r="L7" s="223"/>
    </row>
    <row r="8" spans="1:12" ht="18.75">
      <c r="A8" s="208"/>
      <c r="B8" s="217"/>
      <c r="C8" s="225"/>
      <c r="D8" s="219"/>
      <c r="E8" s="220"/>
      <c r="F8" s="220"/>
      <c r="G8" s="220"/>
      <c r="H8" s="221"/>
      <c r="I8" s="222"/>
      <c r="J8" s="222"/>
      <c r="K8" s="223"/>
      <c r="L8" s="223"/>
    </row>
    <row r="9" spans="1:12" ht="12.75">
      <c r="A9" s="208"/>
      <c r="B9" s="217" t="s">
        <v>252</v>
      </c>
      <c r="C9" s="226"/>
      <c r="D9" s="227"/>
      <c r="E9" s="220"/>
      <c r="F9" s="220"/>
      <c r="G9" s="220"/>
      <c r="H9" s="228"/>
      <c r="I9" s="229" t="s">
        <v>346</v>
      </c>
      <c r="J9" s="229"/>
      <c r="K9" s="230"/>
      <c r="L9" s="230"/>
    </row>
    <row r="10" spans="1:12" ht="18.75" customHeight="1">
      <c r="A10" s="231"/>
      <c r="B10" s="232"/>
      <c r="C10" s="233"/>
      <c r="D10" s="233"/>
      <c r="E10" s="234"/>
      <c r="F10" s="235"/>
      <c r="G10" s="236"/>
      <c r="H10" s="234"/>
      <c r="I10" s="237" t="s">
        <v>347</v>
      </c>
      <c r="J10" s="236"/>
      <c r="K10" s="238" t="s">
        <v>252</v>
      </c>
      <c r="L10" s="238"/>
    </row>
    <row r="11" spans="1:12" ht="48" customHeight="1">
      <c r="A11" s="239" t="s">
        <v>348</v>
      </c>
      <c r="B11" s="240" t="s">
        <v>349</v>
      </c>
      <c r="C11" s="241" t="s">
        <v>260</v>
      </c>
      <c r="D11" s="241" t="s">
        <v>255</v>
      </c>
      <c r="E11" s="242" t="s">
        <v>350</v>
      </c>
      <c r="F11" s="243" t="s">
        <v>351</v>
      </c>
      <c r="G11" s="244" t="s">
        <v>352</v>
      </c>
      <c r="H11" s="245" t="s">
        <v>353</v>
      </c>
      <c r="I11" s="246"/>
      <c r="J11" s="247" t="s">
        <v>251</v>
      </c>
      <c r="K11" s="248" t="s">
        <v>354</v>
      </c>
      <c r="L11" s="248" t="s">
        <v>355</v>
      </c>
    </row>
    <row r="12" spans="1:15" ht="36.75" customHeight="1">
      <c r="A12" s="249"/>
      <c r="B12" s="250"/>
      <c r="C12" s="251"/>
      <c r="D12" s="251"/>
      <c r="E12" s="252"/>
      <c r="F12" s="253"/>
      <c r="G12" s="254" t="s">
        <v>356</v>
      </c>
      <c r="H12" s="253"/>
      <c r="I12" s="255" t="s">
        <v>356</v>
      </c>
      <c r="J12" s="256" t="s">
        <v>357</v>
      </c>
      <c r="K12" s="257"/>
      <c r="L12" s="257"/>
      <c r="N12" s="536"/>
      <c r="O12" s="536"/>
    </row>
    <row r="13" spans="1:15" ht="21" customHeight="1">
      <c r="A13" s="258"/>
      <c r="B13" s="259" t="s">
        <v>358</v>
      </c>
      <c r="C13" s="260"/>
      <c r="D13" s="261"/>
      <c r="E13" s="262"/>
      <c r="F13" s="263">
        <f>F14+F47+F62+F59+F72+F79+F82+F114+F119+F134+F165+F169</f>
        <v>53371481.510000005</v>
      </c>
      <c r="G13" s="263">
        <f>G14+G47+G62+G59+G72+G79+G82+G114+G119+G134+G165+G169</f>
        <v>4994337.02</v>
      </c>
      <c r="H13" s="263"/>
      <c r="I13" s="263">
        <f>I14+I47+I62+I59+I72+I79+I82+I114+I119+I134+I165+I169</f>
        <v>33924912.66</v>
      </c>
      <c r="J13" s="263">
        <f>J14+J47+J62+J59+J72+J79+J82+J114+J119+J134+J165+J169</f>
        <v>5144220.48</v>
      </c>
      <c r="K13" s="264"/>
      <c r="L13" s="265"/>
      <c r="N13" s="537"/>
      <c r="O13" s="537"/>
    </row>
    <row r="14" spans="1:15" ht="19.5" customHeight="1">
      <c r="A14" s="231"/>
      <c r="B14" s="267">
        <v>600</v>
      </c>
      <c r="C14" s="268"/>
      <c r="D14" s="269"/>
      <c r="E14" s="270" t="s">
        <v>359</v>
      </c>
      <c r="F14" s="271">
        <f>F15+F17</f>
        <v>23338919.55</v>
      </c>
      <c r="G14" s="271">
        <f>G15+G17</f>
        <v>726010.05</v>
      </c>
      <c r="H14" s="271"/>
      <c r="I14" s="271">
        <f>I15+I17</f>
        <v>14615052.45</v>
      </c>
      <c r="J14" s="271">
        <f>J15+J17</f>
        <v>2933220.48</v>
      </c>
      <c r="K14" s="265"/>
      <c r="L14" s="265"/>
      <c r="N14" s="538"/>
      <c r="O14" s="538"/>
    </row>
    <row r="15" spans="1:15" s="403" customFormat="1" ht="19.5" customHeight="1">
      <c r="A15" s="308"/>
      <c r="B15" s="309"/>
      <c r="C15" s="274">
        <v>60004</v>
      </c>
      <c r="D15" s="275"/>
      <c r="E15" s="546" t="s">
        <v>73</v>
      </c>
      <c r="F15" s="547">
        <f>F16</f>
        <v>20000</v>
      </c>
      <c r="G15" s="547">
        <f>G16</f>
        <v>0</v>
      </c>
      <c r="H15" s="547"/>
      <c r="I15" s="547">
        <f>I16</f>
        <v>20000</v>
      </c>
      <c r="J15" s="547">
        <f>J16</f>
        <v>0</v>
      </c>
      <c r="K15" s="278"/>
      <c r="L15" s="278"/>
      <c r="N15" s="548"/>
      <c r="O15" s="548"/>
    </row>
    <row r="16" spans="1:15" s="531" customFormat="1" ht="29.25" customHeight="1">
      <c r="A16" s="239">
        <v>1</v>
      </c>
      <c r="B16" s="305"/>
      <c r="C16" s="249"/>
      <c r="D16" s="298">
        <v>6050</v>
      </c>
      <c r="E16" s="553" t="s">
        <v>72</v>
      </c>
      <c r="F16" s="290">
        <v>20000</v>
      </c>
      <c r="G16" s="290"/>
      <c r="H16" s="290" t="s">
        <v>74</v>
      </c>
      <c r="I16" s="290">
        <v>20000</v>
      </c>
      <c r="J16" s="290"/>
      <c r="K16" s="265" t="s">
        <v>469</v>
      </c>
      <c r="L16" s="265">
        <v>2013</v>
      </c>
      <c r="N16" s="545"/>
      <c r="O16" s="545"/>
    </row>
    <row r="17" spans="1:12" ht="18" customHeight="1">
      <c r="A17" s="249"/>
      <c r="B17" s="273"/>
      <c r="C17" s="274">
        <v>60016</v>
      </c>
      <c r="D17" s="275"/>
      <c r="E17" s="276" t="s">
        <v>360</v>
      </c>
      <c r="F17" s="277">
        <f>SUM(F18:F46)</f>
        <v>23318919.55</v>
      </c>
      <c r="G17" s="277">
        <f>SUM(G18:G46)</f>
        <v>726010.05</v>
      </c>
      <c r="H17" s="277"/>
      <c r="I17" s="277">
        <f>SUM(I18:I46)</f>
        <v>14595052.45</v>
      </c>
      <c r="J17" s="277">
        <f>SUM(J18:J46)</f>
        <v>2933220.48</v>
      </c>
      <c r="K17" s="278"/>
      <c r="L17" s="278"/>
    </row>
    <row r="18" spans="1:14" s="287" customFormat="1" ht="30" customHeight="1">
      <c r="A18" s="279">
        <v>2</v>
      </c>
      <c r="B18" s="280"/>
      <c r="C18" s="281"/>
      <c r="D18" s="282">
        <v>6050</v>
      </c>
      <c r="E18" s="283" t="s">
        <v>361</v>
      </c>
      <c r="F18" s="284">
        <f>1530000-121577</f>
        <v>1408423</v>
      </c>
      <c r="G18" s="284">
        <v>220000</v>
      </c>
      <c r="H18" s="285" t="s">
        <v>444</v>
      </c>
      <c r="I18" s="284">
        <f>1310000-121577</f>
        <v>1188423</v>
      </c>
      <c r="J18" s="284">
        <f>585000-288000-88150-121577</f>
        <v>87273</v>
      </c>
      <c r="K18" s="265" t="s">
        <v>445</v>
      </c>
      <c r="L18" s="265" t="s">
        <v>446</v>
      </c>
      <c r="M18" s="286"/>
      <c r="N18" s="286"/>
    </row>
    <row r="19" spans="1:14" s="287" customFormat="1" ht="27.75" customHeight="1">
      <c r="A19" s="279">
        <v>3</v>
      </c>
      <c r="B19" s="280"/>
      <c r="C19" s="281"/>
      <c r="D19" s="282">
        <v>6050</v>
      </c>
      <c r="E19" s="283" t="s">
        <v>447</v>
      </c>
      <c r="F19" s="284">
        <f>1500000-100000-13000-65543.95</f>
        <v>1321456.05</v>
      </c>
      <c r="G19" s="284">
        <f>1000000-13000-359457.92-163032.03</f>
        <v>464510.05000000005</v>
      </c>
      <c r="H19" s="285" t="s">
        <v>448</v>
      </c>
      <c r="I19" s="284">
        <f>500000-100000+163032.03+359457.92-65543.95</f>
        <v>856946</v>
      </c>
      <c r="J19" s="284">
        <f>480000-100000-314456.05-65543.95</f>
        <v>0</v>
      </c>
      <c r="K19" s="265" t="s">
        <v>445</v>
      </c>
      <c r="L19" s="265" t="s">
        <v>446</v>
      </c>
      <c r="M19" s="286"/>
      <c r="N19" s="286"/>
    </row>
    <row r="20" spans="1:13" s="287" customFormat="1" ht="24" customHeight="1">
      <c r="A20" s="279">
        <v>4</v>
      </c>
      <c r="B20" s="280"/>
      <c r="C20" s="281"/>
      <c r="D20" s="282">
        <v>6050</v>
      </c>
      <c r="E20" s="283" t="s">
        <v>449</v>
      </c>
      <c r="F20" s="284">
        <f>1500000+601000</f>
        <v>2101000</v>
      </c>
      <c r="G20" s="284">
        <v>0</v>
      </c>
      <c r="H20" s="285" t="s">
        <v>450</v>
      </c>
      <c r="I20" s="284">
        <f>601000+1500000</f>
        <v>2101000</v>
      </c>
      <c r="J20" s="284">
        <f>120000+119110</f>
        <v>239110</v>
      </c>
      <c r="K20" s="265" t="s">
        <v>445</v>
      </c>
      <c r="L20" s="265" t="s">
        <v>446</v>
      </c>
      <c r="M20" s="286"/>
    </row>
    <row r="21" spans="1:14" s="287" customFormat="1" ht="26.25" customHeight="1">
      <c r="A21" s="279">
        <v>5</v>
      </c>
      <c r="B21" s="280"/>
      <c r="C21" s="281"/>
      <c r="D21" s="282">
        <v>6050</v>
      </c>
      <c r="E21" s="283" t="s">
        <v>451</v>
      </c>
      <c r="F21" s="284">
        <v>4500000</v>
      </c>
      <c r="G21" s="284">
        <v>0</v>
      </c>
      <c r="H21" s="285" t="s">
        <v>450</v>
      </c>
      <c r="I21" s="284">
        <f>1500000-1400000-13000+1400000-130000+130000</f>
        <v>1487000</v>
      </c>
      <c r="J21" s="284">
        <f>200000+683800-6500-23500-753800-13000+753800-182000</f>
        <v>658800</v>
      </c>
      <c r="K21" s="265" t="s">
        <v>445</v>
      </c>
      <c r="L21" s="265" t="s">
        <v>452</v>
      </c>
      <c r="M21" s="286"/>
      <c r="N21" s="286"/>
    </row>
    <row r="22" spans="1:14" s="287" customFormat="1" ht="28.5" customHeight="1">
      <c r="A22" s="279">
        <v>6</v>
      </c>
      <c r="B22" s="280"/>
      <c r="C22" s="281"/>
      <c r="D22" s="282">
        <v>6050</v>
      </c>
      <c r="E22" s="283" t="s">
        <v>453</v>
      </c>
      <c r="F22" s="284">
        <f>150000+82043.95+78175</f>
        <v>310218.95</v>
      </c>
      <c r="G22" s="284">
        <v>26500</v>
      </c>
      <c r="H22" s="285" t="s">
        <v>454</v>
      </c>
      <c r="I22" s="284">
        <f>123500+82043.95+78175</f>
        <v>283718.95</v>
      </c>
      <c r="J22" s="284">
        <f>23500+82043.95</f>
        <v>105543.95</v>
      </c>
      <c r="K22" s="265" t="s">
        <v>445</v>
      </c>
      <c r="L22" s="265" t="s">
        <v>446</v>
      </c>
      <c r="M22" s="286"/>
      <c r="N22" s="286"/>
    </row>
    <row r="23" spans="1:13" s="287" customFormat="1" ht="37.5" customHeight="1">
      <c r="A23" s="279">
        <v>7</v>
      </c>
      <c r="B23" s="280"/>
      <c r="C23" s="281"/>
      <c r="D23" s="282">
        <v>6050</v>
      </c>
      <c r="E23" s="283" t="s">
        <v>455</v>
      </c>
      <c r="F23" s="284">
        <f>100000-3000</f>
        <v>97000</v>
      </c>
      <c r="G23" s="284">
        <v>10000</v>
      </c>
      <c r="H23" s="285" t="s">
        <v>456</v>
      </c>
      <c r="I23" s="284">
        <f>90000-3000</f>
        <v>87000</v>
      </c>
      <c r="J23" s="284">
        <v>0</v>
      </c>
      <c r="K23" s="265" t="s">
        <v>445</v>
      </c>
      <c r="L23" s="265" t="s">
        <v>446</v>
      </c>
      <c r="M23" s="286"/>
    </row>
    <row r="24" spans="1:13" s="287" customFormat="1" ht="49.5" customHeight="1">
      <c r="A24" s="279">
        <v>8</v>
      </c>
      <c r="B24" s="280"/>
      <c r="C24" s="281"/>
      <c r="D24" s="282">
        <v>6050</v>
      </c>
      <c r="E24" s="288" t="s">
        <v>461</v>
      </c>
      <c r="F24" s="284">
        <f>30000+3000+47000</f>
        <v>80000</v>
      </c>
      <c r="G24" s="284">
        <v>5000</v>
      </c>
      <c r="H24" s="285" t="s">
        <v>462</v>
      </c>
      <c r="I24" s="284">
        <f>25000+3000+47000</f>
        <v>75000</v>
      </c>
      <c r="J24" s="284">
        <v>0</v>
      </c>
      <c r="K24" s="265" t="s">
        <v>445</v>
      </c>
      <c r="L24" s="265" t="s">
        <v>446</v>
      </c>
      <c r="M24" s="286"/>
    </row>
    <row r="25" spans="1:13" s="287" customFormat="1" ht="31.5" customHeight="1">
      <c r="A25" s="279">
        <v>9</v>
      </c>
      <c r="B25" s="280"/>
      <c r="C25" s="281"/>
      <c r="D25" s="282">
        <v>6050</v>
      </c>
      <c r="E25" s="289" t="s">
        <v>463</v>
      </c>
      <c r="F25" s="290">
        <f>570000-106000-1291-4500</f>
        <v>458209</v>
      </c>
      <c r="G25" s="290">
        <v>0</v>
      </c>
      <c r="H25" s="291" t="s">
        <v>464</v>
      </c>
      <c r="I25" s="290">
        <f>570000-106000-1291-4500</f>
        <v>458209</v>
      </c>
      <c r="J25" s="290">
        <f>100000-30960</f>
        <v>69040</v>
      </c>
      <c r="K25" s="265" t="s">
        <v>445</v>
      </c>
      <c r="L25" s="265">
        <v>2013</v>
      </c>
      <c r="M25" s="286"/>
    </row>
    <row r="26" spans="1:13" s="287" customFormat="1" ht="66" customHeight="1">
      <c r="A26" s="279">
        <v>10</v>
      </c>
      <c r="B26" s="280"/>
      <c r="C26" s="281"/>
      <c r="D26" s="282">
        <v>6050</v>
      </c>
      <c r="E26" s="289" t="s">
        <v>465</v>
      </c>
      <c r="F26" s="290">
        <f>1500000+1857.05+130000</f>
        <v>1631857.05</v>
      </c>
      <c r="G26" s="290">
        <v>0</v>
      </c>
      <c r="H26" s="291" t="s">
        <v>466</v>
      </c>
      <c r="I26" s="290">
        <f>1500000-600000+600000+130000</f>
        <v>1630000</v>
      </c>
      <c r="J26" s="290">
        <v>200000</v>
      </c>
      <c r="K26" s="265" t="s">
        <v>445</v>
      </c>
      <c r="L26" s="265" t="s">
        <v>810</v>
      </c>
      <c r="M26" s="286"/>
    </row>
    <row r="27" spans="1:14" s="287" customFormat="1" ht="39" customHeight="1">
      <c r="A27" s="279">
        <v>11</v>
      </c>
      <c r="B27" s="292"/>
      <c r="C27" s="293"/>
      <c r="D27" s="282">
        <v>6050</v>
      </c>
      <c r="E27" s="294" t="s">
        <v>467</v>
      </c>
      <c r="F27" s="295">
        <f>100000+100000</f>
        <v>200000</v>
      </c>
      <c r="G27" s="295">
        <v>0</v>
      </c>
      <c r="H27" s="291" t="s">
        <v>468</v>
      </c>
      <c r="I27" s="290">
        <f>100000+100000</f>
        <v>200000</v>
      </c>
      <c r="J27" s="290">
        <v>0</v>
      </c>
      <c r="K27" s="265" t="s">
        <v>469</v>
      </c>
      <c r="L27" s="265">
        <v>2013</v>
      </c>
      <c r="M27" s="286"/>
      <c r="N27" s="286"/>
    </row>
    <row r="28" spans="1:13" s="287" customFormat="1" ht="35.25" customHeight="1">
      <c r="A28" s="279">
        <v>12</v>
      </c>
      <c r="B28" s="292"/>
      <c r="C28" s="293"/>
      <c r="D28" s="282">
        <v>6050</v>
      </c>
      <c r="E28" s="294" t="s">
        <v>470</v>
      </c>
      <c r="F28" s="295">
        <f>800000-15000-16500-73675-130000</f>
        <v>564825</v>
      </c>
      <c r="G28" s="295"/>
      <c r="H28" s="291" t="s">
        <v>471</v>
      </c>
      <c r="I28" s="290">
        <f>800000-15000-16500-73675-130000</f>
        <v>564825</v>
      </c>
      <c r="J28" s="290">
        <f>500000-300000-16500-130000</f>
        <v>53500</v>
      </c>
      <c r="K28" s="265" t="s">
        <v>445</v>
      </c>
      <c r="L28" s="265">
        <v>2013</v>
      </c>
      <c r="M28" s="286"/>
    </row>
    <row r="29" spans="1:12" s="287" customFormat="1" ht="42.75" customHeight="1">
      <c r="A29" s="279">
        <v>13</v>
      </c>
      <c r="B29" s="292"/>
      <c r="C29" s="293"/>
      <c r="D29" s="282">
        <v>6050</v>
      </c>
      <c r="E29" s="294" t="s">
        <v>472</v>
      </c>
      <c r="F29" s="295">
        <f>100000-50000</f>
        <v>50000</v>
      </c>
      <c r="G29" s="295"/>
      <c r="H29" s="291" t="s">
        <v>473</v>
      </c>
      <c r="I29" s="290">
        <f>100000-50000</f>
        <v>50000</v>
      </c>
      <c r="J29" s="290"/>
      <c r="K29" s="265" t="s">
        <v>445</v>
      </c>
      <c r="L29" s="265">
        <v>2013</v>
      </c>
    </row>
    <row r="30" spans="1:14" s="287" customFormat="1" ht="53.25" customHeight="1">
      <c r="A30" s="279">
        <v>14</v>
      </c>
      <c r="B30" s="292"/>
      <c r="C30" s="293"/>
      <c r="D30" s="282">
        <v>6050</v>
      </c>
      <c r="E30" s="294" t="s">
        <v>474</v>
      </c>
      <c r="F30" s="295">
        <f>50000+1291</f>
        <v>51291</v>
      </c>
      <c r="G30" s="295"/>
      <c r="H30" s="291" t="s">
        <v>473</v>
      </c>
      <c r="I30" s="290">
        <f>1291+50000</f>
        <v>51291</v>
      </c>
      <c r="J30" s="290"/>
      <c r="K30" s="265" t="s">
        <v>445</v>
      </c>
      <c r="L30" s="265">
        <v>2013</v>
      </c>
      <c r="N30" s="286"/>
    </row>
    <row r="31" spans="1:14" s="287" customFormat="1" ht="42" customHeight="1">
      <c r="A31" s="279">
        <v>15</v>
      </c>
      <c r="B31" s="292"/>
      <c r="C31" s="293"/>
      <c r="D31" s="282">
        <v>6050</v>
      </c>
      <c r="E31" s="294" t="s">
        <v>81</v>
      </c>
      <c r="F31" s="295">
        <v>2500000</v>
      </c>
      <c r="G31" s="295"/>
      <c r="H31" s="285" t="s">
        <v>448</v>
      </c>
      <c r="I31" s="290">
        <v>1000000</v>
      </c>
      <c r="J31" s="290">
        <v>500000</v>
      </c>
      <c r="K31" s="265" t="s">
        <v>445</v>
      </c>
      <c r="L31" s="265" t="s">
        <v>810</v>
      </c>
      <c r="N31" s="286"/>
    </row>
    <row r="32" spans="1:12" s="287" customFormat="1" ht="37.5" customHeight="1">
      <c r="A32" s="279">
        <v>16</v>
      </c>
      <c r="B32" s="292"/>
      <c r="C32" s="293"/>
      <c r="D32" s="282">
        <v>6050</v>
      </c>
      <c r="E32" s="294" t="s">
        <v>85</v>
      </c>
      <c r="F32" s="710">
        <v>100000</v>
      </c>
      <c r="G32" s="295"/>
      <c r="H32" s="291" t="s">
        <v>473</v>
      </c>
      <c r="I32" s="709">
        <f>100000-90000</f>
        <v>10000</v>
      </c>
      <c r="J32" s="290"/>
      <c r="K32" s="265" t="s">
        <v>445</v>
      </c>
      <c r="L32" s="265" t="s">
        <v>810</v>
      </c>
    </row>
    <row r="33" spans="1:12" s="287" customFormat="1" ht="27.75" customHeight="1">
      <c r="A33" s="279">
        <v>17</v>
      </c>
      <c r="B33" s="292"/>
      <c r="C33" s="293"/>
      <c r="D33" s="282">
        <v>6050</v>
      </c>
      <c r="E33" s="294" t="s">
        <v>86</v>
      </c>
      <c r="F33" s="295">
        <v>50000</v>
      </c>
      <c r="G33" s="295"/>
      <c r="H33" s="291" t="s">
        <v>651</v>
      </c>
      <c r="I33" s="290">
        <v>50000</v>
      </c>
      <c r="J33" s="290"/>
      <c r="K33" s="265" t="s">
        <v>445</v>
      </c>
      <c r="L33" s="265">
        <v>2013</v>
      </c>
    </row>
    <row r="34" spans="1:12" s="287" customFormat="1" ht="33" customHeight="1">
      <c r="A34" s="279">
        <v>18</v>
      </c>
      <c r="B34" s="292"/>
      <c r="C34" s="293"/>
      <c r="D34" s="282">
        <v>6050</v>
      </c>
      <c r="E34" s="294" t="s">
        <v>98</v>
      </c>
      <c r="F34" s="295">
        <v>2900000</v>
      </c>
      <c r="G34" s="295"/>
      <c r="H34" s="285" t="s">
        <v>448</v>
      </c>
      <c r="I34" s="290">
        <v>900000</v>
      </c>
      <c r="J34" s="290">
        <v>500000</v>
      </c>
      <c r="K34" s="265" t="s">
        <v>445</v>
      </c>
      <c r="L34" s="265" t="s">
        <v>810</v>
      </c>
    </row>
    <row r="35" spans="1:12" s="287" customFormat="1" ht="57.75" customHeight="1">
      <c r="A35" s="279">
        <v>19</v>
      </c>
      <c r="B35" s="292"/>
      <c r="C35" s="293"/>
      <c r="D35" s="282">
        <v>6050</v>
      </c>
      <c r="E35" s="294" t="s">
        <v>858</v>
      </c>
      <c r="F35" s="710">
        <f>20000-5000</f>
        <v>15000</v>
      </c>
      <c r="G35" s="295"/>
      <c r="H35" s="291" t="s">
        <v>473</v>
      </c>
      <c r="I35" s="709">
        <f>20000-5000</f>
        <v>15000</v>
      </c>
      <c r="J35" s="290"/>
      <c r="K35" s="265" t="s">
        <v>445</v>
      </c>
      <c r="L35" s="265">
        <v>2013</v>
      </c>
    </row>
    <row r="36" spans="1:12" s="287" customFormat="1" ht="61.5" customHeight="1">
      <c r="A36" s="279">
        <v>20</v>
      </c>
      <c r="B36" s="292"/>
      <c r="C36" s="293"/>
      <c r="D36" s="282">
        <v>6050</v>
      </c>
      <c r="E36" s="294" t="s">
        <v>19</v>
      </c>
      <c r="F36" s="295">
        <v>85000</v>
      </c>
      <c r="G36" s="295"/>
      <c r="H36" s="291" t="s">
        <v>473</v>
      </c>
      <c r="I36" s="290">
        <v>85000</v>
      </c>
      <c r="J36" s="290"/>
      <c r="K36" s="265" t="s">
        <v>469</v>
      </c>
      <c r="L36" s="265">
        <v>2013</v>
      </c>
    </row>
    <row r="37" spans="1:12" s="287" customFormat="1" ht="33.75" customHeight="1">
      <c r="A37" s="279">
        <v>21</v>
      </c>
      <c r="B37" s="292"/>
      <c r="C37" s="293"/>
      <c r="D37" s="282">
        <v>6050</v>
      </c>
      <c r="E37" s="294" t="s">
        <v>857</v>
      </c>
      <c r="F37" s="295">
        <f>900000+703798</f>
        <v>1603798</v>
      </c>
      <c r="G37" s="295"/>
      <c r="H37" s="285" t="s">
        <v>448</v>
      </c>
      <c r="I37" s="290">
        <f>900000+703798</f>
        <v>1603798</v>
      </c>
      <c r="J37" s="290">
        <f>432154.48-0.95+87800</f>
        <v>519953.52999999997</v>
      </c>
      <c r="K37" s="265" t="s">
        <v>469</v>
      </c>
      <c r="L37" s="265">
        <v>2013</v>
      </c>
    </row>
    <row r="38" spans="1:12" s="287" customFormat="1" ht="41.25" customHeight="1">
      <c r="A38" s="279">
        <v>22</v>
      </c>
      <c r="B38" s="292"/>
      <c r="C38" s="293"/>
      <c r="D38" s="282">
        <v>6050</v>
      </c>
      <c r="E38" s="294" t="s">
        <v>737</v>
      </c>
      <c r="F38" s="295">
        <v>50000</v>
      </c>
      <c r="G38" s="295"/>
      <c r="H38" s="291" t="s">
        <v>473</v>
      </c>
      <c r="I38" s="290">
        <v>50000</v>
      </c>
      <c r="J38" s="290"/>
      <c r="K38" s="265" t="s">
        <v>445</v>
      </c>
      <c r="L38" s="265">
        <v>2013</v>
      </c>
    </row>
    <row r="39" spans="1:12" s="287" customFormat="1" ht="58.5" customHeight="1">
      <c r="A39" s="279">
        <v>23</v>
      </c>
      <c r="B39" s="292"/>
      <c r="C39" s="293"/>
      <c r="D39" s="282">
        <v>6050</v>
      </c>
      <c r="E39" s="294" t="s">
        <v>78</v>
      </c>
      <c r="F39" s="295">
        <v>350000</v>
      </c>
      <c r="G39" s="295"/>
      <c r="H39" s="291" t="s">
        <v>473</v>
      </c>
      <c r="I39" s="290">
        <v>350000</v>
      </c>
      <c r="J39" s="290"/>
      <c r="K39" s="265" t="s">
        <v>77</v>
      </c>
      <c r="L39" s="265">
        <v>2013</v>
      </c>
    </row>
    <row r="40" spans="1:12" s="287" customFormat="1" ht="51" customHeight="1">
      <c r="A40" s="279">
        <v>24</v>
      </c>
      <c r="B40" s="292"/>
      <c r="C40" s="293"/>
      <c r="D40" s="282">
        <v>6050</v>
      </c>
      <c r="E40" s="294" t="s">
        <v>142</v>
      </c>
      <c r="F40" s="295">
        <v>2200000</v>
      </c>
      <c r="G40" s="295"/>
      <c r="H40" s="285" t="s">
        <v>448</v>
      </c>
      <c r="I40" s="290">
        <v>1000000</v>
      </c>
      <c r="J40" s="290"/>
      <c r="K40" s="265" t="s">
        <v>445</v>
      </c>
      <c r="L40" s="265" t="s">
        <v>810</v>
      </c>
    </row>
    <row r="41" spans="1:12" s="287" customFormat="1" ht="74.25" customHeight="1">
      <c r="A41" s="279">
        <v>25</v>
      </c>
      <c r="B41" s="292"/>
      <c r="C41" s="293"/>
      <c r="D41" s="282">
        <v>6050</v>
      </c>
      <c r="E41" s="294" t="s">
        <v>756</v>
      </c>
      <c r="F41" s="710">
        <f>100000+60000</f>
        <v>160000</v>
      </c>
      <c r="G41" s="295"/>
      <c r="H41" s="291" t="s">
        <v>473</v>
      </c>
      <c r="I41" s="709">
        <f>100000-88000</f>
        <v>12000</v>
      </c>
      <c r="J41" s="290"/>
      <c r="K41" s="265" t="s">
        <v>445</v>
      </c>
      <c r="L41" s="265" t="s">
        <v>810</v>
      </c>
    </row>
    <row r="42" spans="1:12" s="287" customFormat="1" ht="36" customHeight="1">
      <c r="A42" s="279">
        <v>26</v>
      </c>
      <c r="B42" s="292"/>
      <c r="C42" s="293"/>
      <c r="D42" s="282">
        <v>6050</v>
      </c>
      <c r="E42" s="294" t="s">
        <v>110</v>
      </c>
      <c r="F42" s="295">
        <v>300000</v>
      </c>
      <c r="G42" s="295"/>
      <c r="H42" s="291" t="s">
        <v>745</v>
      </c>
      <c r="I42" s="290">
        <v>300000</v>
      </c>
      <c r="J42" s="290"/>
      <c r="K42" s="265" t="s">
        <v>469</v>
      </c>
      <c r="L42" s="265">
        <v>2013</v>
      </c>
    </row>
    <row r="43" spans="1:12" s="287" customFormat="1" ht="50.25" customHeight="1">
      <c r="A43" s="279">
        <v>27</v>
      </c>
      <c r="B43" s="292"/>
      <c r="C43" s="293"/>
      <c r="D43" s="282">
        <v>6050</v>
      </c>
      <c r="E43" s="294" t="s">
        <v>2</v>
      </c>
      <c r="F43" s="710">
        <v>50000</v>
      </c>
      <c r="G43" s="295"/>
      <c r="H43" s="291" t="s">
        <v>473</v>
      </c>
      <c r="I43" s="709">
        <f>30000-25000</f>
        <v>5000</v>
      </c>
      <c r="J43" s="290"/>
      <c r="K43" s="265" t="s">
        <v>445</v>
      </c>
      <c r="L43" s="265" t="s">
        <v>810</v>
      </c>
    </row>
    <row r="44" spans="1:12" s="287" customFormat="1" ht="50.25" customHeight="1">
      <c r="A44" s="279">
        <v>28</v>
      </c>
      <c r="B44" s="292"/>
      <c r="C44" s="293"/>
      <c r="D44" s="282">
        <v>6050</v>
      </c>
      <c r="E44" s="294" t="s">
        <v>729</v>
      </c>
      <c r="F44" s="295">
        <v>15000</v>
      </c>
      <c r="G44" s="295"/>
      <c r="H44" s="291" t="s">
        <v>652</v>
      </c>
      <c r="I44" s="290">
        <v>15000</v>
      </c>
      <c r="J44" s="290"/>
      <c r="K44" s="265" t="s">
        <v>445</v>
      </c>
      <c r="L44" s="265">
        <v>2013</v>
      </c>
    </row>
    <row r="45" spans="1:12" s="287" customFormat="1" ht="69.75" customHeight="1">
      <c r="A45" s="279">
        <v>29</v>
      </c>
      <c r="B45" s="292"/>
      <c r="C45" s="293"/>
      <c r="D45" s="282">
        <v>6050</v>
      </c>
      <c r="E45" s="294" t="s">
        <v>460</v>
      </c>
      <c r="F45" s="295">
        <v>60000</v>
      </c>
      <c r="G45" s="295"/>
      <c r="H45" s="291" t="s">
        <v>473</v>
      </c>
      <c r="I45" s="290">
        <v>60000</v>
      </c>
      <c r="J45" s="290"/>
      <c r="K45" s="265" t="s">
        <v>469</v>
      </c>
      <c r="L45" s="265">
        <v>2013</v>
      </c>
    </row>
    <row r="46" spans="1:12" ht="38.25" customHeight="1">
      <c r="A46" s="296">
        <v>30</v>
      </c>
      <c r="B46" s="297"/>
      <c r="C46" s="239"/>
      <c r="D46" s="298">
        <v>6050</v>
      </c>
      <c r="E46" s="294" t="s">
        <v>475</v>
      </c>
      <c r="F46" s="710">
        <f>85000+65000-44158.5</f>
        <v>105841.5</v>
      </c>
      <c r="G46" s="295">
        <v>0</v>
      </c>
      <c r="H46" s="291" t="s">
        <v>476</v>
      </c>
      <c r="I46" s="718">
        <f>65000+85000-44158.5</f>
        <v>105841.5</v>
      </c>
      <c r="J46" s="299">
        <v>0</v>
      </c>
      <c r="K46" s="265" t="s">
        <v>469</v>
      </c>
      <c r="L46" s="265">
        <v>2013</v>
      </c>
    </row>
    <row r="47" spans="1:12" ht="21.75" customHeight="1">
      <c r="A47" s="300"/>
      <c r="B47" s="268">
        <v>700</v>
      </c>
      <c r="C47" s="268"/>
      <c r="D47" s="269"/>
      <c r="E47" s="301" t="s">
        <v>477</v>
      </c>
      <c r="F47" s="302">
        <f>F48+F51</f>
        <v>3028034.1</v>
      </c>
      <c r="G47" s="302">
        <f>G48+G51</f>
        <v>190433.05</v>
      </c>
      <c r="H47" s="302"/>
      <c r="I47" s="302">
        <f>I48+I51</f>
        <v>1934368.05</v>
      </c>
      <c r="J47" s="302">
        <f>J48+J51</f>
        <v>285000</v>
      </c>
      <c r="K47" s="265"/>
      <c r="L47" s="265"/>
    </row>
    <row r="48" spans="1:12" ht="27" customHeight="1">
      <c r="A48" s="296"/>
      <c r="B48" s="303"/>
      <c r="C48" s="304">
        <v>70005</v>
      </c>
      <c r="D48" s="275"/>
      <c r="E48" s="276" t="s">
        <v>478</v>
      </c>
      <c r="F48" s="277">
        <f>SUM(F49:F50)</f>
        <v>1683682.1</v>
      </c>
      <c r="G48" s="277">
        <f>SUM(G49:G50)</f>
        <v>190433.05</v>
      </c>
      <c r="H48" s="277"/>
      <c r="I48" s="277">
        <f>SUM(I49:I50)</f>
        <v>1163249.05</v>
      </c>
      <c r="J48" s="277">
        <f>SUM(J49:J50)</f>
        <v>0</v>
      </c>
      <c r="K48" s="278"/>
      <c r="L48" s="278"/>
    </row>
    <row r="49" spans="1:12" s="531" customFormat="1" ht="32.25" customHeight="1">
      <c r="A49" s="296">
        <v>31</v>
      </c>
      <c r="B49" s="239"/>
      <c r="C49" s="305"/>
      <c r="D49" s="298">
        <v>6050</v>
      </c>
      <c r="E49" s="294" t="s">
        <v>70</v>
      </c>
      <c r="F49" s="710">
        <f>2700+15000</f>
        <v>17700</v>
      </c>
      <c r="G49" s="295"/>
      <c r="H49" s="295" t="s">
        <v>76</v>
      </c>
      <c r="I49" s="710">
        <f>2700+15000</f>
        <v>17700</v>
      </c>
      <c r="J49" s="295"/>
      <c r="K49" s="265" t="s">
        <v>75</v>
      </c>
      <c r="L49" s="265">
        <v>2013</v>
      </c>
    </row>
    <row r="50" spans="1:12" ht="109.5" customHeight="1">
      <c r="A50" s="296">
        <v>32</v>
      </c>
      <c r="B50" s="239"/>
      <c r="C50" s="305"/>
      <c r="D50" s="298">
        <v>6060</v>
      </c>
      <c r="E50" s="294" t="s">
        <v>479</v>
      </c>
      <c r="F50" s="295">
        <f>1611982.1+550000+4000-500000</f>
        <v>1665982.1</v>
      </c>
      <c r="G50" s="295">
        <v>190433.05</v>
      </c>
      <c r="H50" s="285" t="s">
        <v>738</v>
      </c>
      <c r="I50" s="306">
        <f>1091549.05+550000+4000-500000</f>
        <v>1145549.05</v>
      </c>
      <c r="J50" s="306">
        <v>0</v>
      </c>
      <c r="K50" s="307" t="s">
        <v>480</v>
      </c>
      <c r="L50" s="307" t="s">
        <v>481</v>
      </c>
    </row>
    <row r="51" spans="1:12" ht="24.75" customHeight="1">
      <c r="A51" s="296"/>
      <c r="B51" s="308"/>
      <c r="C51" s="309">
        <v>70095</v>
      </c>
      <c r="D51" s="310"/>
      <c r="E51" s="276" t="s">
        <v>482</v>
      </c>
      <c r="F51" s="277">
        <f>SUM(F52:F58)</f>
        <v>1344352</v>
      </c>
      <c r="G51" s="277">
        <f>SUM(G52:G58)</f>
        <v>0</v>
      </c>
      <c r="H51" s="277"/>
      <c r="I51" s="277">
        <f>SUM(I52:I58)</f>
        <v>771119</v>
      </c>
      <c r="J51" s="277">
        <f>SUM(J52:J58)</f>
        <v>285000</v>
      </c>
      <c r="K51" s="278"/>
      <c r="L51" s="278"/>
    </row>
    <row r="52" spans="1:12" s="382" customFormat="1" ht="42.75" customHeight="1">
      <c r="A52" s="296">
        <v>33</v>
      </c>
      <c r="B52" s="239"/>
      <c r="C52" s="305"/>
      <c r="D52" s="296">
        <v>6050</v>
      </c>
      <c r="E52" s="283" t="s">
        <v>483</v>
      </c>
      <c r="F52" s="295">
        <v>65000</v>
      </c>
      <c r="G52" s="295">
        <v>0</v>
      </c>
      <c r="H52" s="285" t="s">
        <v>484</v>
      </c>
      <c r="I52" s="306">
        <v>65000</v>
      </c>
      <c r="J52" s="306">
        <v>0</v>
      </c>
      <c r="K52" s="307" t="s">
        <v>343</v>
      </c>
      <c r="L52" s="307">
        <v>2013</v>
      </c>
    </row>
    <row r="53" spans="1:12" s="382" customFormat="1" ht="64.5" customHeight="1">
      <c r="A53" s="249">
        <v>34</v>
      </c>
      <c r="B53" s="239"/>
      <c r="C53" s="305"/>
      <c r="D53" s="296">
        <v>6050</v>
      </c>
      <c r="E53" s="336" t="s">
        <v>811</v>
      </c>
      <c r="F53" s="337">
        <v>155000</v>
      </c>
      <c r="G53" s="337"/>
      <c r="H53" s="336" t="s">
        <v>814</v>
      </c>
      <c r="I53" s="393">
        <v>155000</v>
      </c>
      <c r="J53" s="393">
        <v>155000</v>
      </c>
      <c r="K53" s="307" t="s">
        <v>343</v>
      </c>
      <c r="L53" s="307">
        <v>2013</v>
      </c>
    </row>
    <row r="54" spans="1:12" s="382" customFormat="1" ht="54" customHeight="1">
      <c r="A54" s="249">
        <v>35</v>
      </c>
      <c r="B54" s="239"/>
      <c r="C54" s="305"/>
      <c r="D54" s="296">
        <v>6050</v>
      </c>
      <c r="E54" s="336" t="s">
        <v>630</v>
      </c>
      <c r="F54" s="337">
        <f>23233+550000</f>
        <v>573233</v>
      </c>
      <c r="G54" s="337"/>
      <c r="H54" s="392" t="s">
        <v>653</v>
      </c>
      <c r="I54" s="711">
        <v>0</v>
      </c>
      <c r="J54" s="393"/>
      <c r="K54" s="307" t="s">
        <v>445</v>
      </c>
      <c r="L54" s="702" t="s">
        <v>810</v>
      </c>
    </row>
    <row r="55" spans="1:12" s="382" customFormat="1" ht="76.5" customHeight="1">
      <c r="A55" s="249">
        <v>36</v>
      </c>
      <c r="B55" s="239"/>
      <c r="C55" s="305"/>
      <c r="D55" s="713">
        <v>6050</v>
      </c>
      <c r="E55" s="714" t="s">
        <v>558</v>
      </c>
      <c r="F55" s="715">
        <v>43419</v>
      </c>
      <c r="G55" s="715"/>
      <c r="H55" s="716"/>
      <c r="I55" s="711">
        <v>43419</v>
      </c>
      <c r="J55" s="711"/>
      <c r="K55" s="702" t="s">
        <v>445</v>
      </c>
      <c r="L55" s="702">
        <v>2013</v>
      </c>
    </row>
    <row r="56" spans="1:12" s="382" customFormat="1" ht="58.5" customHeight="1">
      <c r="A56" s="296">
        <v>37</v>
      </c>
      <c r="B56" s="239"/>
      <c r="C56" s="305"/>
      <c r="D56" s="296">
        <v>6050</v>
      </c>
      <c r="E56" s="283" t="s">
        <v>6</v>
      </c>
      <c r="F56" s="400">
        <v>185000</v>
      </c>
      <c r="G56" s="337"/>
      <c r="H56" s="392" t="s">
        <v>695</v>
      </c>
      <c r="I56" s="393">
        <v>185000</v>
      </c>
      <c r="J56" s="393"/>
      <c r="K56" s="307" t="s">
        <v>445</v>
      </c>
      <c r="L56" s="307">
        <v>2013</v>
      </c>
    </row>
    <row r="57" spans="1:12" s="382" customFormat="1" ht="56.25" customHeight="1">
      <c r="A57" s="296">
        <v>38</v>
      </c>
      <c r="B57" s="239"/>
      <c r="C57" s="305"/>
      <c r="D57" s="296">
        <v>6050</v>
      </c>
      <c r="E57" s="283" t="s">
        <v>631</v>
      </c>
      <c r="F57" s="400">
        <f>50000+130000</f>
        <v>180000</v>
      </c>
      <c r="G57" s="337"/>
      <c r="H57" s="392" t="s">
        <v>634</v>
      </c>
      <c r="I57" s="393">
        <f>50000+130000</f>
        <v>180000</v>
      </c>
      <c r="J57" s="393">
        <v>130000</v>
      </c>
      <c r="K57" s="307" t="s">
        <v>445</v>
      </c>
      <c r="L57" s="307">
        <v>2013</v>
      </c>
    </row>
    <row r="58" spans="1:12" s="382" customFormat="1" ht="57" customHeight="1">
      <c r="A58" s="296">
        <v>39</v>
      </c>
      <c r="B58" s="239"/>
      <c r="C58" s="305"/>
      <c r="D58" s="231">
        <v>6050</v>
      </c>
      <c r="E58" s="421" t="s">
        <v>813</v>
      </c>
      <c r="F58" s="569">
        <v>142700</v>
      </c>
      <c r="G58" s="337"/>
      <c r="H58" s="291" t="s">
        <v>473</v>
      </c>
      <c r="I58" s="393">
        <v>142700</v>
      </c>
      <c r="J58" s="393"/>
      <c r="K58" s="307" t="s">
        <v>445</v>
      </c>
      <c r="L58" s="307">
        <v>2013</v>
      </c>
    </row>
    <row r="59" spans="1:12" s="579" customFormat="1" ht="30" customHeight="1">
      <c r="A59" s="575"/>
      <c r="B59" s="576">
        <v>710</v>
      </c>
      <c r="C59" s="575"/>
      <c r="D59" s="575"/>
      <c r="E59" s="577" t="s">
        <v>784</v>
      </c>
      <c r="F59" s="585">
        <f>F60</f>
        <v>20000</v>
      </c>
      <c r="G59" s="585">
        <f>G60</f>
        <v>0</v>
      </c>
      <c r="H59" s="585"/>
      <c r="I59" s="585">
        <f>I60</f>
        <v>20000</v>
      </c>
      <c r="J59" s="585">
        <f>J60</f>
        <v>0</v>
      </c>
      <c r="K59" s="578"/>
      <c r="L59" s="578"/>
    </row>
    <row r="60" spans="1:12" s="584" customFormat="1" ht="23.25" customHeight="1">
      <c r="A60" s="580"/>
      <c r="B60" s="580"/>
      <c r="C60" s="581">
        <v>71035</v>
      </c>
      <c r="D60" s="581"/>
      <c r="E60" s="582" t="s">
        <v>3</v>
      </c>
      <c r="F60" s="586">
        <f>F61</f>
        <v>20000</v>
      </c>
      <c r="G60" s="586">
        <f>G61</f>
        <v>0</v>
      </c>
      <c r="H60" s="586"/>
      <c r="I60" s="586">
        <f>I61</f>
        <v>20000</v>
      </c>
      <c r="J60" s="586">
        <f>J61</f>
        <v>0</v>
      </c>
      <c r="K60" s="583"/>
      <c r="L60" s="583"/>
    </row>
    <row r="61" spans="1:12" s="571" customFormat="1" ht="57" customHeight="1">
      <c r="A61" s="607">
        <v>40</v>
      </c>
      <c r="B61" s="572"/>
      <c r="C61" s="573"/>
      <c r="D61" s="574">
        <v>6050</v>
      </c>
      <c r="E61" s="608" t="s">
        <v>4</v>
      </c>
      <c r="F61" s="588">
        <v>20000</v>
      </c>
      <c r="G61" s="587"/>
      <c r="H61" s="589" t="s">
        <v>5</v>
      </c>
      <c r="I61" s="588">
        <v>20000</v>
      </c>
      <c r="J61" s="559"/>
      <c r="K61" s="570" t="s">
        <v>759</v>
      </c>
      <c r="L61" s="605">
        <v>2013</v>
      </c>
    </row>
    <row r="62" spans="1:12" ht="23.25" customHeight="1">
      <c r="A62" s="326"/>
      <c r="B62" s="268">
        <v>750</v>
      </c>
      <c r="C62" s="268"/>
      <c r="D62" s="269"/>
      <c r="E62" s="347" t="s">
        <v>485</v>
      </c>
      <c r="F62" s="313">
        <f>F63+F68</f>
        <v>4492600</v>
      </c>
      <c r="G62" s="313">
        <f>G63+G68</f>
        <v>540000</v>
      </c>
      <c r="H62" s="313"/>
      <c r="I62" s="313">
        <f>I63+I68</f>
        <v>3002600</v>
      </c>
      <c r="J62" s="313">
        <f>J63+J68</f>
        <v>0</v>
      </c>
      <c r="K62" s="264"/>
      <c r="L62" s="265"/>
    </row>
    <row r="63" spans="1:12" ht="30.75" customHeight="1">
      <c r="A63" s="314"/>
      <c r="B63" s="303"/>
      <c r="C63" s="273">
        <v>75023</v>
      </c>
      <c r="D63" s="310"/>
      <c r="E63" s="316" t="s">
        <v>486</v>
      </c>
      <c r="F63" s="317">
        <f>SUM(F64:F67)</f>
        <v>312600</v>
      </c>
      <c r="G63" s="317">
        <f>SUM(G64:G67)</f>
        <v>0</v>
      </c>
      <c r="H63" s="317"/>
      <c r="I63" s="317">
        <f>SUM(I64:I67)</f>
        <v>312600</v>
      </c>
      <c r="J63" s="317">
        <f>SUM(J64:J67)</f>
        <v>0</v>
      </c>
      <c r="K63" s="278"/>
      <c r="L63" s="278"/>
    </row>
    <row r="64" spans="1:14" s="531" customFormat="1" ht="107.25" customHeight="1">
      <c r="A64" s="239">
        <v>41</v>
      </c>
      <c r="C64" s="231"/>
      <c r="D64" s="366">
        <v>6050</v>
      </c>
      <c r="E64" s="283" t="s">
        <v>100</v>
      </c>
      <c r="F64" s="400">
        <f>165000-20000</f>
        <v>145000</v>
      </c>
      <c r="G64" s="400"/>
      <c r="H64" s="693" t="s">
        <v>91</v>
      </c>
      <c r="I64" s="400">
        <f>165000-20000</f>
        <v>145000</v>
      </c>
      <c r="J64" s="400"/>
      <c r="K64" s="265" t="s">
        <v>489</v>
      </c>
      <c r="L64" s="265">
        <v>2013</v>
      </c>
      <c r="N64" s="554"/>
    </row>
    <row r="65" spans="1:12" s="531" customFormat="1" ht="50.25" customHeight="1">
      <c r="A65" s="239">
        <v>42</v>
      </c>
      <c r="C65" s="239"/>
      <c r="D65" s="366">
        <v>6050</v>
      </c>
      <c r="E65" s="535" t="s">
        <v>275</v>
      </c>
      <c r="F65" s="321">
        <v>20000</v>
      </c>
      <c r="G65" s="321"/>
      <c r="H65" s="694" t="s">
        <v>92</v>
      </c>
      <c r="I65" s="321">
        <v>20000</v>
      </c>
      <c r="J65" s="321"/>
      <c r="K65" s="265" t="s">
        <v>489</v>
      </c>
      <c r="L65" s="265">
        <v>2013</v>
      </c>
    </row>
    <row r="66" spans="1:12" s="531" customFormat="1" ht="50.25" customHeight="1">
      <c r="A66" s="239">
        <v>43</v>
      </c>
      <c r="C66" s="239"/>
      <c r="D66" s="366">
        <v>6050</v>
      </c>
      <c r="E66" s="535" t="s">
        <v>143</v>
      </c>
      <c r="F66" s="321">
        <v>72000</v>
      </c>
      <c r="G66" s="321"/>
      <c r="H66" s="694" t="s">
        <v>696</v>
      </c>
      <c r="I66" s="321">
        <v>72000</v>
      </c>
      <c r="J66" s="321"/>
      <c r="K66" s="265" t="s">
        <v>445</v>
      </c>
      <c r="L66" s="265">
        <v>2013</v>
      </c>
    </row>
    <row r="67" spans="1:12" ht="38.25" customHeight="1">
      <c r="A67" s="314">
        <v>44</v>
      </c>
      <c r="B67" s="512"/>
      <c r="C67" s="456"/>
      <c r="D67" s="366">
        <v>6060</v>
      </c>
      <c r="E67" s="320" t="s">
        <v>487</v>
      </c>
      <c r="F67" s="685">
        <f>175000+3800+4800-80000+12000-40000</f>
        <v>75600</v>
      </c>
      <c r="G67" s="321">
        <v>0</v>
      </c>
      <c r="H67" s="322" t="s">
        <v>488</v>
      </c>
      <c r="I67" s="685">
        <f>175000+3800+4800-80000+12000-40000</f>
        <v>75600</v>
      </c>
      <c r="J67" s="323">
        <v>0</v>
      </c>
      <c r="K67" s="265" t="s">
        <v>489</v>
      </c>
      <c r="L67" s="324">
        <v>2013</v>
      </c>
    </row>
    <row r="68" spans="1:12" ht="26.25" customHeight="1">
      <c r="A68" s="314"/>
      <c r="B68" s="318"/>
      <c r="C68" s="274">
        <v>75095</v>
      </c>
      <c r="D68" s="310"/>
      <c r="E68" s="316" t="s">
        <v>482</v>
      </c>
      <c r="F68" s="317">
        <f>SUM(F69:F71)</f>
        <v>4180000</v>
      </c>
      <c r="G68" s="317">
        <f>SUM(G69:G71)</f>
        <v>540000</v>
      </c>
      <c r="H68" s="317"/>
      <c r="I68" s="317">
        <f>SUM(I69:I71)</f>
        <v>2690000</v>
      </c>
      <c r="J68" s="317">
        <f>SUM(J69:J71)</f>
        <v>0</v>
      </c>
      <c r="K68" s="278"/>
      <c r="L68" s="278"/>
    </row>
    <row r="69" spans="1:12" ht="38.25" customHeight="1">
      <c r="A69" s="314">
        <v>45</v>
      </c>
      <c r="B69" s="318"/>
      <c r="C69" s="273"/>
      <c r="D69" s="325">
        <v>6050</v>
      </c>
      <c r="E69" s="311" t="s">
        <v>490</v>
      </c>
      <c r="F69" s="295">
        <v>2440000</v>
      </c>
      <c r="G69" s="295">
        <v>540000</v>
      </c>
      <c r="H69" s="285" t="s">
        <v>491</v>
      </c>
      <c r="I69" s="306">
        <v>950000</v>
      </c>
      <c r="J69" s="306">
        <v>0</v>
      </c>
      <c r="K69" s="307" t="s">
        <v>445</v>
      </c>
      <c r="L69" s="307" t="s">
        <v>492</v>
      </c>
    </row>
    <row r="70" spans="1:12" ht="38.25" customHeight="1">
      <c r="A70" s="314">
        <v>46</v>
      </c>
      <c r="B70" s="318"/>
      <c r="C70" s="273"/>
      <c r="D70" s="325">
        <v>6050</v>
      </c>
      <c r="E70" s="311" t="s">
        <v>861</v>
      </c>
      <c r="F70" s="295">
        <v>70000</v>
      </c>
      <c r="G70" s="295"/>
      <c r="H70" s="291" t="s">
        <v>473</v>
      </c>
      <c r="I70" s="306">
        <v>70000</v>
      </c>
      <c r="J70" s="306"/>
      <c r="K70" s="307" t="s">
        <v>445</v>
      </c>
      <c r="L70" s="307">
        <v>2013</v>
      </c>
    </row>
    <row r="71" spans="1:12" ht="41.25" customHeight="1">
      <c r="A71" s="314">
        <v>47</v>
      </c>
      <c r="B71" s="318"/>
      <c r="C71" s="273"/>
      <c r="D71" s="325">
        <v>6050</v>
      </c>
      <c r="E71" s="311" t="s">
        <v>493</v>
      </c>
      <c r="F71" s="295">
        <f>1500000+170000</f>
        <v>1670000</v>
      </c>
      <c r="G71" s="295">
        <v>0</v>
      </c>
      <c r="H71" s="285" t="s">
        <v>494</v>
      </c>
      <c r="I71" s="306">
        <f>500000+1000000+170000</f>
        <v>1670000</v>
      </c>
      <c r="J71" s="306">
        <v>0</v>
      </c>
      <c r="K71" s="307" t="s">
        <v>445</v>
      </c>
      <c r="L71" s="307">
        <v>2013</v>
      </c>
    </row>
    <row r="72" spans="1:12" ht="33.75" customHeight="1">
      <c r="A72" s="326"/>
      <c r="B72" s="268">
        <v>754</v>
      </c>
      <c r="C72" s="268"/>
      <c r="D72" s="268"/>
      <c r="E72" s="327" t="s">
        <v>495</v>
      </c>
      <c r="F72" s="328">
        <f>F73+F75+F77</f>
        <v>71000</v>
      </c>
      <c r="G72" s="328">
        <f>G73+G75+G77</f>
        <v>0</v>
      </c>
      <c r="H72" s="328"/>
      <c r="I72" s="328">
        <f>I73+I75+I77</f>
        <v>71000</v>
      </c>
      <c r="J72" s="328">
        <f>J73+J75+J77</f>
        <v>0</v>
      </c>
      <c r="K72" s="265"/>
      <c r="L72" s="265"/>
    </row>
    <row r="73" spans="1:12" ht="21.75" customHeight="1">
      <c r="A73" s="314"/>
      <c r="B73" s="329"/>
      <c r="C73" s="309">
        <v>75412</v>
      </c>
      <c r="D73" s="309"/>
      <c r="E73" s="330" t="s">
        <v>496</v>
      </c>
      <c r="F73" s="331">
        <f>SUM(F74)</f>
        <v>5000</v>
      </c>
      <c r="G73" s="331">
        <f>SUM(G74)</f>
        <v>0</v>
      </c>
      <c r="H73" s="331"/>
      <c r="I73" s="331">
        <f>SUM(I74)</f>
        <v>5000</v>
      </c>
      <c r="J73" s="331">
        <f>SUM(J74)</f>
        <v>0</v>
      </c>
      <c r="K73" s="278"/>
      <c r="L73" s="278"/>
    </row>
    <row r="74" spans="1:12" ht="31.5" customHeight="1">
      <c r="A74" s="314">
        <v>48</v>
      </c>
      <c r="B74" s="332"/>
      <c r="C74" s="333"/>
      <c r="D74" s="325">
        <v>6060</v>
      </c>
      <c r="E74" s="294" t="s">
        <v>497</v>
      </c>
      <c r="F74" s="295">
        <v>5000</v>
      </c>
      <c r="G74" s="295"/>
      <c r="H74" s="291" t="s">
        <v>498</v>
      </c>
      <c r="I74" s="306">
        <v>5000</v>
      </c>
      <c r="J74" s="306"/>
      <c r="K74" s="265" t="s">
        <v>499</v>
      </c>
      <c r="L74" s="265">
        <v>2013</v>
      </c>
    </row>
    <row r="75" spans="1:12" ht="22.5" customHeight="1">
      <c r="A75" s="314"/>
      <c r="B75" s="329"/>
      <c r="C75" s="309">
        <v>75414</v>
      </c>
      <c r="D75" s="309"/>
      <c r="E75" s="330" t="s">
        <v>500</v>
      </c>
      <c r="F75" s="317">
        <f>SUM(F76)</f>
        <v>16000</v>
      </c>
      <c r="G75" s="317">
        <f>SUM(G76)</f>
        <v>0</v>
      </c>
      <c r="H75" s="317"/>
      <c r="I75" s="317">
        <f>SUM(I76)</f>
        <v>16000</v>
      </c>
      <c r="J75" s="317">
        <f>SUM(J76)</f>
        <v>0</v>
      </c>
      <c r="K75" s="278"/>
      <c r="L75" s="278"/>
    </row>
    <row r="76" spans="1:12" ht="48.75" customHeight="1">
      <c r="A76" s="314">
        <v>49</v>
      </c>
      <c r="B76" s="239"/>
      <c r="C76" s="333"/>
      <c r="D76" s="325">
        <v>6060</v>
      </c>
      <c r="E76" s="294" t="s">
        <v>497</v>
      </c>
      <c r="F76" s="295">
        <v>16000</v>
      </c>
      <c r="G76" s="295">
        <v>0</v>
      </c>
      <c r="H76" s="285" t="s">
        <v>501</v>
      </c>
      <c r="I76" s="334">
        <v>16000</v>
      </c>
      <c r="J76" s="334">
        <v>0</v>
      </c>
      <c r="K76" s="265" t="s">
        <v>499</v>
      </c>
      <c r="L76" s="265">
        <v>2013</v>
      </c>
    </row>
    <row r="77" spans="1:12" s="403" customFormat="1" ht="33" customHeight="1">
      <c r="A77" s="551"/>
      <c r="B77" s="308"/>
      <c r="C77" s="315">
        <v>75495</v>
      </c>
      <c r="D77" s="310"/>
      <c r="E77" s="316" t="s">
        <v>482</v>
      </c>
      <c r="F77" s="277">
        <f>F78</f>
        <v>50000</v>
      </c>
      <c r="G77" s="277">
        <f>G78</f>
        <v>0</v>
      </c>
      <c r="H77" s="277"/>
      <c r="I77" s="277">
        <f>I78</f>
        <v>50000</v>
      </c>
      <c r="J77" s="277">
        <f>J78</f>
        <v>0</v>
      </c>
      <c r="K77" s="278"/>
      <c r="L77" s="278"/>
    </row>
    <row r="78" spans="1:12" ht="48.75" customHeight="1">
      <c r="A78" s="258">
        <v>50</v>
      </c>
      <c r="B78" s="239"/>
      <c r="C78" s="333"/>
      <c r="D78" s="325">
        <v>6050</v>
      </c>
      <c r="E78" s="283" t="s">
        <v>99</v>
      </c>
      <c r="F78" s="400">
        <v>50000</v>
      </c>
      <c r="G78" s="400"/>
      <c r="H78" s="400" t="s">
        <v>20</v>
      </c>
      <c r="I78" s="400">
        <v>50000</v>
      </c>
      <c r="J78" s="400"/>
      <c r="K78" s="265" t="s">
        <v>21</v>
      </c>
      <c r="L78" s="265">
        <v>2013</v>
      </c>
    </row>
    <row r="79" spans="1:12" ht="21.75" customHeight="1">
      <c r="A79" s="513"/>
      <c r="B79" s="268">
        <v>758</v>
      </c>
      <c r="C79" s="268"/>
      <c r="D79" s="269"/>
      <c r="E79" s="301" t="s">
        <v>22</v>
      </c>
      <c r="F79" s="302">
        <f>F80</f>
        <v>96302</v>
      </c>
      <c r="G79" s="302">
        <f aca="true" t="shared" si="0" ref="G79:J80">G80</f>
        <v>0</v>
      </c>
      <c r="H79" s="302"/>
      <c r="I79" s="302">
        <f t="shared" si="0"/>
        <v>96302</v>
      </c>
      <c r="J79" s="302">
        <f t="shared" si="0"/>
        <v>0</v>
      </c>
      <c r="K79" s="265"/>
      <c r="L79" s="265"/>
    </row>
    <row r="80" spans="1:12" ht="22.5" customHeight="1">
      <c r="A80" s="514"/>
      <c r="B80" s="335"/>
      <c r="C80" s="315">
        <v>75818</v>
      </c>
      <c r="D80" s="310"/>
      <c r="E80" s="316" t="s">
        <v>23</v>
      </c>
      <c r="F80" s="317">
        <f>F81</f>
        <v>96302</v>
      </c>
      <c r="G80" s="317">
        <f t="shared" si="0"/>
        <v>0</v>
      </c>
      <c r="H80" s="317"/>
      <c r="I80" s="317">
        <f t="shared" si="0"/>
        <v>96302</v>
      </c>
      <c r="J80" s="317">
        <f t="shared" si="0"/>
        <v>0</v>
      </c>
      <c r="K80" s="278"/>
      <c r="L80" s="278"/>
    </row>
    <row r="81" spans="1:12" ht="32.25" customHeight="1">
      <c r="A81" s="514"/>
      <c r="B81" s="332"/>
      <c r="C81" s="333"/>
      <c r="D81" s="325">
        <v>6800</v>
      </c>
      <c r="E81" s="336" t="s">
        <v>502</v>
      </c>
      <c r="F81" s="337">
        <f>200000-85000-23233+23233+61802-30000-3500-47000</f>
        <v>96302</v>
      </c>
      <c r="G81" s="337"/>
      <c r="H81" s="285"/>
      <c r="I81" s="396">
        <f>200000-85000-23233+23233+61802-30000-3500-47000</f>
        <v>96302</v>
      </c>
      <c r="J81" s="334">
        <f>500000-500000</f>
        <v>0</v>
      </c>
      <c r="K81" s="265"/>
      <c r="L81" s="265"/>
    </row>
    <row r="82" spans="1:12" ht="24.75" customHeight="1">
      <c r="A82" s="338"/>
      <c r="B82" s="268">
        <v>801</v>
      </c>
      <c r="C82" s="333"/>
      <c r="D82" s="325"/>
      <c r="E82" s="312" t="s">
        <v>503</v>
      </c>
      <c r="F82" s="313">
        <f>F83+F93+F106+F109+F112</f>
        <v>8937358</v>
      </c>
      <c r="G82" s="313">
        <f>G83+G93+G106+G109+G112</f>
        <v>143284</v>
      </c>
      <c r="H82" s="313"/>
      <c r="I82" s="313">
        <f>I83+I93+I106+I109+I112</f>
        <v>8794074</v>
      </c>
      <c r="J82" s="313">
        <f>J83+J93+J106+J109+J112</f>
        <v>1021000</v>
      </c>
      <c r="K82" s="265"/>
      <c r="L82" s="265"/>
    </row>
    <row r="83" spans="1:12" ht="28.5" customHeight="1">
      <c r="A83" s="314"/>
      <c r="B83" s="329"/>
      <c r="C83" s="273">
        <v>80101</v>
      </c>
      <c r="D83" s="310"/>
      <c r="E83" s="316" t="s">
        <v>504</v>
      </c>
      <c r="F83" s="317">
        <f>SUM(F84:F92)</f>
        <v>1086399</v>
      </c>
      <c r="G83" s="317">
        <f>SUM(G84:G92)</f>
        <v>0</v>
      </c>
      <c r="H83" s="317"/>
      <c r="I83" s="317">
        <f>SUM(I84:I92)</f>
        <v>1086399</v>
      </c>
      <c r="J83" s="317">
        <f>SUM(J84:J92)</f>
        <v>0</v>
      </c>
      <c r="K83" s="278"/>
      <c r="L83" s="278"/>
    </row>
    <row r="84" spans="1:12" ht="55.5" customHeight="1">
      <c r="A84" s="314">
        <v>51</v>
      </c>
      <c r="B84" s="339"/>
      <c r="C84" s="231"/>
      <c r="D84" s="298">
        <v>6050</v>
      </c>
      <c r="E84" s="294" t="s">
        <v>505</v>
      </c>
      <c r="F84" s="295">
        <f>114000+1450+115450</f>
        <v>230900</v>
      </c>
      <c r="G84" s="295"/>
      <c r="H84" s="285" t="s">
        <v>506</v>
      </c>
      <c r="I84" s="295">
        <f>114000+1450+115450</f>
        <v>230900</v>
      </c>
      <c r="J84" s="334"/>
      <c r="K84" s="340" t="s">
        <v>854</v>
      </c>
      <c r="L84" s="307">
        <v>2013</v>
      </c>
    </row>
    <row r="85" spans="1:12" ht="57" customHeight="1">
      <c r="A85" s="314">
        <v>52</v>
      </c>
      <c r="B85" s="339"/>
      <c r="C85" s="239"/>
      <c r="D85" s="298">
        <v>6050</v>
      </c>
      <c r="E85" s="294" t="s">
        <v>118</v>
      </c>
      <c r="F85" s="295">
        <f>114000+1450+115450</f>
        <v>230900</v>
      </c>
      <c r="G85" s="295"/>
      <c r="H85" s="285" t="s">
        <v>506</v>
      </c>
      <c r="I85" s="295">
        <f>114000+1450+115450</f>
        <v>230900</v>
      </c>
      <c r="J85" s="299"/>
      <c r="K85" s="340" t="s">
        <v>855</v>
      </c>
      <c r="L85" s="307">
        <v>2013</v>
      </c>
    </row>
    <row r="86" spans="1:12" ht="54" customHeight="1">
      <c r="A86" s="314">
        <v>53</v>
      </c>
      <c r="B86" s="339"/>
      <c r="C86" s="239"/>
      <c r="D86" s="298">
        <v>6050</v>
      </c>
      <c r="E86" s="294" t="s">
        <v>128</v>
      </c>
      <c r="F86" s="295">
        <f>114000+1450+115450</f>
        <v>230900</v>
      </c>
      <c r="G86" s="295"/>
      <c r="H86" s="285" t="s">
        <v>506</v>
      </c>
      <c r="I86" s="295">
        <f>114000+1450+115450</f>
        <v>230900</v>
      </c>
      <c r="J86" s="299"/>
      <c r="K86" s="340" t="s">
        <v>855</v>
      </c>
      <c r="L86" s="307">
        <v>2013</v>
      </c>
    </row>
    <row r="87" spans="1:12" ht="57" customHeight="1">
      <c r="A87" s="314">
        <v>54</v>
      </c>
      <c r="B87" s="339"/>
      <c r="C87" s="239"/>
      <c r="D87" s="298">
        <v>6050</v>
      </c>
      <c r="E87" s="294" t="s">
        <v>129</v>
      </c>
      <c r="F87" s="295">
        <f>114000+1450+115450</f>
        <v>230900</v>
      </c>
      <c r="G87" s="295"/>
      <c r="H87" s="285" t="s">
        <v>506</v>
      </c>
      <c r="I87" s="295">
        <f>114000+1450+115450</f>
        <v>230900</v>
      </c>
      <c r="J87" s="299"/>
      <c r="K87" s="340" t="s">
        <v>856</v>
      </c>
      <c r="L87" s="307">
        <v>2013</v>
      </c>
    </row>
    <row r="88" spans="1:12" ht="44.25" customHeight="1">
      <c r="A88" s="314">
        <v>55</v>
      </c>
      <c r="B88" s="339"/>
      <c r="C88" s="239"/>
      <c r="D88" s="298">
        <v>6050</v>
      </c>
      <c r="E88" s="294" t="s">
        <v>507</v>
      </c>
      <c r="F88" s="295">
        <f>60000-23233</f>
        <v>36767</v>
      </c>
      <c r="G88" s="295"/>
      <c r="H88" s="291" t="s">
        <v>508</v>
      </c>
      <c r="I88" s="295">
        <f>60000-23233</f>
        <v>36767</v>
      </c>
      <c r="J88" s="299"/>
      <c r="K88" s="340" t="s">
        <v>445</v>
      </c>
      <c r="L88" s="307">
        <v>2013</v>
      </c>
    </row>
    <row r="89" spans="1:12" ht="44.25" customHeight="1">
      <c r="A89" s="314">
        <v>56</v>
      </c>
      <c r="B89" s="339"/>
      <c r="C89" s="239"/>
      <c r="D89" s="298">
        <v>6050</v>
      </c>
      <c r="E89" s="294" t="s">
        <v>739</v>
      </c>
      <c r="F89" s="295">
        <v>60000</v>
      </c>
      <c r="G89" s="295"/>
      <c r="H89" s="291" t="s">
        <v>740</v>
      </c>
      <c r="I89" s="295">
        <v>60000</v>
      </c>
      <c r="J89" s="299"/>
      <c r="K89" s="340" t="s">
        <v>535</v>
      </c>
      <c r="L89" s="307">
        <v>2013</v>
      </c>
    </row>
    <row r="90" spans="1:12" ht="44.25" customHeight="1">
      <c r="A90" s="314">
        <v>57</v>
      </c>
      <c r="B90" s="339"/>
      <c r="C90" s="239"/>
      <c r="D90" s="298">
        <v>6050</v>
      </c>
      <c r="E90" s="294" t="s">
        <v>846</v>
      </c>
      <c r="F90" s="295">
        <v>11032</v>
      </c>
      <c r="G90" s="295"/>
      <c r="H90" s="291" t="s">
        <v>654</v>
      </c>
      <c r="I90" s="295">
        <v>11032</v>
      </c>
      <c r="J90" s="299"/>
      <c r="K90" s="340" t="s">
        <v>854</v>
      </c>
      <c r="L90" s="307">
        <v>2013</v>
      </c>
    </row>
    <row r="91" spans="1:12" ht="52.5" customHeight="1">
      <c r="A91" s="314">
        <v>58</v>
      </c>
      <c r="B91" s="339"/>
      <c r="C91" s="239"/>
      <c r="D91" s="298">
        <v>6060</v>
      </c>
      <c r="E91" s="294" t="s">
        <v>24</v>
      </c>
      <c r="F91" s="295">
        <v>51000</v>
      </c>
      <c r="G91" s="295"/>
      <c r="H91" s="291" t="s">
        <v>362</v>
      </c>
      <c r="I91" s="295">
        <v>51000</v>
      </c>
      <c r="J91" s="299"/>
      <c r="K91" s="340" t="s">
        <v>25</v>
      </c>
      <c r="L91" s="307">
        <v>2013</v>
      </c>
    </row>
    <row r="92" spans="1:12" ht="39.75" customHeight="1">
      <c r="A92" s="314">
        <v>59</v>
      </c>
      <c r="B92" s="339"/>
      <c r="C92" s="239"/>
      <c r="D92" s="298">
        <v>6060</v>
      </c>
      <c r="E92" s="294" t="s">
        <v>273</v>
      </c>
      <c r="F92" s="295">
        <v>4000</v>
      </c>
      <c r="G92" s="295"/>
      <c r="H92" s="291" t="s">
        <v>93</v>
      </c>
      <c r="I92" s="295">
        <v>4000</v>
      </c>
      <c r="J92" s="299"/>
      <c r="K92" s="340" t="s">
        <v>274</v>
      </c>
      <c r="L92" s="307">
        <v>2013</v>
      </c>
    </row>
    <row r="93" spans="1:12" ht="25.5" customHeight="1">
      <c r="A93" s="314"/>
      <c r="B93" s="341"/>
      <c r="C93" s="309">
        <v>80104</v>
      </c>
      <c r="D93" s="275"/>
      <c r="E93" s="276" t="s">
        <v>510</v>
      </c>
      <c r="F93" s="277">
        <f>SUM(F94:F105)</f>
        <v>1230609</v>
      </c>
      <c r="G93" s="277">
        <f>SUM(G94:G105)</f>
        <v>130000</v>
      </c>
      <c r="H93" s="277"/>
      <c r="I93" s="277">
        <f>SUM(I94:I105)</f>
        <v>1100609</v>
      </c>
      <c r="J93" s="277">
        <f>SUM(J94:J105)</f>
        <v>180000</v>
      </c>
      <c r="K93" s="278"/>
      <c r="L93" s="278"/>
    </row>
    <row r="94" spans="1:12" ht="35.25" customHeight="1">
      <c r="A94" s="314">
        <v>60</v>
      </c>
      <c r="B94" s="341"/>
      <c r="C94" s="308"/>
      <c r="D94" s="298">
        <v>6050</v>
      </c>
      <c r="E94" s="294" t="s">
        <v>511</v>
      </c>
      <c r="F94" s="295">
        <f>660000+9041+9000+20000+40400</f>
        <v>738441</v>
      </c>
      <c r="G94" s="295">
        <v>130000</v>
      </c>
      <c r="H94" s="342" t="s">
        <v>512</v>
      </c>
      <c r="I94" s="295">
        <f>530000+9041+9000+20000+40400</f>
        <v>608441</v>
      </c>
      <c r="J94" s="295">
        <v>0</v>
      </c>
      <c r="K94" s="265" t="s">
        <v>445</v>
      </c>
      <c r="L94" s="265" t="s">
        <v>446</v>
      </c>
    </row>
    <row r="95" spans="1:12" ht="32.25" customHeight="1">
      <c r="A95" s="314">
        <v>61</v>
      </c>
      <c r="B95" s="339"/>
      <c r="C95" s="239"/>
      <c r="D95" s="298">
        <v>6050</v>
      </c>
      <c r="E95" s="294" t="s">
        <v>513</v>
      </c>
      <c r="F95" s="295">
        <v>50000</v>
      </c>
      <c r="G95" s="295">
        <v>0</v>
      </c>
      <c r="H95" s="291" t="s">
        <v>514</v>
      </c>
      <c r="I95" s="290">
        <v>50000</v>
      </c>
      <c r="J95" s="299">
        <v>0</v>
      </c>
      <c r="K95" s="265" t="s">
        <v>515</v>
      </c>
      <c r="L95" s="265">
        <v>2013</v>
      </c>
    </row>
    <row r="96" spans="1:12" ht="40.5" customHeight="1">
      <c r="A96" s="314">
        <v>62</v>
      </c>
      <c r="B96" s="339"/>
      <c r="C96" s="239"/>
      <c r="D96" s="298">
        <v>6050</v>
      </c>
      <c r="E96" s="294" t="s">
        <v>442</v>
      </c>
      <c r="F96" s="295">
        <v>11500</v>
      </c>
      <c r="G96" s="295">
        <v>0</v>
      </c>
      <c r="H96" s="291" t="s">
        <v>443</v>
      </c>
      <c r="I96" s="290">
        <v>11500</v>
      </c>
      <c r="J96" s="299">
        <v>0</v>
      </c>
      <c r="K96" s="265" t="s">
        <v>519</v>
      </c>
      <c r="L96" s="265">
        <v>2013</v>
      </c>
    </row>
    <row r="97" spans="1:12" ht="34.5" customHeight="1">
      <c r="A97" s="314">
        <v>63</v>
      </c>
      <c r="B97" s="339"/>
      <c r="C97" s="239"/>
      <c r="D97" s="298">
        <v>6050</v>
      </c>
      <c r="E97" s="294" t="s">
        <v>520</v>
      </c>
      <c r="F97" s="295">
        <v>11500</v>
      </c>
      <c r="G97" s="295">
        <v>0</v>
      </c>
      <c r="H97" s="291" t="s">
        <v>518</v>
      </c>
      <c r="I97" s="290">
        <v>11500</v>
      </c>
      <c r="J97" s="299">
        <v>0</v>
      </c>
      <c r="K97" s="265" t="s">
        <v>515</v>
      </c>
      <c r="L97" s="265">
        <v>2013</v>
      </c>
    </row>
    <row r="98" spans="1:12" ht="34.5" customHeight="1">
      <c r="A98" s="314">
        <v>64</v>
      </c>
      <c r="B98" s="339"/>
      <c r="C98" s="239"/>
      <c r="D98" s="298">
        <v>6050</v>
      </c>
      <c r="E98" s="283" t="s">
        <v>521</v>
      </c>
      <c r="F98" s="295">
        <v>180000</v>
      </c>
      <c r="G98" s="295"/>
      <c r="H98" s="291" t="s">
        <v>522</v>
      </c>
      <c r="I98" s="290">
        <v>180000</v>
      </c>
      <c r="J98" s="299">
        <v>180000</v>
      </c>
      <c r="K98" s="265" t="s">
        <v>523</v>
      </c>
      <c r="L98" s="265">
        <v>2013</v>
      </c>
    </row>
    <row r="99" spans="1:12" ht="34.5" customHeight="1">
      <c r="A99" s="314">
        <v>65</v>
      </c>
      <c r="B99" s="339"/>
      <c r="C99" s="239"/>
      <c r="D99" s="298">
        <v>6050</v>
      </c>
      <c r="E99" s="294" t="s">
        <v>524</v>
      </c>
      <c r="F99" s="295">
        <f>4674+185326-40400</f>
        <v>149600</v>
      </c>
      <c r="G99" s="295"/>
      <c r="H99" s="291" t="s">
        <v>525</v>
      </c>
      <c r="I99" s="295">
        <f>185326+4674-40400</f>
        <v>149600</v>
      </c>
      <c r="J99" s="299"/>
      <c r="K99" s="265" t="s">
        <v>445</v>
      </c>
      <c r="L99" s="265">
        <v>2013</v>
      </c>
    </row>
    <row r="100" spans="1:12" ht="44.25" customHeight="1">
      <c r="A100" s="314">
        <v>66</v>
      </c>
      <c r="B100" s="339"/>
      <c r="C100" s="239"/>
      <c r="D100" s="298">
        <v>6050</v>
      </c>
      <c r="E100" s="294" t="s">
        <v>101</v>
      </c>
      <c r="F100" s="295">
        <v>42000</v>
      </c>
      <c r="G100" s="295"/>
      <c r="H100" s="291" t="s">
        <v>363</v>
      </c>
      <c r="I100" s="295">
        <v>42000</v>
      </c>
      <c r="J100" s="299"/>
      <c r="K100" s="265" t="s">
        <v>547</v>
      </c>
      <c r="L100" s="265">
        <v>2013</v>
      </c>
    </row>
    <row r="101" spans="1:12" ht="41.25" customHeight="1">
      <c r="A101" s="314">
        <v>67</v>
      </c>
      <c r="B101" s="339"/>
      <c r="C101" s="239"/>
      <c r="D101" s="298">
        <v>6050</v>
      </c>
      <c r="E101" s="294" t="s">
        <v>102</v>
      </c>
      <c r="F101" s="295">
        <f>12000+4500</f>
        <v>16500</v>
      </c>
      <c r="G101" s="295"/>
      <c r="H101" s="291" t="s">
        <v>364</v>
      </c>
      <c r="I101" s="295">
        <f>12000+4500</f>
        <v>16500</v>
      </c>
      <c r="J101" s="299"/>
      <c r="K101" s="265" t="s">
        <v>547</v>
      </c>
      <c r="L101" s="265">
        <v>2013</v>
      </c>
    </row>
    <row r="102" spans="1:12" ht="41.25" customHeight="1">
      <c r="A102" s="314">
        <v>68</v>
      </c>
      <c r="B102" s="339"/>
      <c r="C102" s="239"/>
      <c r="D102" s="298">
        <v>6050</v>
      </c>
      <c r="E102" s="294" t="s">
        <v>826</v>
      </c>
      <c r="F102" s="710">
        <f>10000-10000</f>
        <v>0</v>
      </c>
      <c r="G102" s="295"/>
      <c r="H102" s="291" t="s">
        <v>89</v>
      </c>
      <c r="I102" s="710">
        <f>10000-10000</f>
        <v>0</v>
      </c>
      <c r="J102" s="299"/>
      <c r="K102" s="265" t="s">
        <v>528</v>
      </c>
      <c r="L102" s="265">
        <v>2013</v>
      </c>
    </row>
    <row r="103" spans="1:12" ht="41.25" customHeight="1">
      <c r="A103" s="314">
        <v>69</v>
      </c>
      <c r="B103" s="339"/>
      <c r="C103" s="239"/>
      <c r="D103" s="298">
        <v>6060</v>
      </c>
      <c r="E103" s="704" t="s">
        <v>121</v>
      </c>
      <c r="F103" s="710">
        <v>12500</v>
      </c>
      <c r="G103" s="295"/>
      <c r="H103" s="717" t="s">
        <v>123</v>
      </c>
      <c r="I103" s="710">
        <v>12500</v>
      </c>
      <c r="J103" s="718"/>
      <c r="K103" s="265" t="s">
        <v>122</v>
      </c>
      <c r="L103" s="719">
        <v>2013</v>
      </c>
    </row>
    <row r="104" spans="1:12" ht="41.25" customHeight="1">
      <c r="A104" s="314">
        <v>70</v>
      </c>
      <c r="B104" s="339"/>
      <c r="C104" s="239"/>
      <c r="D104" s="703">
        <v>6060</v>
      </c>
      <c r="E104" s="704" t="s">
        <v>301</v>
      </c>
      <c r="F104" s="705">
        <v>13068</v>
      </c>
      <c r="G104" s="710"/>
      <c r="H104" s="717"/>
      <c r="I104" s="705">
        <v>13068</v>
      </c>
      <c r="J104" s="718"/>
      <c r="K104" s="719" t="s">
        <v>547</v>
      </c>
      <c r="L104" s="719">
        <v>2013</v>
      </c>
    </row>
    <row r="105" spans="1:12" ht="34.5" customHeight="1">
      <c r="A105" s="314">
        <v>71</v>
      </c>
      <c r="B105" s="339"/>
      <c r="C105" s="239"/>
      <c r="D105" s="298">
        <v>6060</v>
      </c>
      <c r="E105" s="294" t="s">
        <v>526</v>
      </c>
      <c r="F105" s="295">
        <v>5500</v>
      </c>
      <c r="G105" s="295">
        <v>0</v>
      </c>
      <c r="H105" s="291" t="s">
        <v>527</v>
      </c>
      <c r="I105" s="290">
        <v>5500</v>
      </c>
      <c r="J105" s="299">
        <v>0</v>
      </c>
      <c r="K105" s="265" t="s">
        <v>528</v>
      </c>
      <c r="L105" s="265">
        <v>2013</v>
      </c>
    </row>
    <row r="106" spans="1:12" ht="27" customHeight="1">
      <c r="A106" s="314"/>
      <c r="B106" s="339"/>
      <c r="C106" s="309">
        <v>80110</v>
      </c>
      <c r="D106" s="275"/>
      <c r="E106" s="276" t="s">
        <v>529</v>
      </c>
      <c r="F106" s="277">
        <f>SUM(F107+F108)</f>
        <v>61000</v>
      </c>
      <c r="G106" s="277">
        <f>SUM(G107+G108)</f>
        <v>0</v>
      </c>
      <c r="H106" s="277"/>
      <c r="I106" s="277">
        <f>SUM(I107+I108)</f>
        <v>61000</v>
      </c>
      <c r="J106" s="277">
        <f>SUM(J107+J108)</f>
        <v>0</v>
      </c>
      <c r="K106" s="278"/>
      <c r="L106" s="278"/>
    </row>
    <row r="107" spans="1:12" s="531" customFormat="1" ht="34.5" customHeight="1">
      <c r="A107" s="314">
        <v>72</v>
      </c>
      <c r="B107" s="339"/>
      <c r="C107" s="239"/>
      <c r="D107" s="343">
        <v>6050</v>
      </c>
      <c r="E107" s="294" t="s">
        <v>26</v>
      </c>
      <c r="F107" s="295">
        <f>70000-15000</f>
        <v>55000</v>
      </c>
      <c r="G107" s="295"/>
      <c r="H107" s="295" t="s">
        <v>365</v>
      </c>
      <c r="I107" s="295">
        <f>70000-15000</f>
        <v>55000</v>
      </c>
      <c r="J107" s="295"/>
      <c r="K107" s="265" t="s">
        <v>445</v>
      </c>
      <c r="L107" s="265">
        <v>2013</v>
      </c>
    </row>
    <row r="108" spans="1:12" ht="34.5" customHeight="1">
      <c r="A108" s="314">
        <v>73</v>
      </c>
      <c r="B108" s="339"/>
      <c r="C108" s="239"/>
      <c r="D108" s="343">
        <v>6060</v>
      </c>
      <c r="E108" s="294" t="s">
        <v>530</v>
      </c>
      <c r="F108" s="295">
        <v>6000</v>
      </c>
      <c r="G108" s="295">
        <v>0</v>
      </c>
      <c r="H108" s="291" t="s">
        <v>509</v>
      </c>
      <c r="I108" s="290">
        <v>6000</v>
      </c>
      <c r="J108" s="299">
        <v>0</v>
      </c>
      <c r="K108" s="265" t="s">
        <v>531</v>
      </c>
      <c r="L108" s="265">
        <v>2013</v>
      </c>
    </row>
    <row r="109" spans="1:12" ht="27" customHeight="1">
      <c r="A109" s="314"/>
      <c r="B109" s="269"/>
      <c r="C109" s="309">
        <v>80148</v>
      </c>
      <c r="D109" s="275"/>
      <c r="E109" s="276" t="s">
        <v>532</v>
      </c>
      <c r="F109" s="295">
        <f>F110+F111</f>
        <v>12150</v>
      </c>
      <c r="G109" s="295">
        <f>G110+G111</f>
        <v>0</v>
      </c>
      <c r="H109" s="295"/>
      <c r="I109" s="295">
        <f>I110+I111</f>
        <v>12150</v>
      </c>
      <c r="J109" s="295">
        <f>J110+J111</f>
        <v>0</v>
      </c>
      <c r="K109" s="265"/>
      <c r="L109" s="265"/>
    </row>
    <row r="110" spans="1:12" ht="39.75" customHeight="1">
      <c r="A110" s="314">
        <v>74</v>
      </c>
      <c r="B110" s="339"/>
      <c r="C110" s="239"/>
      <c r="D110" s="298">
        <v>6060</v>
      </c>
      <c r="E110" s="294" t="s">
        <v>847</v>
      </c>
      <c r="F110" s="295">
        <v>5650</v>
      </c>
      <c r="G110" s="295"/>
      <c r="H110" s="291" t="s">
        <v>588</v>
      </c>
      <c r="I110" s="295">
        <v>5650</v>
      </c>
      <c r="J110" s="299"/>
      <c r="K110" s="340" t="s">
        <v>730</v>
      </c>
      <c r="L110" s="307">
        <v>2013</v>
      </c>
    </row>
    <row r="111" spans="1:12" ht="27.75" customHeight="1">
      <c r="A111" s="314">
        <v>75</v>
      </c>
      <c r="B111" s="339"/>
      <c r="C111" s="239"/>
      <c r="D111" s="298">
        <v>6060</v>
      </c>
      <c r="E111" s="294" t="s">
        <v>533</v>
      </c>
      <c r="F111" s="295">
        <v>6500</v>
      </c>
      <c r="G111" s="295"/>
      <c r="H111" s="294" t="s">
        <v>534</v>
      </c>
      <c r="I111" s="295">
        <v>6500</v>
      </c>
      <c r="J111" s="299"/>
      <c r="K111" s="340" t="s">
        <v>535</v>
      </c>
      <c r="L111" s="307">
        <v>2013</v>
      </c>
    </row>
    <row r="112" spans="1:12" ht="23.25" customHeight="1">
      <c r="A112" s="314"/>
      <c r="B112" s="339"/>
      <c r="C112" s="309">
        <v>80195</v>
      </c>
      <c r="D112" s="275"/>
      <c r="E112" s="276" t="s">
        <v>482</v>
      </c>
      <c r="F112" s="277">
        <f>SUM(F113)</f>
        <v>6547200</v>
      </c>
      <c r="G112" s="277">
        <f>SUM(G113:G113)</f>
        <v>13284</v>
      </c>
      <c r="H112" s="344"/>
      <c r="I112" s="277">
        <f>SUM(I113)</f>
        <v>6533916</v>
      </c>
      <c r="J112" s="277">
        <f>SUM(J113:J113)</f>
        <v>841000</v>
      </c>
      <c r="K112" s="265"/>
      <c r="L112" s="265"/>
    </row>
    <row r="113" spans="1:12" ht="33.75" customHeight="1">
      <c r="A113" s="314">
        <v>76</v>
      </c>
      <c r="B113" s="339"/>
      <c r="C113" s="239"/>
      <c r="D113" s="343">
        <v>6050</v>
      </c>
      <c r="E113" s="283" t="s">
        <v>536</v>
      </c>
      <c r="F113" s="295">
        <f>5676200+13000+828000+30000</f>
        <v>6547200</v>
      </c>
      <c r="G113" s="295">
        <f>5034600-5021316</f>
        <v>13284</v>
      </c>
      <c r="H113" s="285" t="s">
        <v>537</v>
      </c>
      <c r="I113" s="299">
        <f>641600+5021316+13000+828000+30000</f>
        <v>6533916</v>
      </c>
      <c r="J113" s="299">
        <f>828000+13000</f>
        <v>841000</v>
      </c>
      <c r="K113" s="265" t="s">
        <v>445</v>
      </c>
      <c r="L113" s="265" t="s">
        <v>446</v>
      </c>
    </row>
    <row r="114" spans="1:12" s="350" customFormat="1" ht="24.75" customHeight="1">
      <c r="A114" s="345"/>
      <c r="B114" s="269">
        <v>851</v>
      </c>
      <c r="C114" s="268"/>
      <c r="D114" s="346"/>
      <c r="E114" s="347" t="s">
        <v>538</v>
      </c>
      <c r="F114" s="302">
        <f>F115+F117</f>
        <v>106099</v>
      </c>
      <c r="G114" s="302">
        <f>G115+G117</f>
        <v>0</v>
      </c>
      <c r="H114" s="302"/>
      <c r="I114" s="302">
        <f>I115+I117</f>
        <v>106099</v>
      </c>
      <c r="J114" s="302">
        <f>J115+J117</f>
        <v>0</v>
      </c>
      <c r="K114" s="349"/>
      <c r="L114" s="349"/>
    </row>
    <row r="115" spans="1:12" s="531" customFormat="1" ht="24.75" customHeight="1">
      <c r="A115" s="351"/>
      <c r="B115" s="365"/>
      <c r="C115" s="296">
        <v>85111</v>
      </c>
      <c r="D115" s="297"/>
      <c r="E115" s="283" t="s">
        <v>27</v>
      </c>
      <c r="F115" s="295">
        <f>F116</f>
        <v>100000</v>
      </c>
      <c r="G115" s="295">
        <f>G116</f>
        <v>0</v>
      </c>
      <c r="H115" s="295"/>
      <c r="I115" s="295">
        <f>I116</f>
        <v>100000</v>
      </c>
      <c r="J115" s="295">
        <f>J116</f>
        <v>0</v>
      </c>
      <c r="K115" s="265"/>
      <c r="L115" s="265"/>
    </row>
    <row r="116" spans="1:12" s="531" customFormat="1" ht="68.25" customHeight="1">
      <c r="A116" s="351">
        <v>77</v>
      </c>
      <c r="B116" s="365"/>
      <c r="C116" s="296"/>
      <c r="D116" s="297">
        <v>6220</v>
      </c>
      <c r="E116" s="283" t="s">
        <v>80</v>
      </c>
      <c r="F116" s="295">
        <v>100000</v>
      </c>
      <c r="G116" s="295"/>
      <c r="H116" s="291" t="s">
        <v>366</v>
      </c>
      <c r="I116" s="295">
        <v>100000</v>
      </c>
      <c r="J116" s="299"/>
      <c r="K116" s="265" t="s">
        <v>28</v>
      </c>
      <c r="L116" s="265">
        <v>2013</v>
      </c>
    </row>
    <row r="117" spans="1:12" ht="29.25" customHeight="1">
      <c r="A117" s="351"/>
      <c r="B117" s="339"/>
      <c r="C117" s="296">
        <v>85158</v>
      </c>
      <c r="D117" s="296"/>
      <c r="E117" s="352" t="s">
        <v>539</v>
      </c>
      <c r="F117" s="295">
        <f>F118</f>
        <v>6099</v>
      </c>
      <c r="G117" s="295"/>
      <c r="H117" s="291"/>
      <c r="I117" s="295">
        <f>I118</f>
        <v>6099</v>
      </c>
      <c r="J117" s="299"/>
      <c r="K117" s="265"/>
      <c r="L117" s="265"/>
    </row>
    <row r="118" spans="1:12" ht="29.25" customHeight="1">
      <c r="A118" s="351">
        <v>78</v>
      </c>
      <c r="B118" s="339"/>
      <c r="C118" s="239"/>
      <c r="D118" s="298">
        <v>6060</v>
      </c>
      <c r="E118" s="294" t="s">
        <v>540</v>
      </c>
      <c r="F118" s="295">
        <f>20000-13901</f>
        <v>6099</v>
      </c>
      <c r="G118" s="295"/>
      <c r="H118" s="291" t="s">
        <v>541</v>
      </c>
      <c r="I118" s="299">
        <f>20000-13901</f>
        <v>6099</v>
      </c>
      <c r="J118" s="299"/>
      <c r="K118" s="265" t="s">
        <v>542</v>
      </c>
      <c r="L118" s="265">
        <v>2013</v>
      </c>
    </row>
    <row r="119" spans="1:12" ht="31.5" customHeight="1">
      <c r="A119" s="314"/>
      <c r="B119" s="268">
        <v>853</v>
      </c>
      <c r="C119" s="296"/>
      <c r="D119" s="343"/>
      <c r="E119" s="348" t="s">
        <v>543</v>
      </c>
      <c r="F119" s="302">
        <f>F120+F122</f>
        <v>3532669.92</v>
      </c>
      <c r="G119" s="302">
        <f>G120+G122</f>
        <v>3163369.92</v>
      </c>
      <c r="H119" s="302"/>
      <c r="I119" s="302">
        <f>I120+I122</f>
        <v>1969300</v>
      </c>
      <c r="J119" s="302">
        <f>J120+J122</f>
        <v>0</v>
      </c>
      <c r="K119" s="349"/>
      <c r="L119" s="349"/>
    </row>
    <row r="120" spans="1:12" s="403" customFormat="1" ht="31.5" customHeight="1">
      <c r="A120" s="688"/>
      <c r="B120" s="309"/>
      <c r="C120" s="309">
        <v>85305</v>
      </c>
      <c r="D120" s="353"/>
      <c r="E120" s="276" t="s">
        <v>459</v>
      </c>
      <c r="F120" s="277">
        <f>F121</f>
        <v>20000</v>
      </c>
      <c r="G120" s="277">
        <f>G121</f>
        <v>0</v>
      </c>
      <c r="H120" s="277"/>
      <c r="I120" s="277">
        <f>I121</f>
        <v>20000</v>
      </c>
      <c r="J120" s="277">
        <f>J121</f>
        <v>0</v>
      </c>
      <c r="K120" s="278"/>
      <c r="L120" s="278"/>
    </row>
    <row r="121" spans="1:12" ht="48" customHeight="1">
      <c r="A121" s="314">
        <v>79</v>
      </c>
      <c r="B121" s="268"/>
      <c r="C121" s="296"/>
      <c r="D121" s="343">
        <v>6050</v>
      </c>
      <c r="E121" s="291" t="s">
        <v>457</v>
      </c>
      <c r="F121" s="295">
        <v>20000</v>
      </c>
      <c r="G121" s="295"/>
      <c r="H121" s="295" t="s">
        <v>458</v>
      </c>
      <c r="I121" s="295">
        <v>20000</v>
      </c>
      <c r="J121" s="295"/>
      <c r="K121" s="265"/>
      <c r="L121" s="265"/>
    </row>
    <row r="122" spans="1:12" ht="27" customHeight="1">
      <c r="A122" s="314"/>
      <c r="B122" s="268"/>
      <c r="C122" s="309">
        <v>85395</v>
      </c>
      <c r="D122" s="353"/>
      <c r="E122" s="276" t="s">
        <v>544</v>
      </c>
      <c r="F122" s="277">
        <f>SUM(F123:F133)</f>
        <v>3512669.92</v>
      </c>
      <c r="G122" s="277">
        <f>SUM(G123:G133)</f>
        <v>3163369.92</v>
      </c>
      <c r="H122" s="277"/>
      <c r="I122" s="277">
        <f>SUM(I123:I133)</f>
        <v>1949300</v>
      </c>
      <c r="J122" s="277">
        <f>SUM(J123:J133)</f>
        <v>0</v>
      </c>
      <c r="K122" s="278"/>
      <c r="L122" s="278"/>
    </row>
    <row r="123" spans="1:14" s="531" customFormat="1" ht="40.5" customHeight="1">
      <c r="A123" s="314">
        <v>80</v>
      </c>
      <c r="B123" s="268"/>
      <c r="C123" s="305"/>
      <c r="D123" s="343">
        <v>6057</v>
      </c>
      <c r="E123" s="294" t="s">
        <v>102</v>
      </c>
      <c r="F123" s="295">
        <v>13000</v>
      </c>
      <c r="G123" s="295"/>
      <c r="H123" s="291" t="s">
        <v>364</v>
      </c>
      <c r="I123" s="295">
        <v>13000</v>
      </c>
      <c r="J123" s="295"/>
      <c r="K123" s="324" t="s">
        <v>547</v>
      </c>
      <c r="L123" s="265">
        <v>2013</v>
      </c>
      <c r="N123" s="555"/>
    </row>
    <row r="124" spans="1:12" ht="38.25" customHeight="1">
      <c r="A124" s="314">
        <v>81</v>
      </c>
      <c r="B124" s="268"/>
      <c r="C124" s="273"/>
      <c r="D124" s="354">
        <v>6067</v>
      </c>
      <c r="E124" s="355" t="s">
        <v>545</v>
      </c>
      <c r="F124" s="357">
        <f>18000-1000</f>
        <v>17000</v>
      </c>
      <c r="G124" s="277"/>
      <c r="H124" s="356" t="s">
        <v>546</v>
      </c>
      <c r="I124" s="357">
        <f>18000-1000</f>
        <v>17000</v>
      </c>
      <c r="J124" s="277"/>
      <c r="K124" s="324" t="s">
        <v>547</v>
      </c>
      <c r="L124" s="265">
        <v>2013</v>
      </c>
    </row>
    <row r="125" spans="1:12" ht="40.5" customHeight="1">
      <c r="A125" s="314">
        <v>82</v>
      </c>
      <c r="B125" s="268"/>
      <c r="C125" s="273"/>
      <c r="D125" s="354">
        <v>6067</v>
      </c>
      <c r="E125" s="355" t="s">
        <v>548</v>
      </c>
      <c r="F125" s="357">
        <f>16000-6000+4000</f>
        <v>14000</v>
      </c>
      <c r="G125" s="277"/>
      <c r="H125" s="356" t="s">
        <v>549</v>
      </c>
      <c r="I125" s="357">
        <f>16000-6000+4000</f>
        <v>14000</v>
      </c>
      <c r="J125" s="277"/>
      <c r="K125" s="324" t="s">
        <v>547</v>
      </c>
      <c r="L125" s="265">
        <v>2013</v>
      </c>
    </row>
    <row r="126" spans="1:12" ht="30.75" customHeight="1">
      <c r="A126" s="258">
        <v>83</v>
      </c>
      <c r="B126" s="358"/>
      <c r="C126" s="273"/>
      <c r="D126" s="354">
        <v>6067</v>
      </c>
      <c r="E126" s="355" t="s">
        <v>130</v>
      </c>
      <c r="F126" s="357">
        <v>6300</v>
      </c>
      <c r="G126" s="277"/>
      <c r="H126" s="356" t="s">
        <v>113</v>
      </c>
      <c r="I126" s="357">
        <v>6300</v>
      </c>
      <c r="J126" s="277"/>
      <c r="K126" s="324" t="s">
        <v>133</v>
      </c>
      <c r="L126" s="265">
        <v>2013</v>
      </c>
    </row>
    <row r="127" spans="1:12" ht="31.5" customHeight="1">
      <c r="A127" s="258">
        <v>84</v>
      </c>
      <c r="B127" s="358"/>
      <c r="C127" s="273"/>
      <c r="D127" s="354">
        <v>6067</v>
      </c>
      <c r="E127" s="355" t="s">
        <v>131</v>
      </c>
      <c r="F127" s="357">
        <v>3500</v>
      </c>
      <c r="G127" s="277"/>
      <c r="H127" s="356" t="s">
        <v>132</v>
      </c>
      <c r="I127" s="357">
        <v>3500</v>
      </c>
      <c r="J127" s="277"/>
      <c r="K127" s="324" t="s">
        <v>133</v>
      </c>
      <c r="L127" s="265">
        <v>2013</v>
      </c>
    </row>
    <row r="128" spans="1:12" ht="31.5" customHeight="1">
      <c r="A128" s="258">
        <v>85</v>
      </c>
      <c r="B128" s="358"/>
      <c r="C128" s="273"/>
      <c r="D128" s="354">
        <v>6067</v>
      </c>
      <c r="E128" s="355" t="s">
        <v>369</v>
      </c>
      <c r="F128" s="357">
        <v>3500</v>
      </c>
      <c r="G128" s="277"/>
      <c r="H128" s="356" t="s">
        <v>371</v>
      </c>
      <c r="I128" s="357">
        <v>3500</v>
      </c>
      <c r="J128" s="277"/>
      <c r="K128" s="324" t="s">
        <v>523</v>
      </c>
      <c r="L128" s="265">
        <v>2013</v>
      </c>
    </row>
    <row r="129" spans="1:12" ht="31.5" customHeight="1">
      <c r="A129" s="258">
        <v>86</v>
      </c>
      <c r="B129" s="358"/>
      <c r="C129" s="273"/>
      <c r="D129" s="354">
        <v>6067</v>
      </c>
      <c r="E129" s="355" t="s">
        <v>370</v>
      </c>
      <c r="F129" s="357">
        <v>31000</v>
      </c>
      <c r="G129" s="277"/>
      <c r="H129" s="356" t="s">
        <v>372</v>
      </c>
      <c r="I129" s="357">
        <v>31000</v>
      </c>
      <c r="J129" s="277"/>
      <c r="K129" s="324" t="s">
        <v>523</v>
      </c>
      <c r="L129" s="265">
        <v>2013</v>
      </c>
    </row>
    <row r="130" spans="1:12" ht="66.75" customHeight="1">
      <c r="A130" s="992">
        <v>87</v>
      </c>
      <c r="B130" s="358"/>
      <c r="C130" s="273"/>
      <c r="D130" s="343">
        <v>6237</v>
      </c>
      <c r="E130" s="294" t="s">
        <v>562</v>
      </c>
      <c r="F130" s="710">
        <f>1360000+34000</f>
        <v>1394000</v>
      </c>
      <c r="G130" s="295">
        <v>1360000</v>
      </c>
      <c r="H130" s="359" t="s">
        <v>563</v>
      </c>
      <c r="I130" s="718">
        <f>1360000+34000</f>
        <v>1394000</v>
      </c>
      <c r="J130" s="299">
        <v>0</v>
      </c>
      <c r="K130" s="265" t="s">
        <v>564</v>
      </c>
      <c r="L130" s="265" t="s">
        <v>452</v>
      </c>
    </row>
    <row r="131" spans="1:12" ht="75" customHeight="1">
      <c r="A131" s="993"/>
      <c r="B131" s="358"/>
      <c r="C131" s="305"/>
      <c r="D131" s="343">
        <v>6239</v>
      </c>
      <c r="E131" s="294" t="s">
        <v>565</v>
      </c>
      <c r="F131" s="710">
        <f>240000+6000</f>
        <v>246000</v>
      </c>
      <c r="G131" s="295">
        <v>240000</v>
      </c>
      <c r="H131" s="359" t="s">
        <v>563</v>
      </c>
      <c r="I131" s="718">
        <f>240000+6000</f>
        <v>246000</v>
      </c>
      <c r="J131" s="299">
        <v>0</v>
      </c>
      <c r="K131" s="265" t="s">
        <v>564</v>
      </c>
      <c r="L131" s="265" t="s">
        <v>452</v>
      </c>
    </row>
    <row r="132" spans="1:14" ht="62.25" customHeight="1">
      <c r="A132" s="994">
        <v>88</v>
      </c>
      <c r="B132" s="358"/>
      <c r="C132" s="305"/>
      <c r="D132" s="343">
        <v>6237</v>
      </c>
      <c r="E132" s="294" t="s">
        <v>566</v>
      </c>
      <c r="F132" s="299">
        <f>G132+I132</f>
        <v>1516714.43</v>
      </c>
      <c r="G132" s="295">
        <v>1328864.43</v>
      </c>
      <c r="H132" s="291" t="s">
        <v>567</v>
      </c>
      <c r="I132" s="299">
        <v>187850</v>
      </c>
      <c r="J132" s="299"/>
      <c r="K132" s="265" t="s">
        <v>564</v>
      </c>
      <c r="L132" s="265" t="s">
        <v>446</v>
      </c>
      <c r="N132" s="266"/>
    </row>
    <row r="133" spans="1:12" ht="65.25" customHeight="1">
      <c r="A133" s="995"/>
      <c r="B133" s="358"/>
      <c r="C133" s="305"/>
      <c r="D133" s="343">
        <v>6239</v>
      </c>
      <c r="E133" s="294" t="s">
        <v>566</v>
      </c>
      <c r="F133" s="299">
        <f>G133+I133</f>
        <v>267655.49</v>
      </c>
      <c r="G133" s="295">
        <v>234505.49</v>
      </c>
      <c r="H133" s="291" t="s">
        <v>567</v>
      </c>
      <c r="I133" s="299">
        <v>33150</v>
      </c>
      <c r="J133" s="299"/>
      <c r="K133" s="265" t="s">
        <v>564</v>
      </c>
      <c r="L133" s="265" t="s">
        <v>446</v>
      </c>
    </row>
    <row r="134" spans="1:12" ht="30" customHeight="1">
      <c r="A134" s="332"/>
      <c r="B134" s="268">
        <v>900</v>
      </c>
      <c r="C134" s="268"/>
      <c r="D134" s="269"/>
      <c r="E134" s="301" t="s">
        <v>568</v>
      </c>
      <c r="F134" s="302">
        <f>F135+F138+F140+F150</f>
        <v>8014198.94</v>
      </c>
      <c r="G134" s="302">
        <f>G135+G138+G140+G150</f>
        <v>231240</v>
      </c>
      <c r="H134" s="302"/>
      <c r="I134" s="302">
        <f>I135+I138+I140+I150</f>
        <v>3010747.16</v>
      </c>
      <c r="J134" s="302">
        <f>J135+J138+J140+J150</f>
        <v>905000</v>
      </c>
      <c r="K134" s="302"/>
      <c r="L134" s="265"/>
    </row>
    <row r="135" spans="1:12" ht="30" customHeight="1">
      <c r="A135" s="332"/>
      <c r="B135" s="332"/>
      <c r="C135" s="308">
        <v>90002</v>
      </c>
      <c r="D135" s="310"/>
      <c r="E135" s="276" t="s">
        <v>569</v>
      </c>
      <c r="F135" s="277">
        <f>SUM(F136:F137)</f>
        <v>42000</v>
      </c>
      <c r="G135" s="277">
        <f>SUM(G136:G137)</f>
        <v>0</v>
      </c>
      <c r="H135" s="277"/>
      <c r="I135" s="277">
        <f>SUM(I136:I137)</f>
        <v>42000</v>
      </c>
      <c r="J135" s="277">
        <f>SUM(J136:J137)</f>
        <v>42000</v>
      </c>
      <c r="K135" s="265"/>
      <c r="L135" s="265"/>
    </row>
    <row r="136" spans="1:12" ht="42" customHeight="1">
      <c r="A136" s="239">
        <v>89</v>
      </c>
      <c r="B136" s="339"/>
      <c r="C136" s="360"/>
      <c r="D136" s="298">
        <v>6220</v>
      </c>
      <c r="E136" s="361" t="s">
        <v>570</v>
      </c>
      <c r="F136" s="362">
        <v>12000</v>
      </c>
      <c r="G136" s="363">
        <v>0</v>
      </c>
      <c r="H136" s="364" t="s">
        <v>571</v>
      </c>
      <c r="I136" s="362">
        <v>12000</v>
      </c>
      <c r="J136" s="362">
        <v>12000</v>
      </c>
      <c r="K136" s="265" t="s">
        <v>572</v>
      </c>
      <c r="L136" s="265">
        <v>2013</v>
      </c>
    </row>
    <row r="137" spans="1:12" ht="51.75" customHeight="1">
      <c r="A137" s="239">
        <v>90</v>
      </c>
      <c r="B137" s="339"/>
      <c r="C137" s="300"/>
      <c r="D137" s="298">
        <v>6230</v>
      </c>
      <c r="E137" s="355" t="s">
        <v>570</v>
      </c>
      <c r="F137" s="362">
        <v>30000</v>
      </c>
      <c r="G137" s="363">
        <v>0</v>
      </c>
      <c r="H137" s="364" t="s">
        <v>571</v>
      </c>
      <c r="I137" s="362">
        <v>30000</v>
      </c>
      <c r="J137" s="362">
        <v>30000</v>
      </c>
      <c r="K137" s="265" t="s">
        <v>572</v>
      </c>
      <c r="L137" s="265">
        <v>2013</v>
      </c>
    </row>
    <row r="138" spans="1:12" s="403" customFormat="1" ht="33.75" customHeight="1">
      <c r="A138" s="308"/>
      <c r="B138" s="341"/>
      <c r="C138" s="274">
        <v>90004</v>
      </c>
      <c r="D138" s="275"/>
      <c r="E138" s="352" t="s">
        <v>850</v>
      </c>
      <c r="F138" s="691">
        <f>F139</f>
        <v>25000</v>
      </c>
      <c r="G138" s="691">
        <f>G139</f>
        <v>0</v>
      </c>
      <c r="H138" s="691"/>
      <c r="I138" s="691">
        <f>I139</f>
        <v>25000</v>
      </c>
      <c r="J138" s="691">
        <f>J139</f>
        <v>0</v>
      </c>
      <c r="K138" s="278"/>
      <c r="L138" s="278"/>
    </row>
    <row r="139" spans="1:12" ht="66.75" customHeight="1">
      <c r="A139" s="239">
        <v>91</v>
      </c>
      <c r="B139" s="339"/>
      <c r="C139" s="300"/>
      <c r="D139" s="298">
        <v>6050</v>
      </c>
      <c r="E139" s="373" t="s">
        <v>16</v>
      </c>
      <c r="F139" s="362">
        <v>25000</v>
      </c>
      <c r="G139" s="363"/>
      <c r="H139" s="364" t="s">
        <v>812</v>
      </c>
      <c r="I139" s="362">
        <v>25000</v>
      </c>
      <c r="J139" s="362"/>
      <c r="K139" s="265" t="s">
        <v>759</v>
      </c>
      <c r="L139" s="265">
        <v>2013</v>
      </c>
    </row>
    <row r="140" spans="1:12" ht="27.75" customHeight="1">
      <c r="A140" s="249"/>
      <c r="B140" s="308"/>
      <c r="C140" s="309">
        <v>90015</v>
      </c>
      <c r="D140" s="310"/>
      <c r="E140" s="276" t="s">
        <v>573</v>
      </c>
      <c r="F140" s="277">
        <f>SUM(F141:F149)</f>
        <v>5114650.99</v>
      </c>
      <c r="G140" s="277">
        <f>SUM(G141:G149)</f>
        <v>0</v>
      </c>
      <c r="H140" s="277"/>
      <c r="I140" s="277">
        <f>SUM(I141:I149)</f>
        <v>1113059.21</v>
      </c>
      <c r="J140" s="277">
        <f>SUM(J141:J149)</f>
        <v>338000</v>
      </c>
      <c r="K140" s="278"/>
      <c r="L140" s="278"/>
    </row>
    <row r="141" spans="1:12" ht="34.5" customHeight="1">
      <c r="A141" s="296">
        <v>92</v>
      </c>
      <c r="B141" s="365"/>
      <c r="C141" s="231"/>
      <c r="D141" s="366">
        <v>6050</v>
      </c>
      <c r="E141" s="700" t="s">
        <v>778</v>
      </c>
      <c r="F141" s="367">
        <f>100000+160000</f>
        <v>260000</v>
      </c>
      <c r="G141" s="368">
        <v>0</v>
      </c>
      <c r="H141" s="369" t="s">
        <v>824</v>
      </c>
      <c r="I141" s="370">
        <f>100000+160000-240000+240000</f>
        <v>260000</v>
      </c>
      <c r="J141" s="370">
        <f>100000+160000-240000+240000</f>
        <v>260000</v>
      </c>
      <c r="K141" s="307" t="s">
        <v>469</v>
      </c>
      <c r="L141" s="307">
        <v>2013</v>
      </c>
    </row>
    <row r="142" spans="1:12" ht="50.25" customHeight="1">
      <c r="A142" s="296">
        <v>93</v>
      </c>
      <c r="B142" s="365"/>
      <c r="C142" s="239"/>
      <c r="D142" s="366">
        <v>6050</v>
      </c>
      <c r="E142" s="532" t="s">
        <v>574</v>
      </c>
      <c r="F142" s="362">
        <f>200000-95000+1149.61</f>
        <v>106149.61</v>
      </c>
      <c r="G142" s="371"/>
      <c r="H142" s="533" t="s">
        <v>575</v>
      </c>
      <c r="I142" s="362">
        <f>200000-95000</f>
        <v>105000</v>
      </c>
      <c r="J142" s="362"/>
      <c r="K142" s="307" t="s">
        <v>445</v>
      </c>
      <c r="L142" s="307" t="s">
        <v>810</v>
      </c>
    </row>
    <row r="143" spans="1:12" ht="39" customHeight="1">
      <c r="A143" s="296">
        <v>94</v>
      </c>
      <c r="B143" s="365"/>
      <c r="C143" s="239"/>
      <c r="D143" s="366">
        <v>6050</v>
      </c>
      <c r="E143" s="532" t="s">
        <v>576</v>
      </c>
      <c r="F143" s="362">
        <f>175000+3500</f>
        <v>178500</v>
      </c>
      <c r="G143" s="371"/>
      <c r="H143" s="372" t="s">
        <v>577</v>
      </c>
      <c r="I143" s="362">
        <f>175000-150000+150000+3500</f>
        <v>178500</v>
      </c>
      <c r="J143" s="362"/>
      <c r="K143" s="307" t="s">
        <v>469</v>
      </c>
      <c r="L143" s="307">
        <v>2013</v>
      </c>
    </row>
    <row r="144" spans="1:12" ht="72.75" customHeight="1">
      <c r="A144" s="296">
        <v>95</v>
      </c>
      <c r="B144" s="365"/>
      <c r="C144" s="239"/>
      <c r="D144" s="366">
        <v>6050</v>
      </c>
      <c r="E144" s="355" t="s">
        <v>578</v>
      </c>
      <c r="F144" s="362">
        <f>270000-120000+442.17</f>
        <v>150442.17</v>
      </c>
      <c r="G144" s="371"/>
      <c r="H144" s="534" t="s">
        <v>748</v>
      </c>
      <c r="I144" s="362">
        <f>270000-120000</f>
        <v>150000</v>
      </c>
      <c r="J144" s="362"/>
      <c r="K144" s="307" t="s">
        <v>445</v>
      </c>
      <c r="L144" s="307" t="s">
        <v>810</v>
      </c>
    </row>
    <row r="145" spans="1:12" ht="42" customHeight="1">
      <c r="A145" s="296">
        <v>96</v>
      </c>
      <c r="B145" s="365"/>
      <c r="C145" s="239"/>
      <c r="D145" s="366">
        <v>6050</v>
      </c>
      <c r="E145" s="355" t="s">
        <v>818</v>
      </c>
      <c r="F145" s="362">
        <v>25000</v>
      </c>
      <c r="G145" s="371"/>
      <c r="H145" s="372" t="s">
        <v>750</v>
      </c>
      <c r="I145" s="362">
        <v>25000</v>
      </c>
      <c r="J145" s="362"/>
      <c r="K145" s="307" t="s">
        <v>469</v>
      </c>
      <c r="L145" s="307">
        <v>2013</v>
      </c>
    </row>
    <row r="146" spans="1:12" ht="39.75" customHeight="1">
      <c r="A146" s="296">
        <v>97</v>
      </c>
      <c r="B146" s="365"/>
      <c r="C146" s="239"/>
      <c r="D146" s="366">
        <v>6050</v>
      </c>
      <c r="E146" s="355" t="s">
        <v>741</v>
      </c>
      <c r="F146" s="362">
        <f>4078000+48909.6</f>
        <v>4126909.6</v>
      </c>
      <c r="G146" s="371"/>
      <c r="H146" s="372" t="s">
        <v>822</v>
      </c>
      <c r="I146" s="362">
        <f>78000+48909.6</f>
        <v>126909.6</v>
      </c>
      <c r="J146" s="362">
        <v>78000</v>
      </c>
      <c r="K146" s="307" t="s">
        <v>469</v>
      </c>
      <c r="L146" s="307" t="s">
        <v>742</v>
      </c>
    </row>
    <row r="147" spans="1:12" ht="39.75" customHeight="1">
      <c r="A147" s="296">
        <v>98</v>
      </c>
      <c r="B147" s="365"/>
      <c r="C147" s="239"/>
      <c r="D147" s="366">
        <v>6050</v>
      </c>
      <c r="E147" s="355" t="s">
        <v>139</v>
      </c>
      <c r="F147" s="362">
        <f>50000+25000+1500</f>
        <v>76500</v>
      </c>
      <c r="G147" s="371"/>
      <c r="H147" s="372" t="s">
        <v>114</v>
      </c>
      <c r="I147" s="362">
        <f>50000+25000+1500</f>
        <v>76500</v>
      </c>
      <c r="J147" s="362"/>
      <c r="K147" s="307" t="s">
        <v>469</v>
      </c>
      <c r="L147" s="307">
        <v>2013</v>
      </c>
    </row>
    <row r="148" spans="1:12" ht="39.75" customHeight="1">
      <c r="A148" s="296">
        <v>99</v>
      </c>
      <c r="B148" s="365"/>
      <c r="C148" s="239"/>
      <c r="D148" s="366">
        <v>6050</v>
      </c>
      <c r="E148" s="609" t="s">
        <v>825</v>
      </c>
      <c r="F148" s="362">
        <v>1149.61</v>
      </c>
      <c r="G148" s="610"/>
      <c r="H148" s="369" t="s">
        <v>750</v>
      </c>
      <c r="I148" s="362">
        <v>1149.61</v>
      </c>
      <c r="J148" s="362"/>
      <c r="K148" s="307" t="s">
        <v>469</v>
      </c>
      <c r="L148" s="307">
        <v>2013</v>
      </c>
    </row>
    <row r="149" spans="1:12" ht="52.5" customHeight="1">
      <c r="A149" s="296">
        <v>100</v>
      </c>
      <c r="B149" s="365"/>
      <c r="C149" s="239"/>
      <c r="D149" s="366">
        <v>6050</v>
      </c>
      <c r="E149" s="373" t="s">
        <v>749</v>
      </c>
      <c r="F149" s="370">
        <f>300000-110000</f>
        <v>190000</v>
      </c>
      <c r="G149" s="367"/>
      <c r="H149" s="369" t="s">
        <v>750</v>
      </c>
      <c r="I149" s="362">
        <f>300000-110000</f>
        <v>190000</v>
      </c>
      <c r="J149" s="362"/>
      <c r="K149" s="307" t="s">
        <v>445</v>
      </c>
      <c r="L149" s="307">
        <v>2013</v>
      </c>
    </row>
    <row r="150" spans="1:12" ht="25.5" customHeight="1">
      <c r="A150" s="296"/>
      <c r="B150" s="308"/>
      <c r="C150" s="309">
        <v>90095</v>
      </c>
      <c r="D150" s="310"/>
      <c r="E150" s="276" t="s">
        <v>482</v>
      </c>
      <c r="F150" s="277">
        <f>SUM(F151:F164)</f>
        <v>2832547.95</v>
      </c>
      <c r="G150" s="277">
        <f>SUM(G151:G164)</f>
        <v>231240</v>
      </c>
      <c r="H150" s="277"/>
      <c r="I150" s="277">
        <f>SUM(I151:I164)</f>
        <v>1830687.95</v>
      </c>
      <c r="J150" s="277">
        <f>SUM(J151:J164)</f>
        <v>525000</v>
      </c>
      <c r="K150" s="278"/>
      <c r="L150" s="278"/>
    </row>
    <row r="151" spans="1:12" s="531" customFormat="1" ht="81.75" customHeight="1">
      <c r="A151" s="231">
        <v>101</v>
      </c>
      <c r="B151" s="297"/>
      <c r="C151" s="239"/>
      <c r="D151" s="298">
        <v>6010</v>
      </c>
      <c r="E151" s="294" t="s">
        <v>7</v>
      </c>
      <c r="F151" s="295">
        <v>6700</v>
      </c>
      <c r="G151" s="295"/>
      <c r="H151" s="285" t="s">
        <v>765</v>
      </c>
      <c r="I151" s="295">
        <v>6700</v>
      </c>
      <c r="J151" s="295"/>
      <c r="K151" s="376" t="s">
        <v>445</v>
      </c>
      <c r="L151" s="376">
        <v>2013</v>
      </c>
    </row>
    <row r="152" spans="1:12" s="531" customFormat="1" ht="48" customHeight="1">
      <c r="A152" s="231">
        <v>102</v>
      </c>
      <c r="B152" s="297"/>
      <c r="C152" s="239"/>
      <c r="D152" s="298">
        <v>6010</v>
      </c>
      <c r="E152" s="294" t="s">
        <v>8</v>
      </c>
      <c r="F152" s="295">
        <f>270620+262900</f>
        <v>533520</v>
      </c>
      <c r="G152" s="295"/>
      <c r="H152" s="696" t="s">
        <v>697</v>
      </c>
      <c r="I152" s="295">
        <v>262900</v>
      </c>
      <c r="J152" s="295"/>
      <c r="K152" s="376" t="s">
        <v>445</v>
      </c>
      <c r="L152" s="376" t="s">
        <v>810</v>
      </c>
    </row>
    <row r="153" spans="1:12" s="531" customFormat="1" ht="40.5" customHeight="1">
      <c r="A153" s="231">
        <v>103</v>
      </c>
      <c r="B153" s="297"/>
      <c r="C153" s="239"/>
      <c r="D153" s="298">
        <v>6010</v>
      </c>
      <c r="E153" s="294" t="s">
        <v>144</v>
      </c>
      <c r="F153" s="295">
        <v>31777.95</v>
      </c>
      <c r="G153" s="295"/>
      <c r="H153" s="696" t="s">
        <v>704</v>
      </c>
      <c r="I153" s="295">
        <v>31777.95</v>
      </c>
      <c r="J153" s="295"/>
      <c r="K153" s="376" t="s">
        <v>445</v>
      </c>
      <c r="L153" s="376">
        <v>2013</v>
      </c>
    </row>
    <row r="154" spans="1:12" s="531" customFormat="1" ht="47.25" customHeight="1">
      <c r="A154" s="231">
        <v>104</v>
      </c>
      <c r="B154" s="297"/>
      <c r="C154" s="239"/>
      <c r="D154" s="298">
        <v>6010</v>
      </c>
      <c r="E154" s="294" t="s">
        <v>9</v>
      </c>
      <c r="F154" s="295">
        <v>125400</v>
      </c>
      <c r="G154" s="295"/>
      <c r="H154" s="696" t="s">
        <v>705</v>
      </c>
      <c r="I154" s="295">
        <v>125400</v>
      </c>
      <c r="J154" s="295"/>
      <c r="K154" s="376" t="s">
        <v>445</v>
      </c>
      <c r="L154" s="376">
        <v>2013</v>
      </c>
    </row>
    <row r="155" spans="1:12" ht="72" customHeight="1">
      <c r="A155" s="231">
        <v>105</v>
      </c>
      <c r="B155" s="374"/>
      <c r="C155" s="308"/>
      <c r="D155" s="296">
        <v>6010</v>
      </c>
      <c r="E155" s="556" t="s">
        <v>746</v>
      </c>
      <c r="F155" s="295">
        <v>24000</v>
      </c>
      <c r="G155" s="295"/>
      <c r="H155" s="285" t="s">
        <v>765</v>
      </c>
      <c r="I155" s="295">
        <v>24000</v>
      </c>
      <c r="J155" s="295"/>
      <c r="K155" s="557" t="s">
        <v>445</v>
      </c>
      <c r="L155" s="557">
        <v>2013</v>
      </c>
    </row>
    <row r="156" spans="1:12" ht="25.5" customHeight="1">
      <c r="A156" s="231">
        <v>106</v>
      </c>
      <c r="B156" s="374"/>
      <c r="C156" s="308"/>
      <c r="D156" s="298">
        <v>6050</v>
      </c>
      <c r="E156" s="283" t="s">
        <v>751</v>
      </c>
      <c r="F156" s="295">
        <f>1375000-1300000+500000</f>
        <v>575000</v>
      </c>
      <c r="G156" s="295">
        <v>0</v>
      </c>
      <c r="H156" s="375" t="s">
        <v>752</v>
      </c>
      <c r="I156" s="295">
        <f>1375000-1300000</f>
        <v>75000</v>
      </c>
      <c r="J156" s="295">
        <f>1375000-1300000</f>
        <v>75000</v>
      </c>
      <c r="K156" s="376" t="s">
        <v>445</v>
      </c>
      <c r="L156" s="376" t="s">
        <v>810</v>
      </c>
    </row>
    <row r="157" spans="1:12" ht="33.75" customHeight="1">
      <c r="A157" s="231">
        <v>107</v>
      </c>
      <c r="B157" s="374"/>
      <c r="C157" s="308"/>
      <c r="D157" s="298">
        <v>6050</v>
      </c>
      <c r="E157" s="294" t="s">
        <v>103</v>
      </c>
      <c r="F157" s="710">
        <f>100000-3000-2000</f>
        <v>95000</v>
      </c>
      <c r="G157" s="295"/>
      <c r="H157" s="375" t="s">
        <v>367</v>
      </c>
      <c r="I157" s="710">
        <f>100000-3000-2000</f>
        <v>95000</v>
      </c>
      <c r="J157" s="295"/>
      <c r="K157" s="307" t="s">
        <v>759</v>
      </c>
      <c r="L157" s="307">
        <v>2013</v>
      </c>
    </row>
    <row r="158" spans="1:12" ht="33.75" customHeight="1">
      <c r="A158" s="231">
        <v>108</v>
      </c>
      <c r="B158" s="374"/>
      <c r="C158" s="308"/>
      <c r="D158" s="703">
        <v>6050</v>
      </c>
      <c r="E158" s="704" t="s">
        <v>310</v>
      </c>
      <c r="F158" s="710">
        <v>30000</v>
      </c>
      <c r="G158" s="710"/>
      <c r="H158" s="720"/>
      <c r="I158" s="710">
        <v>30000</v>
      </c>
      <c r="J158" s="710"/>
      <c r="K158" s="702" t="s">
        <v>759</v>
      </c>
      <c r="L158" s="702">
        <v>2013</v>
      </c>
    </row>
    <row r="159" spans="1:12" ht="45" customHeight="1">
      <c r="A159" s="231">
        <v>109</v>
      </c>
      <c r="B159" s="374"/>
      <c r="C159" s="308"/>
      <c r="D159" s="296">
        <v>6050</v>
      </c>
      <c r="E159" s="556" t="s">
        <v>109</v>
      </c>
      <c r="F159" s="295">
        <v>26300</v>
      </c>
      <c r="G159" s="295"/>
      <c r="H159" s="285" t="s">
        <v>589</v>
      </c>
      <c r="I159" s="295">
        <v>26300</v>
      </c>
      <c r="J159" s="295"/>
      <c r="K159" s="557" t="s">
        <v>445</v>
      </c>
      <c r="L159" s="557">
        <v>2013</v>
      </c>
    </row>
    <row r="160" spans="1:12" ht="55.5" customHeight="1">
      <c r="A160" s="231">
        <v>110</v>
      </c>
      <c r="B160" s="374"/>
      <c r="C160" s="308"/>
      <c r="D160" s="298">
        <v>6050</v>
      </c>
      <c r="E160" s="695" t="s">
        <v>279</v>
      </c>
      <c r="F160" s="295">
        <v>50000</v>
      </c>
      <c r="G160" s="295"/>
      <c r="H160" s="288" t="s">
        <v>280</v>
      </c>
      <c r="I160" s="295">
        <v>50000</v>
      </c>
      <c r="J160" s="295"/>
      <c r="K160" s="557" t="s">
        <v>759</v>
      </c>
      <c r="L160" s="557">
        <v>2013</v>
      </c>
    </row>
    <row r="161" spans="1:14" ht="39" customHeight="1">
      <c r="A161" s="989">
        <v>111</v>
      </c>
      <c r="B161" s="374"/>
      <c r="C161" s="308"/>
      <c r="D161" s="298">
        <v>6057</v>
      </c>
      <c r="E161" s="355" t="s">
        <v>753</v>
      </c>
      <c r="F161" s="712">
        <f>972315-245692.5</f>
        <v>726622.5</v>
      </c>
      <c r="G161" s="295">
        <v>196554</v>
      </c>
      <c r="H161" s="377" t="s">
        <v>754</v>
      </c>
      <c r="I161" s="710">
        <f>775761-245692.5</f>
        <v>530068.5</v>
      </c>
      <c r="J161" s="277">
        <v>0</v>
      </c>
      <c r="K161" s="376" t="s">
        <v>445</v>
      </c>
      <c r="L161" s="376" t="s">
        <v>755</v>
      </c>
      <c r="N161" s="266"/>
    </row>
    <row r="162" spans="1:14" ht="40.5" customHeight="1">
      <c r="A162" s="993"/>
      <c r="B162" s="378"/>
      <c r="C162" s="319"/>
      <c r="D162" s="298">
        <v>6059</v>
      </c>
      <c r="E162" s="355" t="s">
        <v>753</v>
      </c>
      <c r="F162" s="712">
        <f>171585-43357.5</f>
        <v>128227.5</v>
      </c>
      <c r="G162" s="363">
        <v>34686</v>
      </c>
      <c r="H162" s="377" t="s">
        <v>754</v>
      </c>
      <c r="I162" s="712">
        <f>136899-43357.5</f>
        <v>93541.5</v>
      </c>
      <c r="J162" s="362">
        <v>0</v>
      </c>
      <c r="K162" s="376" t="s">
        <v>445</v>
      </c>
      <c r="L162" s="376" t="s">
        <v>755</v>
      </c>
      <c r="N162" s="266"/>
    </row>
    <row r="163" spans="1:12" ht="41.25" customHeight="1">
      <c r="A163" s="379">
        <v>112</v>
      </c>
      <c r="B163" s="378"/>
      <c r="C163" s="319"/>
      <c r="D163" s="380">
        <v>6230</v>
      </c>
      <c r="E163" s="355" t="s">
        <v>757</v>
      </c>
      <c r="F163" s="363">
        <f>50000+100000+300000</f>
        <v>450000</v>
      </c>
      <c r="G163" s="371">
        <v>0</v>
      </c>
      <c r="H163" s="372" t="s">
        <v>758</v>
      </c>
      <c r="I163" s="362">
        <f>50000+100000+300000</f>
        <v>450000</v>
      </c>
      <c r="J163" s="362">
        <f>50000+100000+300000</f>
        <v>450000</v>
      </c>
      <c r="K163" s="307" t="s">
        <v>759</v>
      </c>
      <c r="L163" s="307">
        <v>2013</v>
      </c>
    </row>
    <row r="164" spans="1:12" ht="76.5" customHeight="1">
      <c r="A164" s="697">
        <v>113</v>
      </c>
      <c r="B164" s="378"/>
      <c r="C164" s="319"/>
      <c r="D164" s="380">
        <v>6050</v>
      </c>
      <c r="E164" s="355" t="s">
        <v>311</v>
      </c>
      <c r="F164" s="363">
        <v>30000</v>
      </c>
      <c r="G164" s="371"/>
      <c r="H164" s="285" t="s">
        <v>765</v>
      </c>
      <c r="I164" s="362">
        <v>30000</v>
      </c>
      <c r="J164" s="362"/>
      <c r="K164" s="307" t="s">
        <v>75</v>
      </c>
      <c r="L164" s="307">
        <v>2013</v>
      </c>
    </row>
    <row r="165" spans="1:12" s="350" customFormat="1" ht="41.25" customHeight="1">
      <c r="A165" s="515"/>
      <c r="B165" s="516">
        <v>921</v>
      </c>
      <c r="C165" s="516"/>
      <c r="D165" s="268"/>
      <c r="E165" s="517" t="s">
        <v>842</v>
      </c>
      <c r="F165" s="523">
        <f>F166</f>
        <v>1465000</v>
      </c>
      <c r="G165" s="523">
        <f>G166</f>
        <v>0</v>
      </c>
      <c r="H165" s="523"/>
      <c r="I165" s="523">
        <f>I166</f>
        <v>36070</v>
      </c>
      <c r="J165" s="523">
        <f>J166</f>
        <v>0</v>
      </c>
      <c r="K165" s="518"/>
      <c r="L165" s="518"/>
    </row>
    <row r="166" spans="1:12" s="403" customFormat="1" ht="32.25" customHeight="1">
      <c r="A166" s="519"/>
      <c r="B166" s="520"/>
      <c r="C166" s="522">
        <v>92109</v>
      </c>
      <c r="D166" s="395"/>
      <c r="E166" s="521" t="s">
        <v>29</v>
      </c>
      <c r="F166" s="524">
        <f>F167+F168</f>
        <v>1465000</v>
      </c>
      <c r="G166" s="524">
        <f>G167+G168</f>
        <v>0</v>
      </c>
      <c r="H166" s="524"/>
      <c r="I166" s="524">
        <f>I167+I168</f>
        <v>36070</v>
      </c>
      <c r="J166" s="524">
        <f>J167+J168</f>
        <v>0</v>
      </c>
      <c r="K166" s="391"/>
      <c r="L166" s="391"/>
    </row>
    <row r="167" spans="1:12" ht="57" customHeight="1">
      <c r="A167" s="697">
        <v>114</v>
      </c>
      <c r="B167" s="378"/>
      <c r="C167" s="319"/>
      <c r="D167" s="325">
        <v>6050</v>
      </c>
      <c r="E167" s="355" t="s">
        <v>743</v>
      </c>
      <c r="F167" s="363">
        <f>1100000+340000</f>
        <v>1440000</v>
      </c>
      <c r="G167" s="371"/>
      <c r="H167" s="372" t="s">
        <v>744</v>
      </c>
      <c r="I167" s="712">
        <f>340000-328930</f>
        <v>11070</v>
      </c>
      <c r="J167" s="362"/>
      <c r="K167" s="307" t="s">
        <v>445</v>
      </c>
      <c r="L167" s="307" t="s">
        <v>810</v>
      </c>
    </row>
    <row r="168" spans="1:12" ht="57" customHeight="1">
      <c r="A168" s="697">
        <v>115</v>
      </c>
      <c r="B168" s="378"/>
      <c r="C168" s="319"/>
      <c r="D168" s="325">
        <v>6220</v>
      </c>
      <c r="E168" s="355" t="s">
        <v>717</v>
      </c>
      <c r="F168" s="363">
        <v>25000</v>
      </c>
      <c r="G168" s="371"/>
      <c r="H168" s="372" t="s">
        <v>718</v>
      </c>
      <c r="I168" s="362">
        <v>25000</v>
      </c>
      <c r="J168" s="362"/>
      <c r="K168" s="307" t="s">
        <v>107</v>
      </c>
      <c r="L168" s="307">
        <v>2013</v>
      </c>
    </row>
    <row r="169" spans="1:12" ht="27.75" customHeight="1">
      <c r="A169" s="239"/>
      <c r="B169" s="267">
        <v>926</v>
      </c>
      <c r="C169" s="268"/>
      <c r="D169" s="269"/>
      <c r="E169" s="301" t="s">
        <v>760</v>
      </c>
      <c r="F169" s="302">
        <f>F170+F173</f>
        <v>269300</v>
      </c>
      <c r="G169" s="302">
        <f>G170+G173</f>
        <v>0</v>
      </c>
      <c r="H169" s="302"/>
      <c r="I169" s="302">
        <f>I170+I173</f>
        <v>269300</v>
      </c>
      <c r="J169" s="302">
        <f>J170+J173</f>
        <v>0</v>
      </c>
      <c r="K169" s="265"/>
      <c r="L169" s="265"/>
    </row>
    <row r="170" spans="1:12" ht="24" customHeight="1">
      <c r="A170" s="268"/>
      <c r="B170" s="335"/>
      <c r="C170" s="315">
        <v>92601</v>
      </c>
      <c r="D170" s="310"/>
      <c r="E170" s="276" t="s">
        <v>761</v>
      </c>
      <c r="F170" s="277">
        <f>SUM(F171:F172)</f>
        <v>49300</v>
      </c>
      <c r="G170" s="277">
        <f>SUM(G171:G172)</f>
        <v>0</v>
      </c>
      <c r="H170" s="277"/>
      <c r="I170" s="277">
        <f>SUM(I171:I172)</f>
        <v>49300</v>
      </c>
      <c r="J170" s="277">
        <f>SUM(J171:J172)</f>
        <v>0</v>
      </c>
      <c r="K170" s="278"/>
      <c r="L170" s="278"/>
    </row>
    <row r="171" spans="1:12" ht="41.25" customHeight="1">
      <c r="A171" s="296">
        <v>116</v>
      </c>
      <c r="B171" s="329"/>
      <c r="C171" s="273"/>
      <c r="D171" s="380">
        <v>6050</v>
      </c>
      <c r="E171" s="289" t="s">
        <v>762</v>
      </c>
      <c r="F171" s="295">
        <f>18300+16000</f>
        <v>34300</v>
      </c>
      <c r="G171" s="295">
        <v>0</v>
      </c>
      <c r="H171" s="342" t="s">
        <v>763</v>
      </c>
      <c r="I171" s="295">
        <f>18300+16000</f>
        <v>34300</v>
      </c>
      <c r="J171" s="295">
        <v>0</v>
      </c>
      <c r="K171" s="265" t="s">
        <v>445</v>
      </c>
      <c r="L171" s="307">
        <v>2013</v>
      </c>
    </row>
    <row r="172" spans="1:12" s="382" customFormat="1" ht="44.25" customHeight="1">
      <c r="A172" s="296">
        <v>117</v>
      </c>
      <c r="B172" s="329"/>
      <c r="C172" s="273"/>
      <c r="D172" s="381">
        <v>6050</v>
      </c>
      <c r="E172" s="288" t="s">
        <v>764</v>
      </c>
      <c r="F172" s="710">
        <f>50000-35000</f>
        <v>15000</v>
      </c>
      <c r="G172" s="295">
        <v>0</v>
      </c>
      <c r="H172" s="285" t="s">
        <v>765</v>
      </c>
      <c r="I172" s="710">
        <f>50000-35000</f>
        <v>15000</v>
      </c>
      <c r="J172" s="295">
        <v>0</v>
      </c>
      <c r="K172" s="265" t="s">
        <v>445</v>
      </c>
      <c r="L172" s="265">
        <v>2013</v>
      </c>
    </row>
    <row r="173" spans="1:12" s="382" customFormat="1" ht="25.5" customHeight="1">
      <c r="A173" s="296"/>
      <c r="B173" s="329"/>
      <c r="C173" s="309">
        <v>92604</v>
      </c>
      <c r="D173" s="383"/>
      <c r="E173" s="384" t="s">
        <v>766</v>
      </c>
      <c r="F173" s="295">
        <f>SUM(F174:F177)</f>
        <v>220000</v>
      </c>
      <c r="G173" s="295">
        <f>SUM(G174:G177)</f>
        <v>0</v>
      </c>
      <c r="H173" s="295"/>
      <c r="I173" s="295">
        <f>SUM(I174:I177)</f>
        <v>220000</v>
      </c>
      <c r="J173" s="295">
        <f>SUM(J174:J177)</f>
        <v>0</v>
      </c>
      <c r="K173" s="265"/>
      <c r="L173" s="265"/>
    </row>
    <row r="174" spans="1:12" s="382" customFormat="1" ht="27.75" customHeight="1">
      <c r="A174" s="296">
        <v>118</v>
      </c>
      <c r="B174" s="329"/>
      <c r="C174" s="305"/>
      <c r="D174" s="279">
        <v>6050</v>
      </c>
      <c r="E174" s="283" t="s">
        <v>767</v>
      </c>
      <c r="F174" s="295">
        <v>50000</v>
      </c>
      <c r="G174" s="295"/>
      <c r="H174" s="285" t="s">
        <v>768</v>
      </c>
      <c r="I174" s="295">
        <v>50000</v>
      </c>
      <c r="J174" s="295"/>
      <c r="K174" s="265" t="s">
        <v>769</v>
      </c>
      <c r="L174" s="265">
        <v>2013</v>
      </c>
    </row>
    <row r="175" spans="1:12" s="382" customFormat="1" ht="54.75" customHeight="1">
      <c r="A175" s="296">
        <v>119</v>
      </c>
      <c r="B175" s="329"/>
      <c r="C175" s="305"/>
      <c r="D175" s="590">
        <v>6050</v>
      </c>
      <c r="E175" s="283" t="s">
        <v>632</v>
      </c>
      <c r="F175" s="295">
        <v>20000</v>
      </c>
      <c r="G175" s="295"/>
      <c r="H175" s="285" t="s">
        <v>633</v>
      </c>
      <c r="I175" s="295">
        <v>20000</v>
      </c>
      <c r="J175" s="295"/>
      <c r="K175" s="265" t="s">
        <v>769</v>
      </c>
      <c r="L175" s="265">
        <v>2013</v>
      </c>
    </row>
    <row r="176" spans="1:12" s="382" customFormat="1" ht="43.5" customHeight="1">
      <c r="A176" s="296">
        <v>120</v>
      </c>
      <c r="B176" s="329"/>
      <c r="C176" s="305"/>
      <c r="D176" s="590">
        <v>6060</v>
      </c>
      <c r="E176" s="283" t="s">
        <v>247</v>
      </c>
      <c r="F176" s="295">
        <v>80000</v>
      </c>
      <c r="G176" s="295"/>
      <c r="H176" s="285" t="s">
        <v>719</v>
      </c>
      <c r="I176" s="295">
        <v>80000</v>
      </c>
      <c r="J176" s="295"/>
      <c r="K176" s="265" t="s">
        <v>769</v>
      </c>
      <c r="L176" s="265">
        <v>2013</v>
      </c>
    </row>
    <row r="177" spans="1:12" s="382" customFormat="1" ht="27.75" customHeight="1">
      <c r="A177" s="296">
        <v>121</v>
      </c>
      <c r="B177" s="329"/>
      <c r="C177" s="305"/>
      <c r="D177" s="590">
        <v>6060</v>
      </c>
      <c r="E177" s="283" t="s">
        <v>248</v>
      </c>
      <c r="F177" s="295">
        <v>70000</v>
      </c>
      <c r="G177" s="295"/>
      <c r="H177" s="285" t="s">
        <v>720</v>
      </c>
      <c r="I177" s="295">
        <v>70000</v>
      </c>
      <c r="J177" s="295"/>
      <c r="K177" s="265" t="s">
        <v>769</v>
      </c>
      <c r="L177" s="265">
        <v>2013</v>
      </c>
    </row>
    <row r="178" spans="1:15" ht="30" customHeight="1">
      <c r="A178" s="296"/>
      <c r="B178" s="385" t="s">
        <v>770</v>
      </c>
      <c r="C178" s="386"/>
      <c r="D178" s="325"/>
      <c r="E178" s="347"/>
      <c r="F178" s="387">
        <f>F179+F194+F198+F205+F214+F217+F224+F228</f>
        <v>36534509.55</v>
      </c>
      <c r="G178" s="387">
        <f>G179+G194+G198+G205+G214+G217+G224+G228</f>
        <v>18810224.86</v>
      </c>
      <c r="H178" s="387"/>
      <c r="I178" s="387">
        <f>I179+I194+I198+I205+I214+I217+I224+I228</f>
        <v>13024284.69</v>
      </c>
      <c r="J178" s="387">
        <f>J179+J194+J198+J205+J214+J217+J224+J228</f>
        <v>369082.52</v>
      </c>
      <c r="K178" s="265"/>
      <c r="L178" s="265"/>
      <c r="N178" s="537"/>
      <c r="O178" s="536"/>
    </row>
    <row r="179" spans="1:15" ht="26.25" customHeight="1">
      <c r="A179" s="268"/>
      <c r="B179" s="360">
        <v>600</v>
      </c>
      <c r="C179" s="268"/>
      <c r="D179" s="269"/>
      <c r="E179" s="301" t="s">
        <v>359</v>
      </c>
      <c r="F179" s="302">
        <f>F180</f>
        <v>33588069</v>
      </c>
      <c r="G179" s="302">
        <f>G180</f>
        <v>18810224.86</v>
      </c>
      <c r="H179" s="388"/>
      <c r="I179" s="302">
        <f>I180</f>
        <v>11077844.139999999</v>
      </c>
      <c r="J179" s="302">
        <f>J180</f>
        <v>52582.52000000002</v>
      </c>
      <c r="K179" s="265"/>
      <c r="L179" s="265"/>
      <c r="N179" s="538"/>
      <c r="O179" s="538"/>
    </row>
    <row r="180" spans="1:12" ht="27" customHeight="1">
      <c r="A180" s="296"/>
      <c r="B180" s="303"/>
      <c r="C180" s="309">
        <v>60015</v>
      </c>
      <c r="D180" s="275"/>
      <c r="E180" s="276" t="s">
        <v>771</v>
      </c>
      <c r="F180" s="277">
        <f>SUM(F181:F193)</f>
        <v>33588069</v>
      </c>
      <c r="G180" s="277">
        <f>SUM(G181:G193)</f>
        <v>18810224.86</v>
      </c>
      <c r="H180" s="344"/>
      <c r="I180" s="277">
        <f>SUM(I181:I193)</f>
        <v>11077844.139999999</v>
      </c>
      <c r="J180" s="277">
        <f>SUM(J181:J193)</f>
        <v>52582.52000000002</v>
      </c>
      <c r="K180" s="278"/>
      <c r="L180" s="278"/>
    </row>
    <row r="181" spans="1:14" ht="43.5" customHeight="1">
      <c r="A181" s="296">
        <v>122</v>
      </c>
      <c r="B181" s="365"/>
      <c r="C181" s="239"/>
      <c r="D181" s="298">
        <v>6050</v>
      </c>
      <c r="E181" s="361" t="s">
        <v>772</v>
      </c>
      <c r="F181" s="367">
        <f>27061100+125000+122352</f>
        <v>27308452</v>
      </c>
      <c r="G181" s="368">
        <f>23211100-3406101.69-1044773.45</f>
        <v>18760224.86</v>
      </c>
      <c r="H181" s="369" t="s">
        <v>773</v>
      </c>
      <c r="I181" s="370">
        <f>3850000+125000+122352+3406101.69+1044773.45</f>
        <v>8548227.139999999</v>
      </c>
      <c r="J181" s="370">
        <f>2141080-167000-1921497.48</f>
        <v>52582.52000000002</v>
      </c>
      <c r="K181" s="307" t="s">
        <v>774</v>
      </c>
      <c r="L181" s="307" t="s">
        <v>446</v>
      </c>
      <c r="N181" s="266"/>
    </row>
    <row r="182" spans="1:15" s="382" customFormat="1" ht="35.25" customHeight="1">
      <c r="A182" s="296">
        <v>123</v>
      </c>
      <c r="B182" s="365"/>
      <c r="C182" s="239"/>
      <c r="D182" s="298">
        <v>6050</v>
      </c>
      <c r="E182" s="361" t="s">
        <v>775</v>
      </c>
      <c r="F182" s="721">
        <f>5800000-530723-1000000</f>
        <v>4269277</v>
      </c>
      <c r="G182" s="368"/>
      <c r="H182" s="361" t="s">
        <v>776</v>
      </c>
      <c r="I182" s="722">
        <f>1100000-530723</f>
        <v>569277</v>
      </c>
      <c r="J182" s="370">
        <v>0</v>
      </c>
      <c r="K182" s="307" t="s">
        <v>469</v>
      </c>
      <c r="L182" s="307" t="s">
        <v>810</v>
      </c>
      <c r="N182" s="415"/>
      <c r="O182" s="415"/>
    </row>
    <row r="183" spans="1:16" s="382" customFormat="1" ht="58.5" customHeight="1">
      <c r="A183" s="296">
        <v>124</v>
      </c>
      <c r="B183" s="365"/>
      <c r="C183" s="239"/>
      <c r="D183" s="298">
        <v>6050</v>
      </c>
      <c r="E183" s="361" t="s">
        <v>777</v>
      </c>
      <c r="F183" s="367">
        <v>260000</v>
      </c>
      <c r="G183" s="368"/>
      <c r="H183" s="285" t="s">
        <v>765</v>
      </c>
      <c r="I183" s="370">
        <v>260000</v>
      </c>
      <c r="J183" s="370"/>
      <c r="K183" s="307" t="s">
        <v>445</v>
      </c>
      <c r="L183" s="307">
        <v>2013</v>
      </c>
      <c r="N183" s="415"/>
      <c r="O183" s="415"/>
      <c r="P183" s="415"/>
    </row>
    <row r="184" spans="1:15" s="382" customFormat="1" ht="57.75" customHeight="1">
      <c r="A184" s="296">
        <v>125</v>
      </c>
      <c r="B184" s="365"/>
      <c r="C184" s="239"/>
      <c r="D184" s="298">
        <v>6050</v>
      </c>
      <c r="E184" s="361" t="s">
        <v>781</v>
      </c>
      <c r="F184" s="367">
        <v>30000</v>
      </c>
      <c r="G184" s="368"/>
      <c r="H184" s="285" t="s">
        <v>765</v>
      </c>
      <c r="I184" s="370">
        <v>30000</v>
      </c>
      <c r="J184" s="370"/>
      <c r="K184" s="307" t="s">
        <v>469</v>
      </c>
      <c r="L184" s="307">
        <v>2013</v>
      </c>
      <c r="N184" s="415"/>
      <c r="O184" s="415"/>
    </row>
    <row r="185" spans="1:12" s="382" customFormat="1" ht="35.25" customHeight="1">
      <c r="A185" s="296">
        <v>126</v>
      </c>
      <c r="B185" s="365"/>
      <c r="C185" s="239"/>
      <c r="D185" s="298">
        <v>6050</v>
      </c>
      <c r="E185" s="361" t="s">
        <v>819</v>
      </c>
      <c r="F185" s="721">
        <v>45202</v>
      </c>
      <c r="G185" s="368"/>
      <c r="H185" s="285" t="s">
        <v>821</v>
      </c>
      <c r="I185" s="722">
        <f>2832000-828000-125000-130000-703798-1000000</f>
        <v>45202</v>
      </c>
      <c r="J185" s="370">
        <f>240000+753800-78000-828000-87800</f>
        <v>0</v>
      </c>
      <c r="K185" s="307" t="s">
        <v>445</v>
      </c>
      <c r="L185" s="307">
        <v>2013</v>
      </c>
    </row>
    <row r="186" spans="1:12" s="382" customFormat="1" ht="35.25" customHeight="1">
      <c r="A186" s="296">
        <v>127</v>
      </c>
      <c r="B186" s="365"/>
      <c r="C186" s="239"/>
      <c r="D186" s="298">
        <v>6050</v>
      </c>
      <c r="E186" s="361" t="s">
        <v>104</v>
      </c>
      <c r="F186" s="367">
        <f>500000+165335</f>
        <v>665335</v>
      </c>
      <c r="G186" s="368"/>
      <c r="H186" s="285" t="s">
        <v>745</v>
      </c>
      <c r="I186" s="370">
        <f>500000+165335</f>
        <v>665335</v>
      </c>
      <c r="J186" s="370"/>
      <c r="K186" s="307" t="s">
        <v>469</v>
      </c>
      <c r="L186" s="307">
        <v>2013</v>
      </c>
    </row>
    <row r="187" spans="1:12" s="382" customFormat="1" ht="66.75" customHeight="1">
      <c r="A187" s="296">
        <v>128</v>
      </c>
      <c r="B187" s="365"/>
      <c r="C187" s="239"/>
      <c r="D187" s="298">
        <v>6050</v>
      </c>
      <c r="E187" s="611" t="s">
        <v>318</v>
      </c>
      <c r="F187" s="367">
        <v>119400</v>
      </c>
      <c r="G187" s="368"/>
      <c r="H187" s="591" t="s">
        <v>319</v>
      </c>
      <c r="I187" s="370">
        <v>119400</v>
      </c>
      <c r="J187" s="370"/>
      <c r="K187" s="307" t="s">
        <v>469</v>
      </c>
      <c r="L187" s="307">
        <v>2013</v>
      </c>
    </row>
    <row r="188" spans="1:12" s="382" customFormat="1" ht="54.75" customHeight="1">
      <c r="A188" s="296">
        <v>129</v>
      </c>
      <c r="B188" s="365"/>
      <c r="C188" s="239"/>
      <c r="D188" s="298">
        <v>6050</v>
      </c>
      <c r="E188" s="592" t="s">
        <v>859</v>
      </c>
      <c r="F188" s="367">
        <f>450000-60000</f>
        <v>390000</v>
      </c>
      <c r="G188" s="368"/>
      <c r="H188" s="591" t="s">
        <v>721</v>
      </c>
      <c r="I188" s="370">
        <f>450000-60000</f>
        <v>390000</v>
      </c>
      <c r="J188" s="370"/>
      <c r="K188" s="307" t="s">
        <v>469</v>
      </c>
      <c r="L188" s="307">
        <v>2013</v>
      </c>
    </row>
    <row r="189" spans="1:12" s="382" customFormat="1" ht="51.75" customHeight="1">
      <c r="A189" s="296">
        <v>130</v>
      </c>
      <c r="B189" s="365"/>
      <c r="C189" s="239"/>
      <c r="D189" s="298">
        <v>6050</v>
      </c>
      <c r="E189" s="593" t="s">
        <v>860</v>
      </c>
      <c r="F189" s="367">
        <v>220000</v>
      </c>
      <c r="G189" s="368"/>
      <c r="H189" s="593" t="s">
        <v>722</v>
      </c>
      <c r="I189" s="370">
        <v>220000</v>
      </c>
      <c r="J189" s="370"/>
      <c r="K189" s="307" t="s">
        <v>469</v>
      </c>
      <c r="L189" s="307">
        <v>2013</v>
      </c>
    </row>
    <row r="190" spans="1:12" s="382" customFormat="1" ht="59.25" customHeight="1">
      <c r="A190" s="296">
        <v>131</v>
      </c>
      <c r="B190" s="365"/>
      <c r="C190" s="239"/>
      <c r="D190" s="298">
        <v>6050</v>
      </c>
      <c r="E190" s="593" t="s">
        <v>723</v>
      </c>
      <c r="F190" s="367">
        <v>12000</v>
      </c>
      <c r="G190" s="368"/>
      <c r="H190" s="389" t="s">
        <v>783</v>
      </c>
      <c r="I190" s="370">
        <v>12000</v>
      </c>
      <c r="J190" s="370"/>
      <c r="K190" s="307" t="s">
        <v>469</v>
      </c>
      <c r="L190" s="307">
        <v>2013</v>
      </c>
    </row>
    <row r="191" spans="1:14" s="382" customFormat="1" ht="133.5" customHeight="1">
      <c r="A191" s="231">
        <v>132</v>
      </c>
      <c r="B191" s="365"/>
      <c r="C191" s="239"/>
      <c r="D191" s="343">
        <v>6050</v>
      </c>
      <c r="E191" s="361" t="s">
        <v>782</v>
      </c>
      <c r="F191" s="367">
        <f>550000-350000-27597+69000</f>
        <v>241403</v>
      </c>
      <c r="G191" s="368">
        <v>50000</v>
      </c>
      <c r="H191" s="389" t="s">
        <v>691</v>
      </c>
      <c r="I191" s="370">
        <f>500000-350000-27597+69000</f>
        <v>191403</v>
      </c>
      <c r="J191" s="370">
        <v>0</v>
      </c>
      <c r="K191" s="307" t="s">
        <v>692</v>
      </c>
      <c r="L191" s="307" t="s">
        <v>446</v>
      </c>
      <c r="N191" s="415"/>
    </row>
    <row r="192" spans="1:14" s="382" customFormat="1" ht="60" customHeight="1">
      <c r="A192" s="231">
        <v>133</v>
      </c>
      <c r="B192" s="365"/>
      <c r="C192" s="239"/>
      <c r="D192" s="343">
        <v>6050</v>
      </c>
      <c r="E192" s="361" t="s">
        <v>593</v>
      </c>
      <c r="F192" s="370">
        <v>12000</v>
      </c>
      <c r="G192" s="368"/>
      <c r="H192" s="389" t="s">
        <v>587</v>
      </c>
      <c r="I192" s="370">
        <v>12000</v>
      </c>
      <c r="J192" s="370"/>
      <c r="K192" s="594" t="s">
        <v>469</v>
      </c>
      <c r="L192" s="594">
        <v>2013</v>
      </c>
      <c r="N192" s="415"/>
    </row>
    <row r="193" spans="1:14" s="382" customFormat="1" ht="80.25" customHeight="1">
      <c r="A193" s="231">
        <v>134</v>
      </c>
      <c r="B193" s="365"/>
      <c r="C193" s="239"/>
      <c r="D193" s="343">
        <v>6050</v>
      </c>
      <c r="E193" s="361" t="s">
        <v>586</v>
      </c>
      <c r="F193" s="370">
        <f>15000</f>
        <v>15000</v>
      </c>
      <c r="G193" s="368"/>
      <c r="H193" s="389" t="s">
        <v>848</v>
      </c>
      <c r="I193" s="370">
        <f>15000</f>
        <v>15000</v>
      </c>
      <c r="J193" s="370"/>
      <c r="K193" s="594" t="s">
        <v>469</v>
      </c>
      <c r="L193" s="594">
        <v>2013</v>
      </c>
      <c r="N193" s="415"/>
    </row>
    <row r="194" spans="1:14" s="602" customFormat="1" ht="28.5" customHeight="1">
      <c r="A194" s="268"/>
      <c r="B194" s="269">
        <v>630</v>
      </c>
      <c r="C194" s="268"/>
      <c r="D194" s="346"/>
      <c r="E194" s="600" t="s">
        <v>844</v>
      </c>
      <c r="F194" s="601">
        <f>F195</f>
        <v>130000</v>
      </c>
      <c r="G194" s="601">
        <f>G195</f>
        <v>0</v>
      </c>
      <c r="H194" s="601"/>
      <c r="I194" s="601">
        <f>I195</f>
        <v>130000</v>
      </c>
      <c r="J194" s="601">
        <f>J195</f>
        <v>0</v>
      </c>
      <c r="K194" s="549"/>
      <c r="L194" s="549"/>
      <c r="N194" s="603"/>
    </row>
    <row r="195" spans="1:14" s="598" customFormat="1" ht="29.25" customHeight="1">
      <c r="A195" s="308"/>
      <c r="B195" s="526"/>
      <c r="C195" s="309">
        <v>63095</v>
      </c>
      <c r="D195" s="402"/>
      <c r="E195" s="595" t="s">
        <v>482</v>
      </c>
      <c r="F195" s="596">
        <f>SUM(F196:F197)</f>
        <v>130000</v>
      </c>
      <c r="G195" s="596">
        <f>SUM(G196:G197)</f>
        <v>0</v>
      </c>
      <c r="H195" s="596"/>
      <c r="I195" s="596">
        <f>SUM(I196:I197)</f>
        <v>130000</v>
      </c>
      <c r="J195" s="596">
        <f>SUM(J196:J197)</f>
        <v>0</v>
      </c>
      <c r="K195" s="597"/>
      <c r="L195" s="597"/>
      <c r="N195" s="599"/>
    </row>
    <row r="196" spans="1:14" s="382" customFormat="1" ht="54" customHeight="1">
      <c r="A196" s="296">
        <v>135</v>
      </c>
      <c r="B196" s="365"/>
      <c r="C196" s="239"/>
      <c r="D196" s="298">
        <v>6050</v>
      </c>
      <c r="E196" s="361" t="s">
        <v>15</v>
      </c>
      <c r="F196" s="367">
        <v>60000</v>
      </c>
      <c r="G196" s="368"/>
      <c r="H196" s="285" t="s">
        <v>765</v>
      </c>
      <c r="I196" s="370">
        <v>60000</v>
      </c>
      <c r="J196" s="370"/>
      <c r="K196" s="594" t="s">
        <v>445</v>
      </c>
      <c r="L196" s="594">
        <v>2013</v>
      </c>
      <c r="N196" s="415"/>
    </row>
    <row r="197" spans="1:14" s="382" customFormat="1" ht="39.75" customHeight="1">
      <c r="A197" s="296">
        <v>136</v>
      </c>
      <c r="B197" s="365"/>
      <c r="C197" s="239"/>
      <c r="D197" s="298">
        <v>6050</v>
      </c>
      <c r="E197" s="361" t="s">
        <v>0</v>
      </c>
      <c r="F197" s="367">
        <v>70000</v>
      </c>
      <c r="G197" s="368"/>
      <c r="H197" s="389" t="s">
        <v>724</v>
      </c>
      <c r="I197" s="370">
        <v>70000</v>
      </c>
      <c r="J197" s="370"/>
      <c r="K197" s="594" t="s">
        <v>769</v>
      </c>
      <c r="L197" s="594">
        <v>2013</v>
      </c>
      <c r="N197" s="415"/>
    </row>
    <row r="198" spans="1:17" s="49" customFormat="1" ht="27" customHeight="1">
      <c r="A198" s="239"/>
      <c r="B198" s="268">
        <v>710</v>
      </c>
      <c r="C198" s="268"/>
      <c r="D198" s="268"/>
      <c r="E198" s="347" t="s">
        <v>784</v>
      </c>
      <c r="F198" s="328">
        <f>F199+F202</f>
        <v>55000</v>
      </c>
      <c r="G198" s="328">
        <f>G199+G202</f>
        <v>0</v>
      </c>
      <c r="H198" s="328"/>
      <c r="I198" s="328">
        <f>I199+I202</f>
        <v>55000</v>
      </c>
      <c r="J198" s="328">
        <f>J199+J202</f>
        <v>0</v>
      </c>
      <c r="K198" s="264"/>
      <c r="L198" s="264"/>
      <c r="N198" s="390"/>
      <c r="O198" s="390"/>
      <c r="P198" s="390"/>
      <c r="Q198" s="3"/>
    </row>
    <row r="199" spans="1:17" s="49" customFormat="1" ht="27" customHeight="1">
      <c r="A199" s="239"/>
      <c r="B199" s="332"/>
      <c r="C199" s="303">
        <v>71012</v>
      </c>
      <c r="D199" s="310"/>
      <c r="E199" s="316" t="s">
        <v>785</v>
      </c>
      <c r="F199" s="317">
        <f>F200+F201</f>
        <v>45000</v>
      </c>
      <c r="G199" s="317">
        <f>G200+G201</f>
        <v>0</v>
      </c>
      <c r="H199" s="317"/>
      <c r="I199" s="317">
        <f>I200+I201</f>
        <v>45000</v>
      </c>
      <c r="J199" s="317">
        <f>J200+J201</f>
        <v>0</v>
      </c>
      <c r="K199" s="391"/>
      <c r="L199" s="391"/>
      <c r="N199" s="390"/>
      <c r="O199" s="390"/>
      <c r="P199" s="390"/>
      <c r="Q199" s="3"/>
    </row>
    <row r="200" spans="1:17" s="49" customFormat="1" ht="52.5" customHeight="1">
      <c r="A200" s="296">
        <v>137</v>
      </c>
      <c r="B200" s="339"/>
      <c r="C200" s="231"/>
      <c r="D200" s="298">
        <v>6050</v>
      </c>
      <c r="E200" s="336" t="s">
        <v>834</v>
      </c>
      <c r="F200" s="337">
        <v>25000</v>
      </c>
      <c r="G200" s="337"/>
      <c r="H200" s="337" t="s">
        <v>725</v>
      </c>
      <c r="I200" s="337">
        <v>25000</v>
      </c>
      <c r="J200" s="337"/>
      <c r="K200" s="264" t="s">
        <v>788</v>
      </c>
      <c r="L200" s="264">
        <v>2013</v>
      </c>
      <c r="N200" s="390"/>
      <c r="O200" s="390"/>
      <c r="P200" s="390"/>
      <c r="Q200" s="3"/>
    </row>
    <row r="201" spans="1:17" s="49" customFormat="1" ht="54.75" customHeight="1">
      <c r="A201" s="296">
        <v>138</v>
      </c>
      <c r="B201" s="339"/>
      <c r="C201" s="300"/>
      <c r="D201" s="298">
        <v>6060</v>
      </c>
      <c r="E201" s="336" t="s">
        <v>786</v>
      </c>
      <c r="F201" s="337">
        <f>25000+20000-25000</f>
        <v>20000</v>
      </c>
      <c r="G201" s="337">
        <v>0</v>
      </c>
      <c r="H201" s="392" t="s">
        <v>787</v>
      </c>
      <c r="I201" s="337">
        <f>25000+20000-25000</f>
        <v>20000</v>
      </c>
      <c r="J201" s="337">
        <v>0</v>
      </c>
      <c r="K201" s="264" t="s">
        <v>788</v>
      </c>
      <c r="L201" s="264">
        <v>2013</v>
      </c>
      <c r="N201" s="390"/>
      <c r="O201" s="390"/>
      <c r="P201" s="390"/>
      <c r="Q201" s="3"/>
    </row>
    <row r="202" spans="1:17" s="49" customFormat="1" ht="21.75" customHeight="1">
      <c r="A202" s="249"/>
      <c r="B202" s="308"/>
      <c r="C202" s="274">
        <v>71015</v>
      </c>
      <c r="D202" s="310"/>
      <c r="E202" s="316" t="s">
        <v>789</v>
      </c>
      <c r="F202" s="317">
        <f>F203+F204</f>
        <v>10000</v>
      </c>
      <c r="G202" s="317">
        <f>G204</f>
        <v>0</v>
      </c>
      <c r="H202" s="317"/>
      <c r="I202" s="317">
        <f>I203+I204</f>
        <v>10000</v>
      </c>
      <c r="J202" s="317">
        <f>J204</f>
        <v>0</v>
      </c>
      <c r="K202" s="391"/>
      <c r="L202" s="391"/>
      <c r="N202" s="390"/>
      <c r="O202" s="390"/>
      <c r="P202" s="390"/>
      <c r="Q202" s="3"/>
    </row>
    <row r="203" spans="1:17" s="49" customFormat="1" ht="40.5" customHeight="1">
      <c r="A203" s="249">
        <v>139</v>
      </c>
      <c r="B203" s="308"/>
      <c r="C203" s="273"/>
      <c r="D203" s="325">
        <v>6060</v>
      </c>
      <c r="E203" s="336" t="s">
        <v>790</v>
      </c>
      <c r="F203" s="337">
        <v>5000</v>
      </c>
      <c r="G203" s="337">
        <v>0</v>
      </c>
      <c r="H203" s="392" t="s">
        <v>791</v>
      </c>
      <c r="I203" s="393">
        <v>5000</v>
      </c>
      <c r="J203" s="393">
        <v>0</v>
      </c>
      <c r="K203" s="307" t="s">
        <v>792</v>
      </c>
      <c r="L203" s="307">
        <v>2013</v>
      </c>
      <c r="N203" s="390"/>
      <c r="O203" s="390"/>
      <c r="P203" s="390"/>
      <c r="Q203" s="3"/>
    </row>
    <row r="204" spans="1:17" s="49" customFormat="1" ht="41.25" customHeight="1">
      <c r="A204" s="296">
        <v>140</v>
      </c>
      <c r="B204" s="239"/>
      <c r="C204" s="305"/>
      <c r="D204" s="325">
        <v>6060</v>
      </c>
      <c r="E204" s="336" t="s">
        <v>793</v>
      </c>
      <c r="F204" s="337">
        <v>5000</v>
      </c>
      <c r="G204" s="337">
        <v>0</v>
      </c>
      <c r="H204" s="392" t="s">
        <v>794</v>
      </c>
      <c r="I204" s="393">
        <v>5000</v>
      </c>
      <c r="J204" s="393">
        <v>0</v>
      </c>
      <c r="K204" s="307" t="s">
        <v>792</v>
      </c>
      <c r="L204" s="307">
        <v>2013</v>
      </c>
      <c r="N204" s="390"/>
      <c r="O204" s="390"/>
      <c r="P204" s="390"/>
      <c r="Q204" s="3"/>
    </row>
    <row r="205" spans="1:17" s="49" customFormat="1" ht="35.25" customHeight="1">
      <c r="A205" s="268"/>
      <c r="B205" s="268">
        <v>754</v>
      </c>
      <c r="C205" s="268"/>
      <c r="D205" s="268"/>
      <c r="E205" s="312" t="s">
        <v>495</v>
      </c>
      <c r="F205" s="394">
        <f>F206+F208</f>
        <v>810000</v>
      </c>
      <c r="G205" s="394">
        <f>G206+G208</f>
        <v>0</v>
      </c>
      <c r="H205" s="394"/>
      <c r="I205" s="394">
        <f>I206+I208</f>
        <v>810000</v>
      </c>
      <c r="J205" s="394">
        <f>J206+J208</f>
        <v>100000</v>
      </c>
      <c r="K205" s="307"/>
      <c r="L205" s="307"/>
      <c r="N205" s="390"/>
      <c r="O205" s="390"/>
      <c r="P205" s="390"/>
      <c r="Q205" s="3"/>
    </row>
    <row r="206" spans="1:17" s="49" customFormat="1" ht="35.25" customHeight="1">
      <c r="A206" s="296"/>
      <c r="B206" s="239"/>
      <c r="C206" s="296">
        <v>75405</v>
      </c>
      <c r="D206" s="439"/>
      <c r="E206" s="336" t="s">
        <v>90</v>
      </c>
      <c r="F206" s="306">
        <f>F207</f>
        <v>210000</v>
      </c>
      <c r="G206" s="306">
        <f>G207</f>
        <v>0</v>
      </c>
      <c r="H206" s="306"/>
      <c r="I206" s="306">
        <f>I207</f>
        <v>210000</v>
      </c>
      <c r="J206" s="306">
        <f>J207</f>
        <v>0</v>
      </c>
      <c r="K206" s="307"/>
      <c r="L206" s="307"/>
      <c r="N206" s="390"/>
      <c r="O206" s="390"/>
      <c r="P206" s="390"/>
      <c r="Q206" s="3"/>
    </row>
    <row r="207" spans="1:17" s="49" customFormat="1" ht="35.25" customHeight="1">
      <c r="A207" s="296">
        <v>141</v>
      </c>
      <c r="B207" s="239"/>
      <c r="C207" s="296"/>
      <c r="D207" s="439">
        <v>6170</v>
      </c>
      <c r="E207" s="336" t="s">
        <v>726</v>
      </c>
      <c r="F207" s="306">
        <f>150000+60000</f>
        <v>210000</v>
      </c>
      <c r="G207" s="306"/>
      <c r="H207" s="306" t="s">
        <v>727</v>
      </c>
      <c r="I207" s="306">
        <f>150000+60000</f>
        <v>210000</v>
      </c>
      <c r="J207" s="306"/>
      <c r="K207" s="307" t="s">
        <v>499</v>
      </c>
      <c r="L207" s="307">
        <v>2013</v>
      </c>
      <c r="N207" s="390"/>
      <c r="O207" s="390"/>
      <c r="P207" s="390"/>
      <c r="Q207" s="3"/>
    </row>
    <row r="208" spans="1:17" s="49" customFormat="1" ht="33" customHeight="1">
      <c r="A208" s="296"/>
      <c r="B208" s="308"/>
      <c r="C208" s="309">
        <v>75411</v>
      </c>
      <c r="D208" s="395"/>
      <c r="E208" s="316" t="s">
        <v>795</v>
      </c>
      <c r="F208" s="306">
        <f>SUM(F209:F213)</f>
        <v>600000</v>
      </c>
      <c r="G208" s="306">
        <f>SUM(G209:G213)</f>
        <v>0</v>
      </c>
      <c r="H208" s="306"/>
      <c r="I208" s="306">
        <f>SUM(I209:I213)</f>
        <v>600000</v>
      </c>
      <c r="J208" s="306">
        <f>SUM(J209:J213)</f>
        <v>100000</v>
      </c>
      <c r="K208" s="307"/>
      <c r="L208" s="307"/>
      <c r="N208" s="390"/>
      <c r="O208" s="390"/>
      <c r="P208" s="390"/>
      <c r="Q208" s="3"/>
    </row>
    <row r="209" spans="1:17" s="49" customFormat="1" ht="105.75" customHeight="1">
      <c r="A209" s="989">
        <v>142</v>
      </c>
      <c r="B209" s="239"/>
      <c r="C209" s="305"/>
      <c r="D209" s="380">
        <v>6050</v>
      </c>
      <c r="E209" s="294" t="s">
        <v>796</v>
      </c>
      <c r="F209" s="337">
        <f>100000</f>
        <v>100000</v>
      </c>
      <c r="G209" s="337">
        <v>0</v>
      </c>
      <c r="H209" s="392" t="s">
        <v>797</v>
      </c>
      <c r="I209" s="306">
        <f>100000</f>
        <v>100000</v>
      </c>
      <c r="J209" s="306"/>
      <c r="K209" s="307" t="s">
        <v>798</v>
      </c>
      <c r="L209" s="307">
        <v>2013</v>
      </c>
      <c r="N209" s="390"/>
      <c r="O209" s="390"/>
      <c r="P209" s="390"/>
      <c r="Q209" s="3"/>
    </row>
    <row r="210" spans="1:17" s="49" customFormat="1" ht="105.75" customHeight="1">
      <c r="A210" s="991"/>
      <c r="B210" s="239"/>
      <c r="C210" s="305"/>
      <c r="D210" s="946">
        <v>6050</v>
      </c>
      <c r="E210" s="704" t="s">
        <v>796</v>
      </c>
      <c r="F210" s="715">
        <f>100000+130000</f>
        <v>230000</v>
      </c>
      <c r="G210" s="715"/>
      <c r="H210" s="716" t="s">
        <v>797</v>
      </c>
      <c r="I210" s="947">
        <f>130000+100000</f>
        <v>230000</v>
      </c>
      <c r="J210" s="947"/>
      <c r="K210" s="702" t="s">
        <v>798</v>
      </c>
      <c r="L210" s="702">
        <v>2013</v>
      </c>
      <c r="N210" s="390"/>
      <c r="O210" s="390"/>
      <c r="P210" s="390"/>
      <c r="Q210" s="3"/>
    </row>
    <row r="211" spans="1:17" s="49" customFormat="1" ht="111.75" customHeight="1">
      <c r="A211" s="991"/>
      <c r="B211" s="239"/>
      <c r="C211" s="305"/>
      <c r="D211" s="380">
        <v>6170</v>
      </c>
      <c r="E211" s="294" t="s">
        <v>796</v>
      </c>
      <c r="F211" s="337">
        <f>100000+130000</f>
        <v>230000</v>
      </c>
      <c r="G211" s="337"/>
      <c r="H211" s="392" t="s">
        <v>797</v>
      </c>
      <c r="I211" s="306">
        <f>130000+100000</f>
        <v>230000</v>
      </c>
      <c r="J211" s="306">
        <v>100000</v>
      </c>
      <c r="K211" s="307" t="s">
        <v>499</v>
      </c>
      <c r="L211" s="307">
        <v>2013</v>
      </c>
      <c r="N211" s="390"/>
      <c r="O211" s="390"/>
      <c r="P211" s="390"/>
      <c r="Q211" s="3"/>
    </row>
    <row r="212" spans="1:17" s="49" customFormat="1" ht="111.75" customHeight="1">
      <c r="A212" s="989">
        <v>143</v>
      </c>
      <c r="B212" s="305"/>
      <c r="C212" s="305"/>
      <c r="D212" s="946">
        <v>6050</v>
      </c>
      <c r="E212" s="704" t="s">
        <v>18</v>
      </c>
      <c r="F212" s="715">
        <v>20000</v>
      </c>
      <c r="G212" s="715"/>
      <c r="H212" s="716" t="s">
        <v>728</v>
      </c>
      <c r="I212" s="948">
        <v>20000</v>
      </c>
      <c r="J212" s="948"/>
      <c r="K212" s="702" t="s">
        <v>798</v>
      </c>
      <c r="L212" s="702">
        <v>2013</v>
      </c>
      <c r="N212" s="390"/>
      <c r="O212" s="390"/>
      <c r="P212" s="390"/>
      <c r="Q212" s="3"/>
    </row>
    <row r="213" spans="1:17" s="49" customFormat="1" ht="87" customHeight="1">
      <c r="A213" s="990"/>
      <c r="B213" s="305"/>
      <c r="C213" s="305"/>
      <c r="D213" s="380">
        <v>6170</v>
      </c>
      <c r="E213" s="294" t="s">
        <v>18</v>
      </c>
      <c r="F213" s="337">
        <v>20000</v>
      </c>
      <c r="G213" s="337"/>
      <c r="H213" s="392" t="s">
        <v>728</v>
      </c>
      <c r="I213" s="604">
        <v>20000</v>
      </c>
      <c r="J213" s="604"/>
      <c r="K213" s="307" t="s">
        <v>499</v>
      </c>
      <c r="L213" s="307">
        <v>2013</v>
      </c>
      <c r="N213" s="390"/>
      <c r="O213" s="390"/>
      <c r="P213" s="390"/>
      <c r="Q213" s="3"/>
    </row>
    <row r="214" spans="1:12" ht="21.75" customHeight="1">
      <c r="A214" s="543"/>
      <c r="B214" s="268">
        <v>758</v>
      </c>
      <c r="C214" s="268"/>
      <c r="D214" s="269"/>
      <c r="E214" s="301" t="s">
        <v>22</v>
      </c>
      <c r="F214" s="302">
        <f>F215</f>
        <v>234335.55</v>
      </c>
      <c r="G214" s="302">
        <f aca="true" t="shared" si="1" ref="G214:J215">G215</f>
        <v>0</v>
      </c>
      <c r="H214" s="302"/>
      <c r="I214" s="302">
        <f t="shared" si="1"/>
        <v>234335.55</v>
      </c>
      <c r="J214" s="302">
        <f t="shared" si="1"/>
        <v>0</v>
      </c>
      <c r="K214" s="265"/>
      <c r="L214" s="265"/>
    </row>
    <row r="215" spans="1:12" ht="22.5" customHeight="1">
      <c r="A215" s="514"/>
      <c r="B215" s="335"/>
      <c r="C215" s="315">
        <v>75818</v>
      </c>
      <c r="D215" s="310"/>
      <c r="E215" s="316" t="s">
        <v>23</v>
      </c>
      <c r="F215" s="317">
        <f>F216</f>
        <v>234335.55</v>
      </c>
      <c r="G215" s="317">
        <f t="shared" si="1"/>
        <v>0</v>
      </c>
      <c r="H215" s="317"/>
      <c r="I215" s="317">
        <f t="shared" si="1"/>
        <v>234335.55</v>
      </c>
      <c r="J215" s="317">
        <f t="shared" si="1"/>
        <v>0</v>
      </c>
      <c r="K215" s="278"/>
      <c r="L215" s="278"/>
    </row>
    <row r="216" spans="1:14" ht="32.25" customHeight="1">
      <c r="A216" s="514"/>
      <c r="B216" s="332"/>
      <c r="C216" s="305"/>
      <c r="D216" s="325">
        <v>6800</v>
      </c>
      <c r="E216" s="336" t="s">
        <v>502</v>
      </c>
      <c r="F216" s="715">
        <f>185000-85000+140536.05-165335+159134.5</f>
        <v>234335.55</v>
      </c>
      <c r="G216" s="337"/>
      <c r="H216" s="285"/>
      <c r="I216" s="723">
        <f>185000-85000+140536.05-165335+159134.5</f>
        <v>234335.55</v>
      </c>
      <c r="J216" s="334">
        <f>500000-500000</f>
        <v>0</v>
      </c>
      <c r="K216" s="265"/>
      <c r="L216" s="265"/>
      <c r="N216" s="266"/>
    </row>
    <row r="217" spans="1:12" ht="26.25" customHeight="1">
      <c r="A217" s="231"/>
      <c r="B217" s="360">
        <v>801</v>
      </c>
      <c r="C217" s="268"/>
      <c r="D217" s="268"/>
      <c r="E217" s="327" t="s">
        <v>503</v>
      </c>
      <c r="F217" s="302">
        <f>F218+F220+F222</f>
        <v>133105</v>
      </c>
      <c r="G217" s="302">
        <f>G218+G220+G222</f>
        <v>0</v>
      </c>
      <c r="H217" s="302"/>
      <c r="I217" s="302">
        <f>I218+I220+I222</f>
        <v>133105</v>
      </c>
      <c r="J217" s="302">
        <f>J218+J220+J222</f>
        <v>116500</v>
      </c>
      <c r="K217" s="349"/>
      <c r="L217" s="349"/>
    </row>
    <row r="218" spans="1:12" s="403" customFormat="1" ht="26.25" customHeight="1">
      <c r="A218" s="526"/>
      <c r="B218" s="303"/>
      <c r="C218" s="304">
        <v>80120</v>
      </c>
      <c r="D218" s="309"/>
      <c r="E218" s="330" t="s">
        <v>32</v>
      </c>
      <c r="F218" s="277">
        <f>F219</f>
        <v>110000</v>
      </c>
      <c r="G218" s="277">
        <f>G219</f>
        <v>0</v>
      </c>
      <c r="H218" s="277"/>
      <c r="I218" s="277">
        <f>I219</f>
        <v>110000</v>
      </c>
      <c r="J218" s="277">
        <f>J219</f>
        <v>110000</v>
      </c>
      <c r="K218" s="278"/>
      <c r="L218" s="278"/>
    </row>
    <row r="219" spans="1:12" s="531" customFormat="1" ht="35.25" customHeight="1">
      <c r="A219" s="296">
        <v>144</v>
      </c>
      <c r="B219" s="239"/>
      <c r="C219" s="366"/>
      <c r="D219" s="296">
        <v>6050</v>
      </c>
      <c r="E219" s="525" t="s">
        <v>105</v>
      </c>
      <c r="F219" s="295">
        <v>110000</v>
      </c>
      <c r="G219" s="295"/>
      <c r="H219" s="295" t="s">
        <v>115</v>
      </c>
      <c r="I219" s="295">
        <v>110000</v>
      </c>
      <c r="J219" s="295">
        <v>110000</v>
      </c>
      <c r="K219" s="265" t="s">
        <v>31</v>
      </c>
      <c r="L219" s="265">
        <v>2013</v>
      </c>
    </row>
    <row r="220" spans="1:12" s="531" customFormat="1" ht="45" customHeight="1">
      <c r="A220" s="296">
        <v>145</v>
      </c>
      <c r="B220" s="239"/>
      <c r="C220" s="366">
        <v>80140</v>
      </c>
      <c r="D220" s="296"/>
      <c r="E220" s="525" t="s">
        <v>116</v>
      </c>
      <c r="F220" s="295">
        <f>F221</f>
        <v>16605</v>
      </c>
      <c r="G220" s="295">
        <f>G221</f>
        <v>0</v>
      </c>
      <c r="H220" s="295"/>
      <c r="I220" s="295">
        <f>I221</f>
        <v>16605</v>
      </c>
      <c r="J220" s="295">
        <f>J221</f>
        <v>0</v>
      </c>
      <c r="K220" s="265"/>
      <c r="L220" s="265"/>
    </row>
    <row r="221" spans="1:12" s="531" customFormat="1" ht="41.25" customHeight="1">
      <c r="A221" s="296">
        <v>146</v>
      </c>
      <c r="B221" s="239"/>
      <c r="C221" s="366"/>
      <c r="D221" s="296">
        <v>6050</v>
      </c>
      <c r="E221" s="525" t="s">
        <v>106</v>
      </c>
      <c r="F221" s="710">
        <f>200000-183395</f>
        <v>16605</v>
      </c>
      <c r="G221" s="295"/>
      <c r="H221" s="295" t="s">
        <v>368</v>
      </c>
      <c r="I221" s="710">
        <f>200000-183395</f>
        <v>16605</v>
      </c>
      <c r="J221" s="295"/>
      <c r="K221" s="265" t="s">
        <v>30</v>
      </c>
      <c r="L221" s="265">
        <v>2013</v>
      </c>
    </row>
    <row r="222" spans="1:12" ht="32.25" customHeight="1">
      <c r="A222" s="231"/>
      <c r="B222" s="305"/>
      <c r="C222" s="304">
        <v>80146</v>
      </c>
      <c r="D222" s="309"/>
      <c r="E222" s="397" t="s">
        <v>799</v>
      </c>
      <c r="F222" s="277">
        <f>F223</f>
        <v>6500</v>
      </c>
      <c r="G222" s="277">
        <f>G223</f>
        <v>0</v>
      </c>
      <c r="H222" s="277"/>
      <c r="I222" s="277">
        <f>I223</f>
        <v>6500</v>
      </c>
      <c r="J222" s="277">
        <f>J223</f>
        <v>6500</v>
      </c>
      <c r="K222" s="278"/>
      <c r="L222" s="278"/>
    </row>
    <row r="223" spans="1:12" ht="53.25" customHeight="1">
      <c r="A223" s="249">
        <v>147</v>
      </c>
      <c r="B223" s="333"/>
      <c r="C223" s="343"/>
      <c r="D223" s="231">
        <v>6050</v>
      </c>
      <c r="E223" s="398" t="s">
        <v>800</v>
      </c>
      <c r="F223" s="399">
        <v>6500</v>
      </c>
      <c r="G223" s="400">
        <v>0</v>
      </c>
      <c r="H223" s="401" t="s">
        <v>801</v>
      </c>
      <c r="I223" s="396">
        <v>6500</v>
      </c>
      <c r="J223" s="334">
        <v>6500</v>
      </c>
      <c r="K223" s="265" t="s">
        <v>802</v>
      </c>
      <c r="L223" s="265">
        <v>2013</v>
      </c>
    </row>
    <row r="224" spans="1:12" s="350" customFormat="1" ht="28.5" customHeight="1">
      <c r="A224" s="300"/>
      <c r="B224" s="332">
        <v>852</v>
      </c>
      <c r="C224" s="268"/>
      <c r="D224" s="268"/>
      <c r="E224" s="347" t="s">
        <v>803</v>
      </c>
      <c r="F224" s="328">
        <f>F225</f>
        <v>84000</v>
      </c>
      <c r="G224" s="328">
        <f aca="true" t="shared" si="2" ref="G224:J225">G225</f>
        <v>0</v>
      </c>
      <c r="H224" s="328"/>
      <c r="I224" s="328">
        <f t="shared" si="2"/>
        <v>84000</v>
      </c>
      <c r="J224" s="328">
        <f t="shared" si="2"/>
        <v>0</v>
      </c>
      <c r="K224" s="349"/>
      <c r="L224" s="349"/>
    </row>
    <row r="225" spans="1:12" s="403" customFormat="1" ht="24" customHeight="1">
      <c r="A225" s="981"/>
      <c r="B225" s="303"/>
      <c r="C225" s="402">
        <v>85202</v>
      </c>
      <c r="D225" s="309"/>
      <c r="E225" s="352" t="s">
        <v>804</v>
      </c>
      <c r="F225" s="331">
        <f>F226+F227</f>
        <v>84000</v>
      </c>
      <c r="G225" s="331">
        <f t="shared" si="2"/>
        <v>0</v>
      </c>
      <c r="H225" s="331"/>
      <c r="I225" s="331">
        <f>I226+I227</f>
        <v>84000</v>
      </c>
      <c r="J225" s="331">
        <f t="shared" si="2"/>
        <v>0</v>
      </c>
      <c r="K225" s="278"/>
      <c r="L225" s="278"/>
    </row>
    <row r="226" spans="1:12" ht="42" customHeight="1">
      <c r="A226" s="296">
        <v>148</v>
      </c>
      <c r="B226" s="239"/>
      <c r="C226" s="298"/>
      <c r="D226" s="296">
        <v>6060</v>
      </c>
      <c r="E226" s="283" t="s">
        <v>805</v>
      </c>
      <c r="F226" s="984">
        <f>84000-3600</f>
        <v>80400</v>
      </c>
      <c r="G226" s="400"/>
      <c r="H226" s="285" t="s">
        <v>806</v>
      </c>
      <c r="I226" s="723">
        <f>84000-3600</f>
        <v>80400</v>
      </c>
      <c r="J226" s="299"/>
      <c r="K226" s="265" t="s">
        <v>807</v>
      </c>
      <c r="L226" s="265">
        <v>2013</v>
      </c>
    </row>
    <row r="227" spans="1:12" ht="42" customHeight="1">
      <c r="A227" s="296">
        <v>149</v>
      </c>
      <c r="B227" s="249"/>
      <c r="C227" s="298"/>
      <c r="D227" s="325">
        <v>6060</v>
      </c>
      <c r="E227" s="294" t="s">
        <v>49</v>
      </c>
      <c r="F227" s="710">
        <v>3600</v>
      </c>
      <c r="G227" s="295"/>
      <c r="H227" s="291" t="s">
        <v>50</v>
      </c>
      <c r="I227" s="980">
        <v>3600</v>
      </c>
      <c r="J227" s="299"/>
      <c r="K227" s="265" t="s">
        <v>807</v>
      </c>
      <c r="L227" s="265">
        <v>2013</v>
      </c>
    </row>
    <row r="228" spans="1:12" ht="24" customHeight="1">
      <c r="A228" s="268"/>
      <c r="B228" s="982">
        <v>926</v>
      </c>
      <c r="C228" s="268"/>
      <c r="D228" s="269"/>
      <c r="E228" s="301" t="s">
        <v>760</v>
      </c>
      <c r="F228" s="302">
        <f>F229</f>
        <v>1500000</v>
      </c>
      <c r="G228" s="302">
        <f>G229</f>
        <v>0</v>
      </c>
      <c r="H228" s="302"/>
      <c r="I228" s="302">
        <f>I229</f>
        <v>500000</v>
      </c>
      <c r="J228" s="302">
        <f>J229</f>
        <v>100000</v>
      </c>
      <c r="K228" s="265"/>
      <c r="L228" s="265"/>
    </row>
    <row r="229" spans="1:12" ht="24" customHeight="1">
      <c r="A229" s="339"/>
      <c r="B229" s="335"/>
      <c r="C229" s="315">
        <v>92601</v>
      </c>
      <c r="D229" s="310"/>
      <c r="E229" s="276" t="s">
        <v>761</v>
      </c>
      <c r="F229" s="277">
        <f>SUM(F230:F230)</f>
        <v>1500000</v>
      </c>
      <c r="G229" s="277">
        <f>SUM(G230:G230)</f>
        <v>0</v>
      </c>
      <c r="H229" s="277"/>
      <c r="I229" s="277">
        <f>SUM(I230:I230)</f>
        <v>500000</v>
      </c>
      <c r="J229" s="277">
        <f>SUM(J230:J230)</f>
        <v>100000</v>
      </c>
      <c r="K229" s="278"/>
      <c r="L229" s="278"/>
    </row>
    <row r="230" spans="1:12" ht="38.25" customHeight="1">
      <c r="A230" s="365">
        <v>150</v>
      </c>
      <c r="B230" s="329"/>
      <c r="C230" s="273"/>
      <c r="D230" s="380">
        <v>6050</v>
      </c>
      <c r="E230" s="289" t="s">
        <v>808</v>
      </c>
      <c r="F230" s="295">
        <f>50000+450000+1000000</f>
        <v>1500000</v>
      </c>
      <c r="G230" s="295">
        <v>0</v>
      </c>
      <c r="H230" s="285" t="s">
        <v>809</v>
      </c>
      <c r="I230" s="295">
        <f>450000+50000</f>
        <v>500000</v>
      </c>
      <c r="J230" s="295">
        <v>100000</v>
      </c>
      <c r="K230" s="265" t="s">
        <v>445</v>
      </c>
      <c r="L230" s="307" t="s">
        <v>810</v>
      </c>
    </row>
    <row r="231" spans="1:15" ht="28.5" customHeight="1">
      <c r="A231" s="268"/>
      <c r="B231" s="404" t="s">
        <v>261</v>
      </c>
      <c r="C231" s="405"/>
      <c r="D231" s="406"/>
      <c r="E231" s="407"/>
      <c r="F231" s="387">
        <f>F13+F178</f>
        <v>89905991.06</v>
      </c>
      <c r="G231" s="387">
        <f>G13+G178</f>
        <v>23804561.88</v>
      </c>
      <c r="H231" s="387"/>
      <c r="I231" s="387">
        <f>I13+I178</f>
        <v>46949197.349999994</v>
      </c>
      <c r="J231" s="387">
        <f>J13+J178</f>
        <v>5513303</v>
      </c>
      <c r="K231" s="408"/>
      <c r="L231" s="408"/>
      <c r="N231" s="537"/>
      <c r="O231" s="537"/>
    </row>
    <row r="232" spans="1:15" ht="21.75" customHeight="1">
      <c r="A232" s="208"/>
      <c r="B232" s="216"/>
      <c r="C232" s="216"/>
      <c r="D232" s="208"/>
      <c r="E232" s="210"/>
      <c r="F232" s="409"/>
      <c r="G232" s="409"/>
      <c r="H232" s="216"/>
      <c r="I232" s="3"/>
      <c r="J232" s="3"/>
      <c r="K232" s="212"/>
      <c r="L232" s="212"/>
      <c r="N232" s="538"/>
      <c r="O232" s="538"/>
    </row>
    <row r="233" spans="1:15" ht="22.5" customHeight="1">
      <c r="A233" s="208"/>
      <c r="B233" s="209"/>
      <c r="C233" s="209"/>
      <c r="D233" s="208"/>
      <c r="G233" s="210"/>
      <c r="H233" s="210"/>
      <c r="I233" s="4"/>
      <c r="J233" s="4"/>
      <c r="K233" s="223"/>
      <c r="L233" s="212"/>
      <c r="N233" s="266"/>
      <c r="O233" s="272"/>
    </row>
    <row r="234" spans="1:15" ht="12.75">
      <c r="A234" s="208"/>
      <c r="B234" s="209"/>
      <c r="C234" s="209"/>
      <c r="D234" s="208"/>
      <c r="G234" s="210"/>
      <c r="H234" s="210"/>
      <c r="I234" s="4"/>
      <c r="J234" s="4"/>
      <c r="K234" s="223"/>
      <c r="L234" s="212"/>
      <c r="M234" s="266"/>
      <c r="N234" s="266"/>
      <c r="O234" s="266"/>
    </row>
    <row r="235" spans="8:15" ht="12.75">
      <c r="H235" s="410"/>
      <c r="I235" s="286"/>
      <c r="J235" s="266"/>
      <c r="K235" s="266"/>
      <c r="N235" s="266"/>
      <c r="O235" s="266"/>
    </row>
    <row r="236" spans="8:15" ht="12.75">
      <c r="H236" s="286"/>
      <c r="I236" s="411"/>
      <c r="J236" s="266"/>
      <c r="K236" s="266"/>
      <c r="N236" s="266"/>
      <c r="O236" s="266"/>
    </row>
    <row r="237" spans="8:15" ht="12.75">
      <c r="H237" s="266"/>
      <c r="I237" s="266"/>
      <c r="J237" s="266"/>
      <c r="K237" s="266"/>
      <c r="N237" s="266"/>
      <c r="O237" s="266"/>
    </row>
    <row r="238" spans="8:15" ht="12.75">
      <c r="H238" s="266"/>
      <c r="I238" s="266"/>
      <c r="J238" s="266"/>
      <c r="K238" s="266"/>
      <c r="N238" s="266"/>
      <c r="O238" s="266"/>
    </row>
    <row r="239" spans="8:11" ht="12.75">
      <c r="H239" s="266"/>
      <c r="I239" s="266"/>
      <c r="J239" s="266"/>
      <c r="K239" s="266"/>
    </row>
    <row r="240" spans="8:11" ht="12.75">
      <c r="H240" s="266"/>
      <c r="I240" s="266"/>
      <c r="J240" s="266"/>
      <c r="K240" s="266"/>
    </row>
    <row r="241" spans="8:11" ht="12.75">
      <c r="H241" s="266"/>
      <c r="I241" s="266"/>
      <c r="J241" s="266"/>
      <c r="K241" s="266"/>
    </row>
    <row r="242" spans="8:11" ht="12.75">
      <c r="H242" s="266"/>
      <c r="I242" s="266"/>
      <c r="J242" s="266"/>
      <c r="K242" s="266"/>
    </row>
    <row r="243" spans="8:11" ht="12.75">
      <c r="H243" s="266"/>
      <c r="I243" s="266"/>
      <c r="J243" s="266"/>
      <c r="K243" s="266"/>
    </row>
    <row r="244" spans="8:11" ht="12.75">
      <c r="H244" s="266"/>
      <c r="I244" s="266"/>
      <c r="J244" s="266"/>
      <c r="K244" s="266"/>
    </row>
    <row r="245" spans="8:11" ht="12.75">
      <c r="H245" s="266"/>
      <c r="I245" s="266"/>
      <c r="J245" s="266"/>
      <c r="K245" s="266"/>
    </row>
    <row r="246" spans="8:11" ht="12.75">
      <c r="H246" s="266"/>
      <c r="I246" s="266"/>
      <c r="J246" s="266"/>
      <c r="K246" s="266"/>
    </row>
  </sheetData>
  <sheetProtection/>
  <mergeCells count="5">
    <mergeCell ref="A212:A213"/>
    <mergeCell ref="A209:A211"/>
    <mergeCell ref="A130:A131"/>
    <mergeCell ref="A132:A133"/>
    <mergeCell ref="A161:A162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7">
      <selection activeCell="H14" sqref="H14"/>
    </sheetView>
  </sheetViews>
  <sheetFormatPr defaultColWidth="9.140625" defaultRowHeight="12.75"/>
  <cols>
    <col min="1" max="1" width="5.7109375" style="62" customWidth="1"/>
    <col min="2" max="2" width="31.7109375" style="62" customWidth="1"/>
    <col min="3" max="3" width="15.00390625" style="62" customWidth="1"/>
    <col min="4" max="4" width="8.57421875" style="62" customWidth="1"/>
    <col min="5" max="5" width="17.140625" style="62" customWidth="1"/>
    <col min="6" max="6" width="18.28125" style="62" customWidth="1"/>
    <col min="7" max="7" width="13.140625" style="62" customWidth="1"/>
    <col min="8" max="8" width="22.28125" style="62" customWidth="1"/>
    <col min="9" max="9" width="29.00390625" style="734" customWidth="1"/>
    <col min="10" max="10" width="18.140625" style="62" customWidth="1"/>
    <col min="11" max="11" width="9.140625" style="62" customWidth="1"/>
    <col min="12" max="12" width="10.140625" style="62" bestFit="1" customWidth="1"/>
    <col min="13" max="16384" width="9.140625" style="62" customWidth="1"/>
  </cols>
  <sheetData>
    <row r="1" spans="4:5" ht="20.25">
      <c r="D1" s="539"/>
      <c r="E1" s="539" t="s">
        <v>147</v>
      </c>
    </row>
    <row r="2" spans="4:5" ht="18.75">
      <c r="D2" s="93"/>
      <c r="E2" s="93" t="s">
        <v>641</v>
      </c>
    </row>
    <row r="3" spans="4:5" ht="18.75">
      <c r="D3" s="93"/>
      <c r="E3" s="93" t="s">
        <v>337</v>
      </c>
    </row>
    <row r="4" spans="4:5" ht="18.75">
      <c r="D4" s="93"/>
      <c r="E4" s="93" t="s">
        <v>642</v>
      </c>
    </row>
    <row r="5" spans="4:5" ht="18.75">
      <c r="D5" s="93"/>
      <c r="E5" s="93"/>
    </row>
    <row r="6" spans="1:12" ht="18">
      <c r="A6" s="735"/>
      <c r="B6" s="736"/>
      <c r="C6" s="736"/>
      <c r="D6" s="737"/>
      <c r="E6" s="738"/>
      <c r="F6" s="738"/>
      <c r="G6" s="738"/>
      <c r="H6" s="738"/>
      <c r="I6" s="739"/>
      <c r="J6" s="738"/>
      <c r="K6" s="740"/>
      <c r="L6" s="740"/>
    </row>
    <row r="7" spans="1:12" ht="20.25">
      <c r="A7" s="735"/>
      <c r="B7" s="741" t="s">
        <v>148</v>
      </c>
      <c r="C7" s="16"/>
      <c r="D7" s="742"/>
      <c r="E7" s="738"/>
      <c r="F7" s="738"/>
      <c r="G7" s="738"/>
      <c r="H7" s="738"/>
      <c r="I7" s="739"/>
      <c r="J7" s="738"/>
      <c r="K7" s="740"/>
      <c r="L7" s="740"/>
    </row>
    <row r="8" spans="1:12" ht="20.25">
      <c r="A8" s="735"/>
      <c r="B8" s="741" t="s">
        <v>149</v>
      </c>
      <c r="C8" s="16"/>
      <c r="D8" s="742"/>
      <c r="E8" s="738"/>
      <c r="F8" s="738"/>
      <c r="G8" s="738"/>
      <c r="H8" s="738"/>
      <c r="I8" s="739"/>
      <c r="J8" s="738"/>
      <c r="K8" s="740"/>
      <c r="L8" s="740"/>
    </row>
    <row r="9" spans="1:12" ht="20.25">
      <c r="A9" s="735"/>
      <c r="B9" s="741" t="s">
        <v>150</v>
      </c>
      <c r="C9" s="16"/>
      <c r="D9" s="742"/>
      <c r="E9" s="738"/>
      <c r="F9" s="738"/>
      <c r="G9" s="738"/>
      <c r="H9" s="738"/>
      <c r="I9" s="739"/>
      <c r="J9" s="738"/>
      <c r="K9" s="740"/>
      <c r="L9" s="740"/>
    </row>
    <row r="10" spans="1:12" ht="20.25">
      <c r="A10" s="735"/>
      <c r="B10" s="743"/>
      <c r="C10" s="16"/>
      <c r="D10" s="742"/>
      <c r="E10" s="738"/>
      <c r="F10" s="738"/>
      <c r="G10" s="738"/>
      <c r="H10" s="738"/>
      <c r="I10" s="739"/>
      <c r="J10" s="738"/>
      <c r="K10" s="740"/>
      <c r="L10" s="740"/>
    </row>
    <row r="11" spans="1:12" ht="12.75">
      <c r="A11" s="735"/>
      <c r="B11" s="738"/>
      <c r="C11" s="738"/>
      <c r="D11" s="744"/>
      <c r="E11" s="738"/>
      <c r="F11" s="745" t="s">
        <v>346</v>
      </c>
      <c r="G11" s="738"/>
      <c r="H11" s="738"/>
      <c r="I11" s="739"/>
      <c r="J11" s="738"/>
      <c r="K11" s="740"/>
      <c r="L11" s="740"/>
    </row>
    <row r="12" spans="1:12" ht="29.25" customHeight="1">
      <c r="A12" s="746"/>
      <c r="B12" s="747"/>
      <c r="C12" s="747"/>
      <c r="D12" s="748"/>
      <c r="E12" s="749" t="s">
        <v>151</v>
      </c>
      <c r="F12" s="750"/>
      <c r="G12" s="751"/>
      <c r="H12" s="738"/>
      <c r="I12" s="739"/>
      <c r="J12" s="199"/>
      <c r="K12" s="199"/>
      <c r="L12" s="740"/>
    </row>
    <row r="13" spans="1:12" s="761" customFormat="1" ht="44.25" customHeight="1">
      <c r="A13" s="752" t="s">
        <v>853</v>
      </c>
      <c r="B13" s="753" t="s">
        <v>152</v>
      </c>
      <c r="C13" s="754" t="s">
        <v>153</v>
      </c>
      <c r="D13" s="754" t="s">
        <v>154</v>
      </c>
      <c r="E13" s="755" t="s">
        <v>155</v>
      </c>
      <c r="F13" s="756" t="s">
        <v>156</v>
      </c>
      <c r="G13" s="757"/>
      <c r="H13" s="758"/>
      <c r="I13" s="759"/>
      <c r="J13" s="199"/>
      <c r="K13" s="199"/>
      <c r="L13" s="760"/>
    </row>
    <row r="14" spans="1:13" s="382" customFormat="1" ht="32.25" customHeight="1">
      <c r="A14" s="762" t="s">
        <v>157</v>
      </c>
      <c r="B14" s="763"/>
      <c r="C14" s="764"/>
      <c r="D14" s="764"/>
      <c r="E14" s="765">
        <f>E17+E20+E23+E26+E29+E32</f>
        <v>372691.5</v>
      </c>
      <c r="F14" s="765">
        <f>F17+F20+F23+F26+F29+F32</f>
        <v>2200218.5</v>
      </c>
      <c r="G14" s="766"/>
      <c r="H14" s="767"/>
      <c r="I14" s="768"/>
      <c r="J14" s="470"/>
      <c r="K14" s="470"/>
      <c r="L14" s="470"/>
      <c r="M14" s="769"/>
    </row>
    <row r="15" spans="1:12" s="382" customFormat="1" ht="51.75" customHeight="1">
      <c r="A15" s="770">
        <v>1</v>
      </c>
      <c r="B15" s="771" t="s">
        <v>158</v>
      </c>
      <c r="C15" s="772" t="s">
        <v>159</v>
      </c>
      <c r="D15" s="773"/>
      <c r="E15" s="774"/>
      <c r="F15" s="775"/>
      <c r="G15" s="776"/>
      <c r="H15" s="777"/>
      <c r="I15" s="778"/>
      <c r="J15" s="779"/>
      <c r="K15" s="780"/>
      <c r="L15" s="780"/>
    </row>
    <row r="16" spans="1:12" s="382" customFormat="1" ht="36.75" customHeight="1">
      <c r="A16" s="781"/>
      <c r="B16" s="782" t="s">
        <v>160</v>
      </c>
      <c r="C16" s="783"/>
      <c r="D16" s="784"/>
      <c r="E16" s="785"/>
      <c r="F16" s="785"/>
      <c r="G16" s="776"/>
      <c r="H16" s="777"/>
      <c r="I16" s="768"/>
      <c r="J16" s="779"/>
      <c r="K16" s="780"/>
      <c r="L16" s="780"/>
    </row>
    <row r="17" spans="1:12" s="382" customFormat="1" ht="84.75" customHeight="1">
      <c r="A17" s="786"/>
      <c r="B17" s="782" t="s">
        <v>161</v>
      </c>
      <c r="C17" s="787"/>
      <c r="D17" s="784" t="s">
        <v>162</v>
      </c>
      <c r="E17" s="934">
        <f>136899-43357.5</f>
        <v>93541.5</v>
      </c>
      <c r="F17" s="935">
        <f>775761-245692.5</f>
        <v>530068.5</v>
      </c>
      <c r="G17" s="776"/>
      <c r="H17" s="777"/>
      <c r="I17" s="768"/>
      <c r="J17" s="779"/>
      <c r="K17" s="780"/>
      <c r="L17" s="780"/>
    </row>
    <row r="18" spans="1:8" ht="44.25" customHeight="1">
      <c r="A18" s="770">
        <v>2</v>
      </c>
      <c r="B18" s="788" t="s">
        <v>163</v>
      </c>
      <c r="C18" s="789" t="s">
        <v>164</v>
      </c>
      <c r="D18" s="773"/>
      <c r="E18" s="790"/>
      <c r="F18" s="791"/>
      <c r="H18" s="777"/>
    </row>
    <row r="19" spans="1:8" ht="84.75" customHeight="1">
      <c r="A19" s="792"/>
      <c r="B19" s="793" t="s">
        <v>165</v>
      </c>
      <c r="C19" s="794"/>
      <c r="D19" s="784"/>
      <c r="E19" s="795"/>
      <c r="F19" s="796"/>
      <c r="H19" s="777"/>
    </row>
    <row r="20" spans="1:8" ht="45" customHeight="1">
      <c r="A20" s="792"/>
      <c r="B20" s="797" t="s">
        <v>166</v>
      </c>
      <c r="C20" s="798"/>
      <c r="D20" s="799" t="s">
        <v>492</v>
      </c>
      <c r="E20" s="932">
        <f>240000+6000</f>
        <v>246000</v>
      </c>
      <c r="F20" s="933">
        <f>1360000+34000</f>
        <v>1394000</v>
      </c>
      <c r="H20" s="777"/>
    </row>
    <row r="21" spans="1:9" ht="44.25" customHeight="1">
      <c r="A21" s="801">
        <v>3</v>
      </c>
      <c r="B21" s="788" t="s">
        <v>163</v>
      </c>
      <c r="C21" s="802" t="s">
        <v>164</v>
      </c>
      <c r="D21" s="799"/>
      <c r="E21" s="803"/>
      <c r="F21" s="803"/>
      <c r="H21" s="777"/>
      <c r="I21" s="804"/>
    </row>
    <row r="22" spans="1:9" ht="96.75" customHeight="1">
      <c r="A22" s="792"/>
      <c r="B22" s="805" t="s">
        <v>167</v>
      </c>
      <c r="C22" s="806"/>
      <c r="D22" s="784"/>
      <c r="E22" s="785"/>
      <c r="F22" s="785"/>
      <c r="H22" s="777"/>
      <c r="I22" s="807"/>
    </row>
    <row r="23" spans="1:8" ht="45.75" customHeight="1">
      <c r="A23" s="786"/>
      <c r="B23" s="808" t="s">
        <v>168</v>
      </c>
      <c r="C23" s="787"/>
      <c r="D23" s="799" t="s">
        <v>169</v>
      </c>
      <c r="E23" s="809">
        <v>33150</v>
      </c>
      <c r="F23" s="809">
        <v>187850</v>
      </c>
      <c r="H23" s="777"/>
    </row>
    <row r="24" spans="1:8" ht="44.25" customHeight="1">
      <c r="A24" s="770">
        <v>4</v>
      </c>
      <c r="B24" s="788" t="s">
        <v>163</v>
      </c>
      <c r="C24" s="810" t="s">
        <v>170</v>
      </c>
      <c r="D24" s="811"/>
      <c r="E24" s="791"/>
      <c r="F24" s="791"/>
      <c r="H24" s="777"/>
    </row>
    <row r="25" spans="1:9" ht="89.25">
      <c r="A25" s="792"/>
      <c r="B25" s="812" t="s">
        <v>171</v>
      </c>
      <c r="C25" s="783"/>
      <c r="D25" s="813"/>
      <c r="E25" s="796"/>
      <c r="F25" s="796"/>
      <c r="H25" s="777"/>
      <c r="I25" s="814"/>
    </row>
    <row r="26" spans="1:9" ht="33" customHeight="1">
      <c r="A26" s="786"/>
      <c r="B26" s="812" t="s">
        <v>172</v>
      </c>
      <c r="C26" s="787"/>
      <c r="D26" s="815" t="s">
        <v>492</v>
      </c>
      <c r="E26" s="800"/>
      <c r="F26" s="800">
        <f>38000-7000+13000</f>
        <v>44000</v>
      </c>
      <c r="H26" s="777"/>
      <c r="I26" s="814"/>
    </row>
    <row r="27" spans="1:8" ht="34.5" customHeight="1">
      <c r="A27" s="770">
        <v>5</v>
      </c>
      <c r="B27" s="788" t="s">
        <v>163</v>
      </c>
      <c r="C27" s="810" t="s">
        <v>173</v>
      </c>
      <c r="D27" s="816"/>
      <c r="E27" s="817"/>
      <c r="F27" s="791"/>
      <c r="H27" s="777"/>
    </row>
    <row r="28" spans="1:6" ht="114.75">
      <c r="A28" s="792"/>
      <c r="B28" s="812" t="s">
        <v>174</v>
      </c>
      <c r="C28" s="794"/>
      <c r="D28" s="818"/>
      <c r="E28" s="819"/>
      <c r="F28" s="796"/>
    </row>
    <row r="29" spans="1:6" ht="38.25" customHeight="1">
      <c r="A29" s="786"/>
      <c r="B29" s="812" t="s">
        <v>175</v>
      </c>
      <c r="C29" s="820"/>
      <c r="D29" s="815" t="s">
        <v>742</v>
      </c>
      <c r="E29" s="800"/>
      <c r="F29" s="821">
        <v>9800</v>
      </c>
    </row>
    <row r="30" spans="1:6" ht="71.25" customHeight="1">
      <c r="A30" s="770">
        <v>6</v>
      </c>
      <c r="B30" s="788" t="s">
        <v>163</v>
      </c>
      <c r="C30" s="810" t="s">
        <v>176</v>
      </c>
      <c r="D30" s="816"/>
      <c r="E30" s="791"/>
      <c r="F30" s="791"/>
    </row>
    <row r="31" spans="1:6" ht="69" customHeight="1">
      <c r="A31" s="792"/>
      <c r="B31" s="812" t="s">
        <v>177</v>
      </c>
      <c r="C31" s="794"/>
      <c r="D31" s="818"/>
      <c r="E31" s="796"/>
      <c r="F31" s="796"/>
    </row>
    <row r="32" spans="1:6" ht="36.75" customHeight="1">
      <c r="A32" s="786"/>
      <c r="B32" s="812" t="s">
        <v>178</v>
      </c>
      <c r="C32" s="820"/>
      <c r="D32" s="815" t="s">
        <v>179</v>
      </c>
      <c r="E32" s="800"/>
      <c r="F32" s="821">
        <f>3500+31000</f>
        <v>34500</v>
      </c>
    </row>
    <row r="33" spans="4:6" ht="12.75">
      <c r="D33" s="734"/>
      <c r="E33" s="734"/>
      <c r="F33" s="734"/>
    </row>
    <row r="34" spans="4:6" ht="12.75">
      <c r="D34" s="734"/>
      <c r="E34" s="734"/>
      <c r="F34" s="734"/>
    </row>
    <row r="35" spans="4:6" ht="12.75">
      <c r="D35" s="734"/>
      <c r="E35" s="734"/>
      <c r="F35" s="734"/>
    </row>
    <row r="36" spans="4:6" ht="12.75">
      <c r="D36" s="734"/>
      <c r="E36" s="734"/>
      <c r="F36" s="734"/>
    </row>
    <row r="37" spans="4:6" ht="12.75">
      <c r="D37" s="734"/>
      <c r="E37" s="734"/>
      <c r="F37" s="734"/>
    </row>
    <row r="38" spans="4:6" ht="12.75">
      <c r="D38" s="734"/>
      <c r="E38" s="734"/>
      <c r="F38" s="734"/>
    </row>
    <row r="39" spans="4:6" ht="12.75">
      <c r="D39" s="734"/>
      <c r="E39" s="734"/>
      <c r="F39" s="734"/>
    </row>
    <row r="40" spans="4:6" ht="12.75">
      <c r="D40" s="734"/>
      <c r="E40" s="734"/>
      <c r="F40" s="734"/>
    </row>
    <row r="41" spans="4:6" ht="12.75">
      <c r="D41" s="734"/>
      <c r="E41" s="734"/>
      <c r="F41" s="734"/>
    </row>
    <row r="42" spans="4:6" ht="12.75">
      <c r="D42" s="734"/>
      <c r="E42" s="734"/>
      <c r="F42" s="734"/>
    </row>
    <row r="43" spans="4:6" ht="12.75">
      <c r="D43" s="734"/>
      <c r="E43" s="734"/>
      <c r="F43" s="734"/>
    </row>
    <row r="44" spans="4:6" ht="12.75">
      <c r="D44" s="734"/>
      <c r="E44" s="734"/>
      <c r="F44" s="734"/>
    </row>
    <row r="45" spans="4:6" ht="12.75">
      <c r="D45" s="734"/>
      <c r="E45" s="734"/>
      <c r="F45" s="734"/>
    </row>
    <row r="46" spans="4:6" ht="12.75">
      <c r="D46" s="734"/>
      <c r="E46" s="734"/>
      <c r="F46" s="734"/>
    </row>
    <row r="47" spans="4:6" ht="12.75">
      <c r="D47" s="734"/>
      <c r="E47" s="734"/>
      <c r="F47" s="734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91">
      <selection activeCell="I72" sqref="I72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823" customWidth="1"/>
    <col min="8" max="8" width="18.140625" style="823" customWidth="1"/>
    <col min="9" max="9" width="23.00390625" style="823" customWidth="1"/>
    <col min="10" max="10" width="20.28125" style="617" customWidth="1"/>
    <col min="11" max="11" width="18.140625" style="93" customWidth="1"/>
    <col min="12" max="12" width="15.7109375" style="93" customWidth="1"/>
    <col min="13" max="13" width="10.140625" style="93" bestFit="1" customWidth="1"/>
    <col min="14" max="14" width="9.140625" style="93" customWidth="1"/>
    <col min="15" max="16384" width="9.140625" style="2" customWidth="1"/>
  </cols>
  <sheetData>
    <row r="1" spans="3:4" ht="20.25">
      <c r="C1" s="211" t="s">
        <v>180</v>
      </c>
      <c r="D1" s="822"/>
    </row>
    <row r="2" spans="3:4" ht="18.75">
      <c r="C2" s="213" t="s">
        <v>643</v>
      </c>
      <c r="D2" s="822"/>
    </row>
    <row r="3" spans="3:4" ht="18.75">
      <c r="C3" s="213" t="s">
        <v>337</v>
      </c>
      <c r="D3" s="822"/>
    </row>
    <row r="4" spans="3:4" ht="18.75">
      <c r="C4" s="213" t="s">
        <v>644</v>
      </c>
      <c r="D4" s="822"/>
    </row>
    <row r="5" spans="3:4" ht="18.75">
      <c r="C5" s="822"/>
      <c r="D5" s="822"/>
    </row>
    <row r="6" spans="1:13" ht="18.75">
      <c r="A6" s="822"/>
      <c r="B6" s="822"/>
      <c r="C6" s="822"/>
      <c r="D6" s="822"/>
      <c r="E6" s="822"/>
      <c r="F6" s="822"/>
      <c r="G6" s="824"/>
      <c r="H6" s="824"/>
      <c r="I6" s="824"/>
      <c r="J6" s="825"/>
      <c r="K6" s="826"/>
      <c r="L6" s="826"/>
      <c r="M6" s="826"/>
    </row>
    <row r="7" spans="1:13" ht="20.25">
      <c r="A7" s="822"/>
      <c r="B7" s="827" t="s">
        <v>181</v>
      </c>
      <c r="C7" s="822"/>
      <c r="D7" s="822"/>
      <c r="E7" s="822"/>
      <c r="F7" s="822"/>
      <c r="G7" s="824"/>
      <c r="H7" s="824"/>
      <c r="I7" s="824"/>
      <c r="J7" s="825"/>
      <c r="K7" s="826"/>
      <c r="L7" s="826"/>
      <c r="M7" s="826"/>
    </row>
    <row r="8" spans="1:13" ht="20.25">
      <c r="A8" s="828"/>
      <c r="B8" s="827" t="s">
        <v>182</v>
      </c>
      <c r="C8" s="5"/>
      <c r="D8" s="6"/>
      <c r="E8" s="5"/>
      <c r="F8" s="5"/>
      <c r="G8" s="829"/>
      <c r="H8" s="829"/>
      <c r="I8" s="829"/>
      <c r="J8" s="830"/>
      <c r="K8" s="7"/>
      <c r="L8" s="826"/>
      <c r="M8" s="826"/>
    </row>
    <row r="9" spans="1:13" ht="20.25">
      <c r="A9" s="828"/>
      <c r="B9" s="827" t="s">
        <v>183</v>
      </c>
      <c r="C9" s="5"/>
      <c r="D9" s="6"/>
      <c r="E9" s="5"/>
      <c r="F9" s="5"/>
      <c r="G9" s="829"/>
      <c r="H9" s="829"/>
      <c r="I9" s="829"/>
      <c r="J9" s="830"/>
      <c r="K9" s="7"/>
      <c r="L9" s="826"/>
      <c r="M9" s="826"/>
    </row>
    <row r="10" spans="1:13" ht="18.75">
      <c r="A10" s="828"/>
      <c r="B10" s="23"/>
      <c r="C10" s="23"/>
      <c r="D10" s="831"/>
      <c r="E10" s="5"/>
      <c r="F10" s="5"/>
      <c r="G10" s="829"/>
      <c r="H10" s="829"/>
      <c r="I10" s="829"/>
      <c r="J10" s="830"/>
      <c r="K10" s="7"/>
      <c r="L10" s="826"/>
      <c r="M10" s="826"/>
    </row>
    <row r="11" spans="1:13" ht="18.75">
      <c r="A11" s="828"/>
      <c r="B11" s="5"/>
      <c r="C11" s="5"/>
      <c r="D11" s="6"/>
      <c r="E11" s="5"/>
      <c r="F11" s="832" t="s">
        <v>346</v>
      </c>
      <c r="G11" s="829"/>
      <c r="H11" s="829"/>
      <c r="I11" s="829"/>
      <c r="J11" s="830"/>
      <c r="K11" s="7"/>
      <c r="L11" s="826"/>
      <c r="M11" s="826"/>
    </row>
    <row r="12" spans="1:13" ht="29.25" customHeight="1">
      <c r="A12" s="833"/>
      <c r="B12" s="834"/>
      <c r="C12" s="834"/>
      <c r="D12" s="835"/>
      <c r="E12" s="836" t="s">
        <v>184</v>
      </c>
      <c r="F12" s="837"/>
      <c r="G12" s="829"/>
      <c r="H12" s="829"/>
      <c r="I12" s="829"/>
      <c r="J12" s="830"/>
      <c r="K12" s="7"/>
      <c r="L12" s="826"/>
      <c r="M12" s="826"/>
    </row>
    <row r="13" spans="1:14" s="849" customFormat="1" ht="41.25" customHeight="1">
      <c r="A13" s="838" t="s">
        <v>853</v>
      </c>
      <c r="B13" s="839" t="s">
        <v>152</v>
      </c>
      <c r="C13" s="840" t="s">
        <v>153</v>
      </c>
      <c r="D13" s="840" t="s">
        <v>154</v>
      </c>
      <c r="E13" s="841" t="s">
        <v>155</v>
      </c>
      <c r="F13" s="842" t="s">
        <v>185</v>
      </c>
      <c r="G13" s="843"/>
      <c r="H13" s="844"/>
      <c r="I13" s="845"/>
      <c r="J13" s="846"/>
      <c r="K13" s="7"/>
      <c r="L13" s="847"/>
      <c r="M13" s="847"/>
      <c r="N13" s="848"/>
    </row>
    <row r="14" spans="1:14" s="849" customFormat="1" ht="27.75" customHeight="1">
      <c r="A14" s="850" t="s">
        <v>157</v>
      </c>
      <c r="B14" s="851"/>
      <c r="C14" s="852"/>
      <c r="D14" s="852"/>
      <c r="E14" s="853">
        <f>E17+E20+E23+E26+E29+E35+E38+E41+E44+E47+E50+E53+E56+E59+E68</f>
        <v>859284.68</v>
      </c>
      <c r="F14" s="854">
        <f>F17+F20+F23+F26+F29+F32+F35+F38+F41+F44+F47+F50+F53+F56+F59+F62+F65+F68+F71</f>
        <v>6140925.220000001</v>
      </c>
      <c r="G14" s="843"/>
      <c r="H14" s="844"/>
      <c r="I14" s="844"/>
      <c r="J14" s="855"/>
      <c r="K14" s="7"/>
      <c r="L14" s="847"/>
      <c r="M14" s="847"/>
      <c r="N14" s="848"/>
    </row>
    <row r="15" spans="1:11" ht="42" customHeight="1">
      <c r="A15" s="856">
        <v>1</v>
      </c>
      <c r="B15" s="788" t="s">
        <v>163</v>
      </c>
      <c r="C15" s="857" t="s">
        <v>186</v>
      </c>
      <c r="D15" s="773"/>
      <c r="E15" s="858"/>
      <c r="F15" s="859"/>
      <c r="H15" s="844"/>
      <c r="I15" s="860"/>
      <c r="J15" s="861"/>
      <c r="K15" s="451"/>
    </row>
    <row r="16" spans="1:11" ht="36.75" customHeight="1">
      <c r="A16" s="792"/>
      <c r="B16" s="862" t="s">
        <v>187</v>
      </c>
      <c r="C16" s="794"/>
      <c r="D16" s="784"/>
      <c r="E16" s="863"/>
      <c r="F16" s="674"/>
      <c r="H16" s="844"/>
      <c r="I16" s="864"/>
      <c r="J16" s="210"/>
      <c r="K16" s="451"/>
    </row>
    <row r="17" spans="1:11" ht="79.5" customHeight="1">
      <c r="A17" s="792"/>
      <c r="B17" s="630" t="s">
        <v>188</v>
      </c>
      <c r="C17" s="865"/>
      <c r="D17" s="799" t="s">
        <v>755</v>
      </c>
      <c r="E17" s="863">
        <v>33715.95</v>
      </c>
      <c r="F17" s="863">
        <f>250886+60195.44-33715.95</f>
        <v>277365.49</v>
      </c>
      <c r="H17" s="844"/>
      <c r="I17" s="864"/>
      <c r="J17" s="210"/>
      <c r="K17" s="451"/>
    </row>
    <row r="18" spans="1:9" ht="41.25" customHeight="1">
      <c r="A18" s="770">
        <v>2</v>
      </c>
      <c r="B18" s="788" t="s">
        <v>163</v>
      </c>
      <c r="C18" s="866" t="s">
        <v>189</v>
      </c>
      <c r="D18" s="818"/>
      <c r="E18" s="636"/>
      <c r="F18" s="636"/>
      <c r="H18" s="844"/>
      <c r="I18" s="864"/>
    </row>
    <row r="19" spans="1:9" ht="37.5" customHeight="1">
      <c r="A19" s="792"/>
      <c r="B19" s="867" t="s">
        <v>190</v>
      </c>
      <c r="C19" s="783"/>
      <c r="D19" s="818"/>
      <c r="E19" s="674"/>
      <c r="F19" s="674"/>
      <c r="H19" s="844"/>
      <c r="I19" s="864"/>
    </row>
    <row r="20" spans="1:9" ht="72.75" customHeight="1">
      <c r="A20" s="786"/>
      <c r="B20" s="812" t="s">
        <v>191</v>
      </c>
      <c r="C20" s="787"/>
      <c r="D20" s="815" t="s">
        <v>755</v>
      </c>
      <c r="E20" s="432">
        <v>5382</v>
      </c>
      <c r="F20" s="432">
        <f>30498+19279.53</f>
        <v>49777.53</v>
      </c>
      <c r="H20" s="844"/>
      <c r="I20" s="868"/>
    </row>
    <row r="21" spans="1:13" s="49" customFormat="1" ht="56.25" customHeight="1">
      <c r="A21" s="770">
        <v>3</v>
      </c>
      <c r="B21" s="788" t="s">
        <v>163</v>
      </c>
      <c r="C21" s="869" t="s">
        <v>192</v>
      </c>
      <c r="D21" s="816"/>
      <c r="E21" s="791"/>
      <c r="F21" s="870"/>
      <c r="G21" s="795"/>
      <c r="H21" s="844"/>
      <c r="I21" s="868"/>
      <c r="J21" s="855"/>
      <c r="K21" s="871"/>
      <c r="L21" s="872"/>
      <c r="M21" s="872"/>
    </row>
    <row r="22" spans="1:13" s="49" customFormat="1" ht="39.75" customHeight="1">
      <c r="A22" s="792"/>
      <c r="B22" s="867" t="s">
        <v>190</v>
      </c>
      <c r="C22" s="865"/>
      <c r="D22" s="818"/>
      <c r="E22" s="796"/>
      <c r="F22" s="873"/>
      <c r="G22" s="795"/>
      <c r="H22" s="844"/>
      <c r="I22" s="868"/>
      <c r="J22" s="855"/>
      <c r="K22" s="871"/>
      <c r="L22" s="872"/>
      <c r="M22" s="872"/>
    </row>
    <row r="23" spans="1:13" s="49" customFormat="1" ht="56.25" customHeight="1">
      <c r="A23" s="792"/>
      <c r="B23" s="812" t="s">
        <v>193</v>
      </c>
      <c r="C23" s="865"/>
      <c r="D23" s="815" t="s">
        <v>169</v>
      </c>
      <c r="E23" s="800">
        <v>1540.61</v>
      </c>
      <c r="F23" s="874">
        <v>10459.39</v>
      </c>
      <c r="G23" s="795"/>
      <c r="H23" s="844"/>
      <c r="I23" s="868"/>
      <c r="J23" s="855"/>
      <c r="K23" s="871"/>
      <c r="L23" s="872"/>
      <c r="M23" s="872"/>
    </row>
    <row r="24" spans="1:13" s="49" customFormat="1" ht="44.25" customHeight="1">
      <c r="A24" s="770">
        <v>4</v>
      </c>
      <c r="B24" s="788" t="s">
        <v>163</v>
      </c>
      <c r="C24" s="802" t="s">
        <v>164</v>
      </c>
      <c r="D24" s="816"/>
      <c r="E24" s="817"/>
      <c r="F24" s="791"/>
      <c r="G24" s="795"/>
      <c r="H24" s="844"/>
      <c r="I24" s="868"/>
      <c r="J24" s="855"/>
      <c r="K24" s="871"/>
      <c r="L24" s="872"/>
      <c r="M24" s="872"/>
    </row>
    <row r="25" spans="1:13" s="49" customFormat="1" ht="77.25" customHeight="1">
      <c r="A25" s="792"/>
      <c r="B25" s="793" t="s">
        <v>167</v>
      </c>
      <c r="C25" s="794"/>
      <c r="D25" s="818"/>
      <c r="E25" s="819"/>
      <c r="F25" s="796"/>
      <c r="G25" s="795"/>
      <c r="H25" s="844"/>
      <c r="I25" s="868"/>
      <c r="J25" s="855"/>
      <c r="K25" s="871"/>
      <c r="L25" s="872"/>
      <c r="M25" s="872"/>
    </row>
    <row r="26" spans="1:13" s="49" customFormat="1" ht="39.75" customHeight="1">
      <c r="A26" s="792"/>
      <c r="B26" s="793" t="s">
        <v>194</v>
      </c>
      <c r="C26" s="820"/>
      <c r="D26" s="818" t="s">
        <v>169</v>
      </c>
      <c r="E26" s="819">
        <f>60546.79+9148.1</f>
        <v>69694.89</v>
      </c>
      <c r="F26" s="796">
        <f>343098.46+51839.22</f>
        <v>394937.68000000005</v>
      </c>
      <c r="G26" s="795"/>
      <c r="H26" s="844"/>
      <c r="I26" s="868"/>
      <c r="J26" s="855"/>
      <c r="K26" s="871"/>
      <c r="L26" s="872"/>
      <c r="M26" s="872"/>
    </row>
    <row r="27" spans="1:13" s="49" customFormat="1" ht="39" customHeight="1">
      <c r="A27" s="770">
        <v>5</v>
      </c>
      <c r="B27" s="788" t="s">
        <v>163</v>
      </c>
      <c r="C27" s="789" t="s">
        <v>164</v>
      </c>
      <c r="D27" s="816"/>
      <c r="E27" s="817"/>
      <c r="F27" s="791"/>
      <c r="G27" s="795"/>
      <c r="H27" s="844"/>
      <c r="I27" s="868"/>
      <c r="J27" s="855"/>
      <c r="K27" s="871"/>
      <c r="L27" s="872"/>
      <c r="M27" s="872"/>
    </row>
    <row r="28" spans="1:13" s="49" customFormat="1" ht="54.75" customHeight="1">
      <c r="A28" s="792"/>
      <c r="B28" s="793" t="s">
        <v>195</v>
      </c>
      <c r="C28" s="794"/>
      <c r="D28" s="818"/>
      <c r="E28" s="819"/>
      <c r="F28" s="796"/>
      <c r="G28" s="795"/>
      <c r="H28" s="844"/>
      <c r="I28" s="868"/>
      <c r="J28" s="855"/>
      <c r="K28" s="871"/>
      <c r="L28" s="872"/>
      <c r="M28" s="872"/>
    </row>
    <row r="29" spans="1:13" s="49" customFormat="1" ht="50.25" customHeight="1">
      <c r="A29" s="786"/>
      <c r="B29" s="793" t="s">
        <v>196</v>
      </c>
      <c r="C29" s="820"/>
      <c r="D29" s="815" t="s">
        <v>492</v>
      </c>
      <c r="E29" s="875">
        <f>32377.98+3176.74</f>
        <v>35554.72</v>
      </c>
      <c r="F29" s="800">
        <f>183475.22+18001.53</f>
        <v>201476.75</v>
      </c>
      <c r="G29" s="795"/>
      <c r="H29" s="844"/>
      <c r="I29" s="868"/>
      <c r="J29" s="855"/>
      <c r="K29" s="871"/>
      <c r="L29" s="872"/>
      <c r="M29" s="872"/>
    </row>
    <row r="30" spans="1:13" s="49" customFormat="1" ht="50.25" customHeight="1">
      <c r="A30" s="856">
        <v>6</v>
      </c>
      <c r="B30" s="788" t="s">
        <v>163</v>
      </c>
      <c r="C30" s="876" t="s">
        <v>197</v>
      </c>
      <c r="D30" s="811"/>
      <c r="E30" s="791"/>
      <c r="F30" s="791"/>
      <c r="G30" s="795"/>
      <c r="H30" s="844"/>
      <c r="I30" s="868"/>
      <c r="J30" s="855"/>
      <c r="K30" s="871"/>
      <c r="L30" s="872"/>
      <c r="M30" s="872"/>
    </row>
    <row r="31" spans="1:13" s="49" customFormat="1" ht="42.75" customHeight="1">
      <c r="A31" s="792"/>
      <c r="B31" s="812" t="s">
        <v>190</v>
      </c>
      <c r="C31" s="783"/>
      <c r="D31" s="813"/>
      <c r="E31" s="796"/>
      <c r="F31" s="796"/>
      <c r="G31" s="795"/>
      <c r="H31" s="844"/>
      <c r="I31" s="868"/>
      <c r="J31" s="855"/>
      <c r="K31" s="871"/>
      <c r="L31" s="872"/>
      <c r="M31" s="872"/>
    </row>
    <row r="32" spans="1:13" s="49" customFormat="1" ht="57" customHeight="1">
      <c r="A32" s="786"/>
      <c r="B32" s="812" t="s">
        <v>198</v>
      </c>
      <c r="C32" s="787"/>
      <c r="D32" s="815" t="s">
        <v>492</v>
      </c>
      <c r="E32" s="800" t="s">
        <v>199</v>
      </c>
      <c r="F32" s="800">
        <f>71940+5590.02</f>
        <v>77530.02</v>
      </c>
      <c r="G32" s="795"/>
      <c r="H32" s="844"/>
      <c r="I32" s="868"/>
      <c r="J32" s="855"/>
      <c r="K32" s="871"/>
      <c r="L32" s="872"/>
      <c r="M32" s="872"/>
    </row>
    <row r="33" spans="1:13" s="49" customFormat="1" ht="44.25" customHeight="1">
      <c r="A33" s="856">
        <v>7</v>
      </c>
      <c r="B33" s="788" t="s">
        <v>163</v>
      </c>
      <c r="C33" s="876" t="s">
        <v>170</v>
      </c>
      <c r="D33" s="811"/>
      <c r="E33" s="791"/>
      <c r="F33" s="791"/>
      <c r="G33" s="795"/>
      <c r="H33" s="844"/>
      <c r="I33" s="868"/>
      <c r="J33" s="855"/>
      <c r="K33" s="871"/>
      <c r="L33" s="872"/>
      <c r="M33" s="872"/>
    </row>
    <row r="34" spans="1:13" s="49" customFormat="1" ht="35.25" customHeight="1">
      <c r="A34" s="792"/>
      <c r="B34" s="812" t="s">
        <v>200</v>
      </c>
      <c r="C34" s="783"/>
      <c r="D34" s="813"/>
      <c r="E34" s="796"/>
      <c r="F34" s="796"/>
      <c r="G34" s="795"/>
      <c r="H34" s="844"/>
      <c r="I34" s="868"/>
      <c r="J34" s="855"/>
      <c r="K34" s="871"/>
      <c r="L34" s="872"/>
      <c r="M34" s="872"/>
    </row>
    <row r="35" spans="1:13" s="49" customFormat="1" ht="48" customHeight="1">
      <c r="A35" s="786"/>
      <c r="B35" s="812" t="s">
        <v>201</v>
      </c>
      <c r="C35" s="787"/>
      <c r="D35" s="818" t="s">
        <v>492</v>
      </c>
      <c r="E35" s="877">
        <v>400</v>
      </c>
      <c r="F35" s="796">
        <f>105742+1372.24</f>
        <v>107114.24</v>
      </c>
      <c r="G35" s="795"/>
      <c r="H35" s="844"/>
      <c r="I35" s="868"/>
      <c r="J35" s="855"/>
      <c r="K35" s="871"/>
      <c r="L35" s="872"/>
      <c r="M35" s="872"/>
    </row>
    <row r="36" spans="1:13" s="49" customFormat="1" ht="40.5" customHeight="1">
      <c r="A36" s="856">
        <v>8</v>
      </c>
      <c r="B36" s="788" t="s">
        <v>163</v>
      </c>
      <c r="C36" s="789" t="s">
        <v>164</v>
      </c>
      <c r="D36" s="811"/>
      <c r="E36" s="791"/>
      <c r="F36" s="791"/>
      <c r="G36" s="795"/>
      <c r="H36" s="844"/>
      <c r="I36" s="868"/>
      <c r="J36" s="855"/>
      <c r="K36" s="871"/>
      <c r="L36" s="872"/>
      <c r="M36" s="872"/>
    </row>
    <row r="37" spans="1:13" s="49" customFormat="1" ht="35.25" customHeight="1">
      <c r="A37" s="792"/>
      <c r="B37" s="812" t="s">
        <v>190</v>
      </c>
      <c r="C37" s="783"/>
      <c r="D37" s="813"/>
      <c r="E37" s="796"/>
      <c r="F37" s="796"/>
      <c r="G37" s="795"/>
      <c r="H37" s="844"/>
      <c r="I37" s="868"/>
      <c r="J37" s="855"/>
      <c r="K37" s="871"/>
      <c r="L37" s="872"/>
      <c r="M37" s="872"/>
    </row>
    <row r="38" spans="1:13" s="49" customFormat="1" ht="74.25" customHeight="1">
      <c r="A38" s="786"/>
      <c r="B38" s="812" t="s">
        <v>202</v>
      </c>
      <c r="C38" s="787"/>
      <c r="D38" s="818" t="s">
        <v>169</v>
      </c>
      <c r="E38" s="796">
        <f>68355+32313.86</f>
        <v>100668.86</v>
      </c>
      <c r="F38" s="796">
        <f>387345+183111.9</f>
        <v>570456.9</v>
      </c>
      <c r="G38" s="795"/>
      <c r="H38" s="844"/>
      <c r="I38" s="868"/>
      <c r="J38" s="855"/>
      <c r="K38" s="871"/>
      <c r="L38" s="872"/>
      <c r="M38" s="872"/>
    </row>
    <row r="39" spans="1:13" s="49" customFormat="1" ht="45" customHeight="1">
      <c r="A39" s="770">
        <v>9</v>
      </c>
      <c r="B39" s="788" t="s">
        <v>163</v>
      </c>
      <c r="C39" s="789" t="s">
        <v>164</v>
      </c>
      <c r="D39" s="773"/>
      <c r="E39" s="791"/>
      <c r="F39" s="791"/>
      <c r="G39" s="795"/>
      <c r="H39" s="844"/>
      <c r="I39" s="868"/>
      <c r="J39" s="855"/>
      <c r="K39" s="871"/>
      <c r="L39" s="872"/>
      <c r="M39" s="872"/>
    </row>
    <row r="40" spans="1:13" s="49" customFormat="1" ht="51" customHeight="1">
      <c r="A40" s="792"/>
      <c r="B40" s="793" t="s">
        <v>203</v>
      </c>
      <c r="C40" s="794"/>
      <c r="D40" s="784"/>
      <c r="E40" s="796"/>
      <c r="F40" s="796"/>
      <c r="G40" s="795"/>
      <c r="H40" s="844"/>
      <c r="I40" s="868"/>
      <c r="J40" s="855"/>
      <c r="K40" s="871"/>
      <c r="L40" s="872"/>
      <c r="M40" s="872"/>
    </row>
    <row r="41" spans="1:13" s="49" customFormat="1" ht="42" customHeight="1">
      <c r="A41" s="792"/>
      <c r="B41" s="793" t="s">
        <v>204</v>
      </c>
      <c r="C41" s="820"/>
      <c r="D41" s="799" t="s">
        <v>492</v>
      </c>
      <c r="E41" s="800">
        <f>89935.11+754.55</f>
        <v>90689.66</v>
      </c>
      <c r="F41" s="800">
        <f>509632.28+4275.76</f>
        <v>513908.04000000004</v>
      </c>
      <c r="G41" s="795"/>
      <c r="H41" s="844"/>
      <c r="I41" s="868"/>
      <c r="J41" s="855"/>
      <c r="K41" s="871"/>
      <c r="L41" s="872"/>
      <c r="M41" s="872"/>
    </row>
    <row r="42" spans="1:13" s="49" customFormat="1" ht="41.25" customHeight="1">
      <c r="A42" s="770">
        <v>10</v>
      </c>
      <c r="B42" s="788" t="s">
        <v>163</v>
      </c>
      <c r="C42" s="789" t="s">
        <v>164</v>
      </c>
      <c r="D42" s="773"/>
      <c r="E42" s="791"/>
      <c r="F42" s="791"/>
      <c r="G42" s="795"/>
      <c r="H42" s="844"/>
      <c r="I42" s="868"/>
      <c r="J42" s="855"/>
      <c r="K42" s="871"/>
      <c r="L42" s="872"/>
      <c r="M42" s="872"/>
    </row>
    <row r="43" spans="1:13" s="49" customFormat="1" ht="74.25" customHeight="1">
      <c r="A43" s="792"/>
      <c r="B43" s="793" t="s">
        <v>165</v>
      </c>
      <c r="C43" s="794"/>
      <c r="D43" s="784"/>
      <c r="E43" s="796"/>
      <c r="F43" s="796"/>
      <c r="G43" s="795"/>
      <c r="H43" s="844"/>
      <c r="I43" s="868"/>
      <c r="J43" s="855"/>
      <c r="K43" s="871"/>
      <c r="L43" s="872"/>
      <c r="M43" s="872"/>
    </row>
    <row r="44" spans="1:13" s="49" customFormat="1" ht="42" customHeight="1">
      <c r="A44" s="792"/>
      <c r="B44" s="793" t="s">
        <v>166</v>
      </c>
      <c r="C44" s="820"/>
      <c r="D44" s="799" t="s">
        <v>492</v>
      </c>
      <c r="E44" s="933">
        <f>130298.25+3685.52-6000-900</f>
        <v>127083.76999999999</v>
      </c>
      <c r="F44" s="933">
        <f>738356.75+20884.58-34000-5100</f>
        <v>720141.33</v>
      </c>
      <c r="G44" s="795"/>
      <c r="H44" s="844"/>
      <c r="I44" s="868"/>
      <c r="J44" s="855"/>
      <c r="K44" s="871"/>
      <c r="L44" s="872"/>
      <c r="M44" s="872"/>
    </row>
    <row r="45" spans="1:13" s="49" customFormat="1" ht="39" customHeight="1">
      <c r="A45" s="770">
        <v>11</v>
      </c>
      <c r="B45" s="788" t="s">
        <v>163</v>
      </c>
      <c r="C45" s="802" t="s">
        <v>164</v>
      </c>
      <c r="D45" s="784"/>
      <c r="E45" s="796"/>
      <c r="F45" s="796"/>
      <c r="G45" s="795"/>
      <c r="H45" s="844"/>
      <c r="I45" s="868"/>
      <c r="J45" s="855"/>
      <c r="K45" s="871"/>
      <c r="L45" s="872"/>
      <c r="M45" s="872"/>
    </row>
    <row r="46" spans="1:13" s="49" customFormat="1" ht="42" customHeight="1">
      <c r="A46" s="792"/>
      <c r="B46" s="793" t="s">
        <v>205</v>
      </c>
      <c r="C46" s="865"/>
      <c r="D46" s="784"/>
      <c r="E46" s="796"/>
      <c r="F46" s="796"/>
      <c r="G46" s="795"/>
      <c r="H46" s="844"/>
      <c r="I46" s="868"/>
      <c r="J46" s="855"/>
      <c r="K46" s="871"/>
      <c r="L46" s="872"/>
      <c r="M46" s="872"/>
    </row>
    <row r="47" spans="1:13" s="49" customFormat="1" ht="39" customHeight="1">
      <c r="A47" s="792"/>
      <c r="B47" s="878" t="s">
        <v>206</v>
      </c>
      <c r="C47" s="865"/>
      <c r="D47" s="799" t="s">
        <v>207</v>
      </c>
      <c r="E47" s="796">
        <v>25172.76</v>
      </c>
      <c r="F47" s="796">
        <v>142645.62</v>
      </c>
      <c r="G47" s="795"/>
      <c r="H47" s="844"/>
      <c r="I47" s="868"/>
      <c r="J47" s="855"/>
      <c r="K47" s="871"/>
      <c r="L47" s="872"/>
      <c r="M47" s="872"/>
    </row>
    <row r="48" spans="1:13" s="49" customFormat="1" ht="42" customHeight="1">
      <c r="A48" s="770">
        <v>12</v>
      </c>
      <c r="B48" s="788" t="s">
        <v>163</v>
      </c>
      <c r="C48" s="879" t="s">
        <v>164</v>
      </c>
      <c r="D48" s="816"/>
      <c r="E48" s="791"/>
      <c r="F48" s="880"/>
      <c r="G48" s="795"/>
      <c r="H48" s="844"/>
      <c r="I48" s="868"/>
      <c r="J48" s="855"/>
      <c r="K48" s="871"/>
      <c r="L48" s="872"/>
      <c r="M48" s="872"/>
    </row>
    <row r="49" spans="1:13" s="49" customFormat="1" ht="42" customHeight="1">
      <c r="A49" s="792"/>
      <c r="B49" s="793" t="s">
        <v>208</v>
      </c>
      <c r="C49" s="794"/>
      <c r="D49" s="818"/>
      <c r="E49" s="796"/>
      <c r="F49" s="881"/>
      <c r="G49" s="795"/>
      <c r="H49" s="844"/>
      <c r="I49" s="868"/>
      <c r="J49" s="855"/>
      <c r="K49" s="871"/>
      <c r="L49" s="872"/>
      <c r="M49" s="872"/>
    </row>
    <row r="50" spans="1:13" s="49" customFormat="1" ht="42" customHeight="1">
      <c r="A50" s="786"/>
      <c r="B50" s="793" t="s">
        <v>209</v>
      </c>
      <c r="C50" s="820"/>
      <c r="D50" s="799" t="s">
        <v>492</v>
      </c>
      <c r="E50" s="800">
        <v>133415.64</v>
      </c>
      <c r="F50" s="882">
        <v>756021.95</v>
      </c>
      <c r="G50" s="795"/>
      <c r="H50" s="844"/>
      <c r="I50" s="868"/>
      <c r="J50" s="855"/>
      <c r="K50" s="871"/>
      <c r="L50" s="872"/>
      <c r="M50" s="872"/>
    </row>
    <row r="51" spans="1:13" s="49" customFormat="1" ht="42.75" customHeight="1">
      <c r="A51" s="856">
        <v>13</v>
      </c>
      <c r="B51" s="788" t="s">
        <v>163</v>
      </c>
      <c r="C51" s="883" t="s">
        <v>210</v>
      </c>
      <c r="D51" s="784"/>
      <c r="E51" s="796"/>
      <c r="F51" s="796"/>
      <c r="G51" s="795"/>
      <c r="H51" s="844"/>
      <c r="I51" s="868"/>
      <c r="J51" s="855"/>
      <c r="K51" s="871"/>
      <c r="L51" s="872"/>
      <c r="M51" s="872"/>
    </row>
    <row r="52" spans="1:13" s="49" customFormat="1" ht="35.25" customHeight="1">
      <c r="A52" s="792"/>
      <c r="B52" s="797" t="s">
        <v>211</v>
      </c>
      <c r="C52" s="783"/>
      <c r="D52" s="884"/>
      <c r="E52" s="796"/>
      <c r="F52" s="796"/>
      <c r="G52" s="795"/>
      <c r="H52" s="844"/>
      <c r="I52" s="868"/>
      <c r="J52" s="855"/>
      <c r="K52" s="871"/>
      <c r="L52" s="872"/>
      <c r="M52" s="872"/>
    </row>
    <row r="53" spans="1:13" s="49" customFormat="1" ht="86.25" customHeight="1">
      <c r="A53" s="786"/>
      <c r="B53" s="797" t="s">
        <v>212</v>
      </c>
      <c r="C53" s="787"/>
      <c r="D53" s="885" t="s">
        <v>492</v>
      </c>
      <c r="E53" s="800">
        <f>1980.96+4.22</f>
        <v>1985.18</v>
      </c>
      <c r="F53" s="800">
        <f>298488.76+2979.61</f>
        <v>301468.37</v>
      </c>
      <c r="G53" s="795"/>
      <c r="H53" s="844"/>
      <c r="I53" s="868"/>
      <c r="J53" s="855"/>
      <c r="K53" s="871"/>
      <c r="L53" s="872"/>
      <c r="M53" s="872"/>
    </row>
    <row r="54" spans="1:13" s="49" customFormat="1" ht="54" customHeight="1">
      <c r="A54" s="770">
        <v>14</v>
      </c>
      <c r="B54" s="886" t="s">
        <v>213</v>
      </c>
      <c r="C54" s="876" t="s">
        <v>170</v>
      </c>
      <c r="D54" s="773"/>
      <c r="E54" s="791"/>
      <c r="F54" s="791"/>
      <c r="G54" s="795"/>
      <c r="H54" s="844"/>
      <c r="I54" s="868"/>
      <c r="J54" s="855"/>
      <c r="K54" s="871"/>
      <c r="L54" s="872"/>
      <c r="M54" s="872"/>
    </row>
    <row r="55" spans="1:13" s="49" customFormat="1" ht="52.5" customHeight="1">
      <c r="A55" s="792"/>
      <c r="B55" s="797" t="s">
        <v>214</v>
      </c>
      <c r="C55" s="783"/>
      <c r="D55" s="884"/>
      <c r="E55" s="796"/>
      <c r="F55" s="796"/>
      <c r="G55" s="795"/>
      <c r="H55" s="844"/>
      <c r="I55" s="868"/>
      <c r="J55" s="855"/>
      <c r="K55" s="871"/>
      <c r="L55" s="872"/>
      <c r="M55" s="872"/>
    </row>
    <row r="56" spans="1:13" s="49" customFormat="1" ht="58.5" customHeight="1">
      <c r="A56" s="786"/>
      <c r="B56" s="797" t="s">
        <v>215</v>
      </c>
      <c r="C56" s="787"/>
      <c r="D56" s="885" t="s">
        <v>492</v>
      </c>
      <c r="E56" s="800"/>
      <c r="F56" s="800">
        <f>45885+7262.01</f>
        <v>53147.01</v>
      </c>
      <c r="G56" s="795"/>
      <c r="H56" s="844"/>
      <c r="I56" s="887"/>
      <c r="J56" s="855"/>
      <c r="K56" s="871"/>
      <c r="L56" s="872"/>
      <c r="M56" s="872"/>
    </row>
    <row r="57" spans="1:13" s="49" customFormat="1" ht="39" customHeight="1">
      <c r="A57" s="856">
        <v>15</v>
      </c>
      <c r="B57" s="788" t="s">
        <v>163</v>
      </c>
      <c r="C57" s="876" t="s">
        <v>170</v>
      </c>
      <c r="D57" s="811"/>
      <c r="E57" s="791"/>
      <c r="F57" s="791"/>
      <c r="G57" s="795"/>
      <c r="H57" s="844"/>
      <c r="I57" s="887"/>
      <c r="J57" s="855"/>
      <c r="K57" s="871"/>
      <c r="L57" s="872"/>
      <c r="M57" s="872"/>
    </row>
    <row r="58" spans="1:13" s="49" customFormat="1" ht="75" customHeight="1">
      <c r="A58" s="792"/>
      <c r="B58" s="812" t="s">
        <v>171</v>
      </c>
      <c r="C58" s="783"/>
      <c r="D58" s="813"/>
      <c r="E58" s="796"/>
      <c r="F58" s="796"/>
      <c r="G58" s="795"/>
      <c r="H58" s="844"/>
      <c r="I58" s="887"/>
      <c r="J58" s="855"/>
      <c r="K58" s="871"/>
      <c r="L58" s="872"/>
      <c r="M58" s="872"/>
    </row>
    <row r="59" spans="1:13" s="49" customFormat="1" ht="35.25" customHeight="1">
      <c r="A59" s="786"/>
      <c r="B59" s="812" t="s">
        <v>172</v>
      </c>
      <c r="C59" s="787"/>
      <c r="D59" s="815" t="s">
        <v>492</v>
      </c>
      <c r="E59" s="800">
        <f>26400+40.04</f>
        <v>26440.04</v>
      </c>
      <c r="F59" s="800">
        <f>77240+107215-14400</f>
        <v>170055</v>
      </c>
      <c r="G59" s="795"/>
      <c r="H59" s="844"/>
      <c r="I59" s="887"/>
      <c r="J59" s="855"/>
      <c r="K59" s="871"/>
      <c r="L59" s="872"/>
      <c r="M59" s="872"/>
    </row>
    <row r="60" spans="1:13" s="49" customFormat="1" ht="56.25" customHeight="1">
      <c r="A60" s="770">
        <v>16</v>
      </c>
      <c r="B60" s="788" t="s">
        <v>163</v>
      </c>
      <c r="C60" s="810" t="s">
        <v>176</v>
      </c>
      <c r="D60" s="816"/>
      <c r="E60" s="791"/>
      <c r="F60" s="791"/>
      <c r="G60" s="795"/>
      <c r="H60" s="844"/>
      <c r="I60" s="887"/>
      <c r="J60" s="855"/>
      <c r="K60" s="871"/>
      <c r="L60" s="872"/>
      <c r="M60" s="872"/>
    </row>
    <row r="61" spans="1:13" s="49" customFormat="1" ht="60.75" customHeight="1">
      <c r="A61" s="792"/>
      <c r="B61" s="812" t="s">
        <v>177</v>
      </c>
      <c r="C61" s="794"/>
      <c r="D61" s="818"/>
      <c r="E61" s="796"/>
      <c r="F61" s="796"/>
      <c r="G61" s="795"/>
      <c r="H61" s="844"/>
      <c r="I61" s="887"/>
      <c r="J61" s="855"/>
      <c r="K61" s="871"/>
      <c r="L61" s="872"/>
      <c r="M61" s="872"/>
    </row>
    <row r="62" spans="1:13" s="49" customFormat="1" ht="38.25" customHeight="1">
      <c r="A62" s="786"/>
      <c r="B62" s="812" t="s">
        <v>178</v>
      </c>
      <c r="C62" s="820"/>
      <c r="D62" s="818" t="s">
        <v>179</v>
      </c>
      <c r="E62" s="796" t="s">
        <v>199</v>
      </c>
      <c r="F62" s="796">
        <f>392366.5-3500-31000-10240</f>
        <v>347626.5</v>
      </c>
      <c r="G62" s="795"/>
      <c r="H62" s="844"/>
      <c r="I62" s="887"/>
      <c r="J62" s="855"/>
      <c r="K62" s="871"/>
      <c r="L62" s="872"/>
      <c r="M62" s="872"/>
    </row>
    <row r="63" spans="1:13" s="49" customFormat="1" ht="38.25" customHeight="1">
      <c r="A63" s="770">
        <v>17</v>
      </c>
      <c r="B63" s="788" t="s">
        <v>163</v>
      </c>
      <c r="C63" s="810" t="s">
        <v>173</v>
      </c>
      <c r="D63" s="816"/>
      <c r="E63" s="817"/>
      <c r="F63" s="791"/>
      <c r="G63" s="795"/>
      <c r="H63" s="844"/>
      <c r="I63" s="887"/>
      <c r="J63" s="855"/>
      <c r="K63" s="871"/>
      <c r="L63" s="872"/>
      <c r="M63" s="872"/>
    </row>
    <row r="64" spans="1:13" s="49" customFormat="1" ht="91.5" customHeight="1">
      <c r="A64" s="792"/>
      <c r="B64" s="812" t="s">
        <v>216</v>
      </c>
      <c r="C64" s="794"/>
      <c r="D64" s="818"/>
      <c r="E64" s="819"/>
      <c r="F64" s="796"/>
      <c r="G64" s="795"/>
      <c r="H64" s="844"/>
      <c r="I64" s="887"/>
      <c r="J64" s="855"/>
      <c r="K64" s="871"/>
      <c r="L64" s="872"/>
      <c r="M64" s="872"/>
    </row>
    <row r="65" spans="1:13" s="49" customFormat="1" ht="38.25" customHeight="1">
      <c r="A65" s="786"/>
      <c r="B65" s="812" t="s">
        <v>175</v>
      </c>
      <c r="C65" s="820"/>
      <c r="D65" s="815" t="s">
        <v>742</v>
      </c>
      <c r="E65" s="800" t="s">
        <v>199</v>
      </c>
      <c r="F65" s="821">
        <f>253578-7848</f>
        <v>245730</v>
      </c>
      <c r="G65" s="795"/>
      <c r="H65" s="844"/>
      <c r="I65" s="887"/>
      <c r="J65" s="855"/>
      <c r="K65" s="871"/>
      <c r="L65" s="872"/>
      <c r="M65" s="872"/>
    </row>
    <row r="66" spans="1:13" s="49" customFormat="1" ht="56.25" customHeight="1">
      <c r="A66" s="770">
        <v>18</v>
      </c>
      <c r="B66" s="888" t="s">
        <v>163</v>
      </c>
      <c r="C66" s="879" t="s">
        <v>217</v>
      </c>
      <c r="D66" s="816"/>
      <c r="E66" s="817"/>
      <c r="F66" s="791"/>
      <c r="G66" s="795"/>
      <c r="H66" s="844"/>
      <c r="I66" s="868"/>
      <c r="J66" s="855"/>
      <c r="K66" s="871"/>
      <c r="L66" s="872"/>
      <c r="M66" s="872"/>
    </row>
    <row r="67" spans="1:13" s="49" customFormat="1" ht="42" customHeight="1">
      <c r="A67" s="792"/>
      <c r="B67" s="812" t="s">
        <v>218</v>
      </c>
      <c r="C67" s="794"/>
      <c r="D67" s="818"/>
      <c r="E67" s="819"/>
      <c r="F67" s="796"/>
      <c r="G67" s="795"/>
      <c r="H67" s="844"/>
      <c r="I67" s="868"/>
      <c r="J67" s="855"/>
      <c r="K67" s="871"/>
      <c r="L67" s="872"/>
      <c r="M67" s="872"/>
    </row>
    <row r="68" spans="1:13" s="49" customFormat="1" ht="66" customHeight="1">
      <c r="A68" s="792"/>
      <c r="B68" s="889" t="s">
        <v>219</v>
      </c>
      <c r="C68" s="865"/>
      <c r="D68" s="818">
        <v>2013</v>
      </c>
      <c r="E68" s="819">
        <f>62262.18+145278.42</f>
        <v>207540.6</v>
      </c>
      <c r="F68" s="796">
        <v>1176063.4</v>
      </c>
      <c r="G68" s="795"/>
      <c r="H68" s="844"/>
      <c r="I68" s="868"/>
      <c r="J68" s="855"/>
      <c r="K68" s="871"/>
      <c r="L68" s="872"/>
      <c r="M68" s="872"/>
    </row>
    <row r="69" spans="1:13" s="49" customFormat="1" ht="55.5" customHeight="1">
      <c r="A69" s="952">
        <v>19</v>
      </c>
      <c r="B69" s="953" t="s">
        <v>213</v>
      </c>
      <c r="C69" s="954" t="s">
        <v>244</v>
      </c>
      <c r="D69" s="955"/>
      <c r="E69" s="956"/>
      <c r="F69" s="956"/>
      <c r="G69" s="795"/>
      <c r="H69" s="844"/>
      <c r="I69" s="868"/>
      <c r="J69" s="855"/>
      <c r="K69" s="871"/>
      <c r="L69" s="872"/>
      <c r="M69" s="872"/>
    </row>
    <row r="70" spans="1:13" s="49" customFormat="1" ht="39.75" customHeight="1">
      <c r="A70" s="957"/>
      <c r="B70" s="958" t="s">
        <v>245</v>
      </c>
      <c r="C70" s="959"/>
      <c r="D70" s="960"/>
      <c r="E70" s="961"/>
      <c r="F70" s="961"/>
      <c r="G70" s="795"/>
      <c r="H70" s="844"/>
      <c r="I70" s="868"/>
      <c r="J70" s="855"/>
      <c r="K70" s="871"/>
      <c r="L70" s="872"/>
      <c r="M70" s="872"/>
    </row>
    <row r="71" spans="1:13" s="49" customFormat="1" ht="38.25" customHeight="1">
      <c r="A71" s="962"/>
      <c r="B71" s="958" t="s">
        <v>404</v>
      </c>
      <c r="C71" s="963"/>
      <c r="D71" s="964" t="s">
        <v>742</v>
      </c>
      <c r="E71" s="933"/>
      <c r="F71" s="933">
        <v>25000</v>
      </c>
      <c r="G71" s="795"/>
      <c r="H71" s="844"/>
      <c r="I71" s="868"/>
      <c r="J71" s="855"/>
      <c r="K71" s="871"/>
      <c r="L71" s="872"/>
      <c r="M71" s="872"/>
    </row>
    <row r="72" spans="1:11" ht="32.25" customHeight="1">
      <c r="A72" s="937" t="s">
        <v>220</v>
      </c>
      <c r="B72" s="890"/>
      <c r="C72" s="891"/>
      <c r="D72" s="892"/>
      <c r="E72" s="455">
        <f>E75+E78+E81+E84+E87+E90+E93</f>
        <v>67657.86</v>
      </c>
      <c r="F72" s="455">
        <f>F75+F78+F81+F84+F87+F90+F93</f>
        <v>1486275.03</v>
      </c>
      <c r="H72" s="844"/>
      <c r="I72" s="893"/>
      <c r="J72" s="409"/>
      <c r="K72" s="894"/>
    </row>
    <row r="73" spans="1:10" ht="51">
      <c r="A73" s="770">
        <v>1</v>
      </c>
      <c r="B73" s="788" t="s">
        <v>221</v>
      </c>
      <c r="C73" s="869" t="s">
        <v>222</v>
      </c>
      <c r="D73" s="895"/>
      <c r="E73" s="896"/>
      <c r="F73" s="896"/>
      <c r="H73" s="844"/>
      <c r="I73" s="897"/>
      <c r="J73" s="898"/>
    </row>
    <row r="74" spans="1:10" ht="34.5" customHeight="1">
      <c r="A74" s="792"/>
      <c r="B74" s="899" t="s">
        <v>190</v>
      </c>
      <c r="C74" s="452"/>
      <c r="D74" s="900"/>
      <c r="E74" s="901"/>
      <c r="F74" s="902"/>
      <c r="H74" s="844"/>
      <c r="I74" s="868"/>
      <c r="J74" s="210"/>
    </row>
    <row r="75" spans="1:10" ht="60" customHeight="1">
      <c r="A75" s="786"/>
      <c r="B75" s="903" t="s">
        <v>223</v>
      </c>
      <c r="C75" s="453"/>
      <c r="D75" s="904" t="s">
        <v>755</v>
      </c>
      <c r="E75" s="905">
        <v>35403.08</v>
      </c>
      <c r="F75" s="906">
        <f>200617.54+30295.19</f>
        <v>230912.73</v>
      </c>
      <c r="H75" s="844"/>
      <c r="I75" s="868"/>
      <c r="J75" s="210"/>
    </row>
    <row r="76" spans="1:8" ht="36.75" customHeight="1">
      <c r="A76" s="856">
        <v>2</v>
      </c>
      <c r="B76" s="788" t="s">
        <v>221</v>
      </c>
      <c r="C76" s="907" t="s">
        <v>224</v>
      </c>
      <c r="D76" s="908" t="s">
        <v>446</v>
      </c>
      <c r="E76" s="636"/>
      <c r="F76" s="909"/>
      <c r="H76" s="844"/>
    </row>
    <row r="77" spans="1:9" ht="37.5" customHeight="1">
      <c r="A77" s="792"/>
      <c r="B77" s="899" t="s">
        <v>190</v>
      </c>
      <c r="C77" s="910"/>
      <c r="D77" s="911"/>
      <c r="E77" s="912"/>
      <c r="F77" s="913"/>
      <c r="H77" s="844"/>
      <c r="I77" s="914"/>
    </row>
    <row r="78" spans="1:8" ht="27" customHeight="1">
      <c r="A78" s="786"/>
      <c r="B78" s="915" t="s">
        <v>225</v>
      </c>
      <c r="C78" s="916"/>
      <c r="D78" s="917"/>
      <c r="E78" s="918"/>
      <c r="F78" s="918">
        <f>673470-48000+7466.42</f>
        <v>632936.42</v>
      </c>
      <c r="H78" s="844"/>
    </row>
    <row r="79" spans="1:9" ht="45" customHeight="1">
      <c r="A79" s="856">
        <v>3</v>
      </c>
      <c r="B79" s="919" t="s">
        <v>213</v>
      </c>
      <c r="C79" s="920" t="s">
        <v>226</v>
      </c>
      <c r="D79" s="773"/>
      <c r="E79" s="859"/>
      <c r="F79" s="858"/>
      <c r="H79" s="844"/>
      <c r="I79" s="868"/>
    </row>
    <row r="80" spans="1:9" ht="45" customHeight="1">
      <c r="A80" s="792"/>
      <c r="B80" s="812" t="s">
        <v>227</v>
      </c>
      <c r="C80" s="783"/>
      <c r="D80" s="784"/>
      <c r="E80" s="921"/>
      <c r="F80" s="863"/>
      <c r="H80" s="844"/>
      <c r="I80" s="868"/>
    </row>
    <row r="81" spans="1:10" ht="36" customHeight="1">
      <c r="A81" s="786"/>
      <c r="B81" s="812" t="s">
        <v>228</v>
      </c>
      <c r="C81" s="787"/>
      <c r="D81" s="799" t="s">
        <v>452</v>
      </c>
      <c r="E81" s="905"/>
      <c r="F81" s="922">
        <f>62610.4-2148.8+306.52</f>
        <v>60768.119999999995</v>
      </c>
      <c r="H81" s="844"/>
      <c r="I81" s="868"/>
      <c r="J81" s="923"/>
    </row>
    <row r="82" spans="1:8" ht="42" customHeight="1">
      <c r="A82" s="856">
        <v>4</v>
      </c>
      <c r="B82" s="788" t="s">
        <v>221</v>
      </c>
      <c r="C82" s="907" t="s">
        <v>224</v>
      </c>
      <c r="D82" s="908"/>
      <c r="E82" s="636"/>
      <c r="F82" s="909"/>
      <c r="H82" s="844"/>
    </row>
    <row r="83" spans="1:9" ht="36.75" customHeight="1">
      <c r="A83" s="792"/>
      <c r="B83" s="899" t="s">
        <v>229</v>
      </c>
      <c r="C83" s="910"/>
      <c r="D83" s="911"/>
      <c r="E83" s="912"/>
      <c r="F83" s="913"/>
      <c r="H83" s="844"/>
      <c r="I83" s="914"/>
    </row>
    <row r="84" spans="1:9" ht="36" customHeight="1">
      <c r="A84" s="786"/>
      <c r="B84" s="915" t="s">
        <v>230</v>
      </c>
      <c r="C84" s="916"/>
      <c r="D84" s="799" t="s">
        <v>452</v>
      </c>
      <c r="E84" s="918">
        <f>12190.75+170.31-10106.28</f>
        <v>2254.779999999999</v>
      </c>
      <c r="F84" s="918">
        <f>7029.69+397439.25+2913.82</f>
        <v>407382.76</v>
      </c>
      <c r="H84" s="844"/>
      <c r="I84" s="914"/>
    </row>
    <row r="85" spans="1:10" ht="39" customHeight="1">
      <c r="A85" s="856">
        <v>5</v>
      </c>
      <c r="B85" s="788" t="s">
        <v>231</v>
      </c>
      <c r="C85" s="802" t="s">
        <v>164</v>
      </c>
      <c r="D85" s="908"/>
      <c r="E85" s="636"/>
      <c r="F85" s="909"/>
      <c r="H85" s="844"/>
      <c r="I85" s="914"/>
      <c r="J85" s="923"/>
    </row>
    <row r="86" spans="1:8" ht="60.75" customHeight="1">
      <c r="A86" s="792"/>
      <c r="B86" s="899" t="s">
        <v>232</v>
      </c>
      <c r="C86" s="910"/>
      <c r="D86" s="911"/>
      <c r="E86" s="912"/>
      <c r="F86" s="913"/>
      <c r="H86" s="844"/>
    </row>
    <row r="87" spans="1:8" ht="46.5" customHeight="1">
      <c r="A87" s="786"/>
      <c r="B87" s="899" t="s">
        <v>233</v>
      </c>
      <c r="C87" s="916"/>
      <c r="D87" s="799" t="s">
        <v>452</v>
      </c>
      <c r="E87" s="918">
        <v>30000</v>
      </c>
      <c r="F87" s="918"/>
      <c r="H87" s="844"/>
    </row>
    <row r="88" spans="1:11" ht="51">
      <c r="A88" s="360">
        <v>6</v>
      </c>
      <c r="B88" s="788" t="s">
        <v>221</v>
      </c>
      <c r="C88" s="869" t="s">
        <v>222</v>
      </c>
      <c r="D88" s="895"/>
      <c r="E88" s="896"/>
      <c r="F88" s="896"/>
      <c r="H88" s="844"/>
      <c r="I88" s="914"/>
      <c r="K88" s="924"/>
    </row>
    <row r="89" spans="1:11" ht="34.5" customHeight="1">
      <c r="A89" s="454"/>
      <c r="B89" s="899" t="s">
        <v>190</v>
      </c>
      <c r="C89" s="452"/>
      <c r="D89" s="900"/>
      <c r="E89" s="901"/>
      <c r="F89" s="902"/>
      <c r="H89" s="844"/>
      <c r="I89" s="925"/>
      <c r="K89" s="894"/>
    </row>
    <row r="90" spans="1:11" ht="51" customHeight="1">
      <c r="A90" s="453"/>
      <c r="B90" s="903" t="s">
        <v>234</v>
      </c>
      <c r="C90" s="453"/>
      <c r="D90" s="904" t="s">
        <v>755</v>
      </c>
      <c r="E90" s="905"/>
      <c r="F90" s="906">
        <v>1075</v>
      </c>
      <c r="H90" s="844"/>
      <c r="K90" s="926"/>
    </row>
    <row r="91" spans="1:8" ht="40.5" customHeight="1">
      <c r="A91" s="856">
        <v>7</v>
      </c>
      <c r="B91" s="927" t="s">
        <v>235</v>
      </c>
      <c r="C91" s="928" t="s">
        <v>236</v>
      </c>
      <c r="D91" s="908" t="s">
        <v>810</v>
      </c>
      <c r="E91" s="636"/>
      <c r="F91" s="909"/>
      <c r="H91" s="844"/>
    </row>
    <row r="92" spans="1:11" ht="34.5" customHeight="1">
      <c r="A92" s="792"/>
      <c r="B92" s="915" t="s">
        <v>237</v>
      </c>
      <c r="C92" s="910"/>
      <c r="D92" s="911"/>
      <c r="E92" s="912"/>
      <c r="F92" s="913"/>
      <c r="H92" s="844"/>
      <c r="K92" s="926"/>
    </row>
    <row r="93" spans="1:8" ht="35.25" customHeight="1">
      <c r="A93" s="786"/>
      <c r="B93" s="915" t="s">
        <v>238</v>
      </c>
      <c r="C93" s="916"/>
      <c r="D93" s="917"/>
      <c r="E93" s="918"/>
      <c r="F93" s="918">
        <v>153200</v>
      </c>
      <c r="H93" s="844"/>
    </row>
    <row r="94" spans="4:8" ht="18.75">
      <c r="D94" s="929"/>
      <c r="E94" s="28"/>
      <c r="F94" s="1"/>
      <c r="H94" s="844"/>
    </row>
    <row r="95" spans="4:6" ht="18.75">
      <c r="D95" s="929"/>
      <c r="E95" s="1"/>
      <c r="F95" s="1"/>
    </row>
    <row r="96" spans="4:6" ht="18.75">
      <c r="D96" s="929"/>
      <c r="E96" s="1"/>
      <c r="F96" s="1"/>
    </row>
    <row r="97" spans="4:6" ht="18.75">
      <c r="D97" s="929"/>
      <c r="E97" s="1"/>
      <c r="F97" s="1"/>
    </row>
    <row r="98" spans="4:6" ht="18.75">
      <c r="D98" s="929"/>
      <c r="E98" s="1"/>
      <c r="F98" s="1"/>
    </row>
    <row r="99" spans="4:6" ht="18.75">
      <c r="D99" s="929"/>
      <c r="E99" s="1"/>
      <c r="F99" s="1"/>
    </row>
    <row r="100" spans="4:11" ht="18.75">
      <c r="D100" s="929"/>
      <c r="E100" s="28"/>
      <c r="F100" s="1"/>
      <c r="K100" s="926"/>
    </row>
    <row r="101" spans="4:6" ht="18.75">
      <c r="D101" s="929"/>
      <c r="E101" s="28"/>
      <c r="F101" s="1"/>
    </row>
    <row r="102" spans="4:6" ht="18.75">
      <c r="D102" s="929"/>
      <c r="E102" s="28"/>
      <c r="F102" s="1"/>
    </row>
    <row r="103" spans="4:6" ht="18.75">
      <c r="D103" s="929"/>
      <c r="E103" s="28"/>
      <c r="F103" s="1"/>
    </row>
    <row r="104" spans="5:6" ht="18.75">
      <c r="E104" s="733"/>
      <c r="F104" s="1"/>
    </row>
    <row r="105" spans="4:6" ht="18.75">
      <c r="D105" s="930"/>
      <c r="E105" s="1"/>
      <c r="F105" s="28"/>
    </row>
    <row r="106" spans="5:6" ht="18.75">
      <c r="E106" s="1"/>
      <c r="F106" s="28"/>
    </row>
    <row r="107" spans="3:6" ht="18.75">
      <c r="C107" s="4"/>
      <c r="D107" s="4"/>
      <c r="E107" s="733"/>
      <c r="F107" s="28"/>
    </row>
    <row r="108" spans="3:6" ht="18.75">
      <c r="C108" s="4"/>
      <c r="D108" s="4"/>
      <c r="E108" s="733"/>
      <c r="F108" s="28"/>
    </row>
    <row r="109" spans="3:11" ht="18.75">
      <c r="C109" s="4"/>
      <c r="D109" s="4"/>
      <c r="E109" s="733"/>
      <c r="F109" s="28"/>
      <c r="K109" s="926"/>
    </row>
    <row r="110" spans="3:6" ht="18.75">
      <c r="C110" s="4"/>
      <c r="D110" s="4"/>
      <c r="E110" s="72"/>
      <c r="F110" s="931"/>
    </row>
    <row r="111" spans="3:6" ht="18.75">
      <c r="C111" s="4"/>
      <c r="D111" s="4"/>
      <c r="E111" s="72"/>
      <c r="F111" s="931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72"/>
      <c r="F113" s="931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3:6" ht="18.75">
      <c r="C119" s="4"/>
      <c r="D119" s="4"/>
      <c r="E119" s="28"/>
      <c r="F119" s="28"/>
    </row>
    <row r="120" spans="3:6" ht="18.75">
      <c r="C120" s="4"/>
      <c r="D120" s="4"/>
      <c r="E120" s="28"/>
      <c r="F120" s="28"/>
    </row>
    <row r="121" spans="3:6" ht="18.75">
      <c r="C121" s="4"/>
      <c r="D121" s="4"/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  <row r="212" spans="5:6" ht="18.75">
      <c r="E212" s="28"/>
      <c r="F212" s="28"/>
    </row>
    <row r="213" spans="5:6" ht="18.75">
      <c r="E213" s="28"/>
      <c r="F213" s="28"/>
    </row>
    <row r="214" spans="5:6" ht="18.75">
      <c r="E214" s="28"/>
      <c r="F214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91">
      <selection activeCell="C4" sqref="C4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617" customWidth="1"/>
    <col min="4" max="4" width="20.57421875" style="2" customWidth="1"/>
    <col min="5" max="5" width="12.7109375" style="4" customWidth="1"/>
    <col min="6" max="6" width="19.7109375" style="2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211" t="s">
        <v>424</v>
      </c>
    </row>
    <row r="2" ht="19.5" customHeight="1">
      <c r="C2" s="213" t="s">
        <v>425</v>
      </c>
    </row>
    <row r="3" ht="19.5" customHeight="1">
      <c r="C3" s="213" t="s">
        <v>337</v>
      </c>
    </row>
    <row r="4" ht="19.5" customHeight="1">
      <c r="C4" s="213" t="s">
        <v>644</v>
      </c>
    </row>
    <row r="5" ht="15" customHeight="1"/>
    <row r="6" ht="14.25" customHeight="1"/>
    <row r="7" spans="1:5" s="26" customFormat="1" ht="19.5" customHeight="1">
      <c r="A7" s="424" t="s">
        <v>594</v>
      </c>
      <c r="B7" s="618"/>
      <c r="C7" s="210"/>
      <c r="D7" s="2"/>
      <c r="E7" s="4"/>
    </row>
    <row r="8" spans="1:5" s="26" customFormat="1" ht="19.5" customHeight="1">
      <c r="A8" s="424" t="s">
        <v>595</v>
      </c>
      <c r="B8" s="618"/>
      <c r="C8" s="210"/>
      <c r="D8" s="2"/>
      <c r="E8" s="4"/>
    </row>
    <row r="9" spans="1:3" ht="18.75" customHeight="1">
      <c r="A9" s="424"/>
      <c r="B9" s="49"/>
      <c r="C9" s="210"/>
    </row>
    <row r="10" spans="1:2" ht="13.5">
      <c r="A10" s="114" t="s">
        <v>252</v>
      </c>
      <c r="B10" s="425"/>
    </row>
    <row r="11" spans="3:4" ht="11.25" customHeight="1">
      <c r="C11" s="619"/>
      <c r="D11" s="426" t="s">
        <v>346</v>
      </c>
    </row>
    <row r="12" spans="1:6" ht="42.75" customHeight="1">
      <c r="A12" s="296" t="s">
        <v>349</v>
      </c>
      <c r="B12" s="296" t="s">
        <v>829</v>
      </c>
      <c r="C12" s="279" t="s">
        <v>830</v>
      </c>
      <c r="D12" s="427" t="s">
        <v>831</v>
      </c>
      <c r="F12" s="620"/>
    </row>
    <row r="13" spans="1:7" s="49" customFormat="1" ht="22.5" customHeight="1">
      <c r="A13" s="621" t="s">
        <v>832</v>
      </c>
      <c r="B13" s="622"/>
      <c r="C13" s="623"/>
      <c r="D13" s="428">
        <f>D14+D28</f>
        <v>9627162.07</v>
      </c>
      <c r="E13" s="3"/>
      <c r="F13" s="624"/>
      <c r="G13" s="3"/>
    </row>
    <row r="14" spans="1:7" s="49" customFormat="1" ht="24.75" customHeight="1">
      <c r="A14" s="429" t="s">
        <v>596</v>
      </c>
      <c r="B14" s="625"/>
      <c r="C14" s="626"/>
      <c r="D14" s="428">
        <f>D15</f>
        <v>2160158</v>
      </c>
      <c r="E14" s="627"/>
      <c r="F14" s="3"/>
      <c r="G14" s="3"/>
    </row>
    <row r="15" spans="1:7" s="49" customFormat="1" ht="30" customHeight="1">
      <c r="A15" s="628">
        <v>801</v>
      </c>
      <c r="B15" s="629" t="s">
        <v>503</v>
      </c>
      <c r="C15" s="630"/>
      <c r="D15" s="631">
        <f>SUM(D16:D27)</f>
        <v>2160158</v>
      </c>
      <c r="E15" s="430"/>
      <c r="G15" s="3"/>
    </row>
    <row r="16" spans="1:5" s="49" customFormat="1" ht="25.5" customHeight="1">
      <c r="A16" s="628"/>
      <c r="B16" s="632"/>
      <c r="C16" s="630" t="s">
        <v>597</v>
      </c>
      <c r="D16" s="431">
        <v>40000</v>
      </c>
      <c r="E16" s="430"/>
    </row>
    <row r="17" spans="1:5" s="49" customFormat="1" ht="17.25" customHeight="1">
      <c r="A17" s="633"/>
      <c r="B17" s="632"/>
      <c r="C17" s="283" t="s">
        <v>598</v>
      </c>
      <c r="D17" s="431">
        <f>325260-20000</f>
        <v>305260</v>
      </c>
      <c r="E17" s="3"/>
    </row>
    <row r="18" spans="1:5" s="49" customFormat="1" ht="18.75" customHeight="1">
      <c r="A18" s="633"/>
      <c r="B18" s="634"/>
      <c r="C18" s="283" t="s">
        <v>599</v>
      </c>
      <c r="D18" s="635">
        <f>587136-20000</f>
        <v>567136</v>
      </c>
      <c r="E18" s="3"/>
    </row>
    <row r="19" spans="1:5" s="49" customFormat="1" ht="18.75" customHeight="1">
      <c r="A19" s="633"/>
      <c r="B19" s="634"/>
      <c r="C19" s="283" t="s">
        <v>600</v>
      </c>
      <c r="D19" s="635">
        <f>66720-15000</f>
        <v>51720</v>
      </c>
      <c r="E19" s="3"/>
    </row>
    <row r="20" spans="1:5" s="49" customFormat="1" ht="18.75" customHeight="1">
      <c r="A20" s="633"/>
      <c r="B20" s="634"/>
      <c r="C20" s="283" t="s">
        <v>601</v>
      </c>
      <c r="D20" s="635">
        <f>108982-90000</f>
        <v>18982</v>
      </c>
      <c r="E20" s="3"/>
    </row>
    <row r="21" spans="1:5" s="49" customFormat="1" ht="18.75" customHeight="1">
      <c r="A21" s="633"/>
      <c r="B21" s="634"/>
      <c r="C21" s="283" t="s">
        <v>602</v>
      </c>
      <c r="D21" s="635">
        <v>70060</v>
      </c>
      <c r="E21" s="3"/>
    </row>
    <row r="22" spans="1:5" s="49" customFormat="1" ht="18.75" customHeight="1">
      <c r="A22" s="633"/>
      <c r="B22" s="634"/>
      <c r="C22" s="283" t="s">
        <v>603</v>
      </c>
      <c r="D22" s="635">
        <f>570172+94000</f>
        <v>664172</v>
      </c>
      <c r="E22" s="3"/>
    </row>
    <row r="23" spans="1:6" s="49" customFormat="1" ht="21.75" customHeight="1">
      <c r="A23" s="633"/>
      <c r="B23" s="634"/>
      <c r="C23" s="283" t="s">
        <v>604</v>
      </c>
      <c r="D23" s="635">
        <f>80880-30000+43000</f>
        <v>93880</v>
      </c>
      <c r="E23" s="3"/>
      <c r="F23" s="3"/>
    </row>
    <row r="24" spans="1:5" s="49" customFormat="1" ht="18.75" customHeight="1">
      <c r="A24" s="633"/>
      <c r="B24" s="634"/>
      <c r="C24" s="283" t="s">
        <v>605</v>
      </c>
      <c r="D24" s="635">
        <v>133548</v>
      </c>
      <c r="E24" s="3"/>
    </row>
    <row r="25" spans="1:5" s="49" customFormat="1" ht="21" customHeight="1">
      <c r="A25" s="633"/>
      <c r="B25" s="634"/>
      <c r="C25" s="283" t="s">
        <v>606</v>
      </c>
      <c r="D25" s="635">
        <v>60312</v>
      </c>
      <c r="E25" s="3"/>
    </row>
    <row r="26" spans="1:5" s="49" customFormat="1" ht="21" customHeight="1">
      <c r="A26" s="633"/>
      <c r="B26" s="634"/>
      <c r="C26" s="283" t="s">
        <v>607</v>
      </c>
      <c r="D26" s="636">
        <v>103392</v>
      </c>
      <c r="E26" s="3"/>
    </row>
    <row r="27" spans="1:5" s="49" customFormat="1" ht="21" customHeight="1">
      <c r="A27" s="633"/>
      <c r="B27" s="634"/>
      <c r="C27" s="288" t="s">
        <v>608</v>
      </c>
      <c r="D27" s="636">
        <v>51696</v>
      </c>
      <c r="E27" s="3"/>
    </row>
    <row r="28" spans="1:5" s="49" customFormat="1" ht="24.75" customHeight="1">
      <c r="A28" s="429" t="s">
        <v>835</v>
      </c>
      <c r="B28" s="625"/>
      <c r="C28" s="626"/>
      <c r="D28" s="637">
        <f>D29+D40+D44+D50+D54+D58</f>
        <v>7467004.07</v>
      </c>
      <c r="E28" s="3"/>
    </row>
    <row r="29" spans="1:5" s="49" customFormat="1" ht="21.75" customHeight="1">
      <c r="A29" s="300">
        <v>851</v>
      </c>
      <c r="B29" s="638" t="s">
        <v>538</v>
      </c>
      <c r="C29" s="639"/>
      <c r="D29" s="640">
        <f>SUM(D30:D39)</f>
        <v>970100</v>
      </c>
      <c r="E29" s="430"/>
    </row>
    <row r="30" spans="1:5" s="49" customFormat="1" ht="35.25" customHeight="1">
      <c r="A30" s="360"/>
      <c r="B30" s="641"/>
      <c r="C30" s="283" t="s">
        <v>609</v>
      </c>
      <c r="D30" s="431">
        <v>95000</v>
      </c>
      <c r="E30" s="3"/>
    </row>
    <row r="31" spans="1:5" s="49" customFormat="1" ht="27.75" customHeight="1">
      <c r="A31" s="332"/>
      <c r="B31" s="642"/>
      <c r="C31" s="283" t="s">
        <v>610</v>
      </c>
      <c r="D31" s="431">
        <v>440000</v>
      </c>
      <c r="E31" s="3"/>
    </row>
    <row r="32" spans="1:5" s="49" customFormat="1" ht="48" customHeight="1">
      <c r="A32" s="332"/>
      <c r="B32" s="642"/>
      <c r="C32" s="283" t="s">
        <v>611</v>
      </c>
      <c r="D32" s="431">
        <v>50000</v>
      </c>
      <c r="E32" s="3"/>
    </row>
    <row r="33" spans="1:5" s="49" customFormat="1" ht="27.75" customHeight="1">
      <c r="A33" s="332"/>
      <c r="B33" s="642"/>
      <c r="C33" s="283" t="s">
        <v>612</v>
      </c>
      <c r="D33" s="431">
        <v>10000</v>
      </c>
      <c r="E33" s="3"/>
    </row>
    <row r="34" spans="1:5" s="49" customFormat="1" ht="48.75" customHeight="1">
      <c r="A34" s="332"/>
      <c r="B34" s="642"/>
      <c r="C34" s="283" t="s">
        <v>613</v>
      </c>
      <c r="D34" s="431">
        <f>35000+67000-8900</f>
        <v>93100</v>
      </c>
      <c r="E34" s="3"/>
    </row>
    <row r="35" spans="1:5" s="49" customFormat="1" ht="30.75" customHeight="1">
      <c r="A35" s="332"/>
      <c r="B35" s="642"/>
      <c r="C35" s="283" t="s">
        <v>614</v>
      </c>
      <c r="D35" s="431">
        <v>60000</v>
      </c>
      <c r="E35" s="3"/>
    </row>
    <row r="36" spans="1:5" s="49" customFormat="1" ht="27.75" customHeight="1">
      <c r="A36" s="332"/>
      <c r="B36" s="642"/>
      <c r="C36" s="283" t="s">
        <v>615</v>
      </c>
      <c r="D36" s="431">
        <v>101000</v>
      </c>
      <c r="E36" s="3"/>
    </row>
    <row r="37" spans="1:5" s="49" customFormat="1" ht="31.5" customHeight="1">
      <c r="A37" s="332"/>
      <c r="B37" s="642"/>
      <c r="C37" s="283" t="s">
        <v>616</v>
      </c>
      <c r="D37" s="431">
        <v>90000</v>
      </c>
      <c r="E37" s="3"/>
    </row>
    <row r="38" spans="1:5" s="49" customFormat="1" ht="25.5" customHeight="1">
      <c r="A38" s="332"/>
      <c r="B38" s="642"/>
      <c r="C38" s="283" t="s">
        <v>617</v>
      </c>
      <c r="D38" s="431">
        <v>25000</v>
      </c>
      <c r="E38" s="3"/>
    </row>
    <row r="39" spans="1:5" s="49" customFormat="1" ht="23.25" customHeight="1">
      <c r="A39" s="332"/>
      <c r="B39" s="642"/>
      <c r="C39" s="643" t="s">
        <v>618</v>
      </c>
      <c r="D39" s="432">
        <v>6000</v>
      </c>
      <c r="E39" s="3"/>
    </row>
    <row r="40" spans="1:6" s="49" customFormat="1" ht="21" customHeight="1">
      <c r="A40" s="360">
        <v>852</v>
      </c>
      <c r="B40" s="644" t="s">
        <v>803</v>
      </c>
      <c r="C40" s="639"/>
      <c r="D40" s="433">
        <f>SUM(D41:D43)</f>
        <v>1485000</v>
      </c>
      <c r="E40" s="3"/>
      <c r="F40" s="3"/>
    </row>
    <row r="41" spans="1:6" s="49" customFormat="1" ht="27" customHeight="1">
      <c r="A41" s="645"/>
      <c r="B41" s="644"/>
      <c r="C41" s="646" t="s">
        <v>619</v>
      </c>
      <c r="D41" s="431">
        <v>1200000</v>
      </c>
      <c r="E41" s="3"/>
      <c r="F41" s="3"/>
    </row>
    <row r="42" spans="1:6" s="49" customFormat="1" ht="26.25" customHeight="1">
      <c r="A42" s="339"/>
      <c r="B42" s="647"/>
      <c r="C42" s="648" t="s">
        <v>620</v>
      </c>
      <c r="D42" s="431">
        <f>200000</f>
        <v>200000</v>
      </c>
      <c r="E42" s="3"/>
      <c r="F42" s="3"/>
    </row>
    <row r="43" spans="1:6" s="49" customFormat="1" ht="32.25" customHeight="1">
      <c r="A43" s="339"/>
      <c r="B43" s="647"/>
      <c r="C43" s="648" t="s">
        <v>621</v>
      </c>
      <c r="D43" s="431">
        <v>85000</v>
      </c>
      <c r="E43" s="3"/>
      <c r="F43" s="3"/>
    </row>
    <row r="44" spans="1:6" s="49" customFormat="1" ht="39" customHeight="1">
      <c r="A44" s="268">
        <v>853</v>
      </c>
      <c r="B44" s="434" t="s">
        <v>543</v>
      </c>
      <c r="C44" s="649"/>
      <c r="D44" s="631">
        <f>SUM(D45:D49)</f>
        <v>2142904.07</v>
      </c>
      <c r="E44" s="3"/>
      <c r="F44" s="3"/>
    </row>
    <row r="45" spans="1:8" s="49" customFormat="1" ht="28.5" customHeight="1">
      <c r="A45" s="339"/>
      <c r="B45" s="647"/>
      <c r="C45" s="649" t="s">
        <v>622</v>
      </c>
      <c r="D45" s="431">
        <f>168000-10400</f>
        <v>157600</v>
      </c>
      <c r="E45" s="3"/>
      <c r="F45" s="3"/>
      <c r="G45" s="378"/>
      <c r="H45" s="378"/>
    </row>
    <row r="46" spans="1:8" s="49" customFormat="1" ht="36" customHeight="1">
      <c r="A46" s="339"/>
      <c r="B46" s="647"/>
      <c r="C46" s="648" t="s">
        <v>623</v>
      </c>
      <c r="D46" s="431">
        <f>9000+40000</f>
        <v>49000</v>
      </c>
      <c r="E46" s="3"/>
      <c r="F46" s="3"/>
      <c r="G46" s="378"/>
      <c r="H46" s="650"/>
    </row>
    <row r="47" spans="1:8" s="49" customFormat="1" ht="40.5" customHeight="1">
      <c r="A47" s="339"/>
      <c r="B47" s="647"/>
      <c r="C47" s="648" t="s">
        <v>624</v>
      </c>
      <c r="D47" s="943">
        <f>1360000+240000+40000</f>
        <v>1640000</v>
      </c>
      <c r="E47" s="3"/>
      <c r="F47" s="3"/>
      <c r="G47" s="378"/>
      <c r="H47" s="378"/>
    </row>
    <row r="48" spans="1:6" s="49" customFormat="1" ht="40.5" customHeight="1">
      <c r="A48" s="339"/>
      <c r="B48" s="647"/>
      <c r="C48" s="648" t="s">
        <v>625</v>
      </c>
      <c r="D48" s="431">
        <v>221000</v>
      </c>
      <c r="E48" s="3"/>
      <c r="F48" s="3"/>
    </row>
    <row r="49" spans="1:5" s="49" customFormat="1" ht="42.75" customHeight="1">
      <c r="A49" s="339"/>
      <c r="B49" s="647"/>
      <c r="C49" s="648" t="s">
        <v>626</v>
      </c>
      <c r="D49" s="431">
        <f>58174.85+10266.15+5833.61+1029.46</f>
        <v>75304.07</v>
      </c>
      <c r="E49" s="3"/>
    </row>
    <row r="50" spans="1:5" s="49" customFormat="1" ht="37.5" customHeight="1">
      <c r="A50" s="360">
        <v>900</v>
      </c>
      <c r="B50" s="435" t="s">
        <v>627</v>
      </c>
      <c r="C50" s="436"/>
      <c r="D50" s="428">
        <f>SUM(D51:D53)</f>
        <v>750000</v>
      </c>
      <c r="E50" s="3"/>
    </row>
    <row r="51" spans="1:5" s="49" customFormat="1" ht="62.25" customHeight="1">
      <c r="A51" s="380"/>
      <c r="B51" s="651"/>
      <c r="C51" s="437" t="s">
        <v>628</v>
      </c>
      <c r="D51" s="431">
        <v>270000</v>
      </c>
      <c r="E51" s="3"/>
    </row>
    <row r="52" spans="1:5" s="438" customFormat="1" ht="42.75" customHeight="1">
      <c r="A52" s="365"/>
      <c r="B52" s="652"/>
      <c r="C52" s="653" t="s">
        <v>841</v>
      </c>
      <c r="D52" s="654">
        <v>30000</v>
      </c>
      <c r="E52" s="430"/>
    </row>
    <row r="53" spans="1:5" s="49" customFormat="1" ht="37.5" customHeight="1">
      <c r="A53" s="439"/>
      <c r="B53" s="655"/>
      <c r="C53" s="653" t="s">
        <v>629</v>
      </c>
      <c r="D53" s="431">
        <f>50000+100000+300000</f>
        <v>450000</v>
      </c>
      <c r="E53" s="3"/>
    </row>
    <row r="54" spans="1:5" s="49" customFormat="1" ht="39" customHeight="1">
      <c r="A54" s="268">
        <v>921</v>
      </c>
      <c r="B54" s="656" t="s">
        <v>842</v>
      </c>
      <c r="C54" s="434"/>
      <c r="D54" s="428">
        <f>SUM(D55:D57)</f>
        <v>173000</v>
      </c>
      <c r="E54" s="3"/>
    </row>
    <row r="55" spans="1:5" s="49" customFormat="1" ht="31.5" customHeight="1">
      <c r="A55" s="365"/>
      <c r="B55" s="652"/>
      <c r="C55" s="657" t="s">
        <v>645</v>
      </c>
      <c r="D55" s="635">
        <f>60000+40000</f>
        <v>100000</v>
      </c>
      <c r="E55" s="3"/>
    </row>
    <row r="56" spans="1:5" s="49" customFormat="1" ht="31.5" customHeight="1">
      <c r="A56" s="365"/>
      <c r="B56" s="652"/>
      <c r="C56" s="535" t="s">
        <v>646</v>
      </c>
      <c r="D56" s="635">
        <v>45000</v>
      </c>
      <c r="E56" s="3"/>
    </row>
    <row r="57" spans="1:5" s="49" customFormat="1" ht="28.5" customHeight="1">
      <c r="A57" s="439"/>
      <c r="B57" s="655"/>
      <c r="C57" s="658" t="s">
        <v>647</v>
      </c>
      <c r="D57" s="635">
        <v>28000</v>
      </c>
      <c r="E57" s="3"/>
    </row>
    <row r="58" spans="1:10" s="49" customFormat="1" ht="29.25" customHeight="1">
      <c r="A58" s="300">
        <v>926</v>
      </c>
      <c r="B58" s="616" t="s">
        <v>648</v>
      </c>
      <c r="C58" s="436"/>
      <c r="D58" s="428">
        <f>SUM(D59:D64)</f>
        <v>1946000</v>
      </c>
      <c r="E58" s="3"/>
      <c r="F58" s="382"/>
      <c r="G58" s="382"/>
      <c r="H58" s="382"/>
      <c r="I58" s="382"/>
      <c r="J58" s="382"/>
    </row>
    <row r="59" spans="1:10" s="414" customFormat="1" ht="69.75" customHeight="1">
      <c r="A59" s="380"/>
      <c r="B59" s="231"/>
      <c r="C59" s="658" t="s">
        <v>649</v>
      </c>
      <c r="D59" s="440">
        <v>1700000</v>
      </c>
      <c r="E59" s="3"/>
      <c r="F59" s="659"/>
      <c r="G59" s="659"/>
      <c r="H59" s="659"/>
      <c r="I59" s="659"/>
      <c r="J59" s="659"/>
    </row>
    <row r="60" spans="1:10" s="414" customFormat="1" ht="30" customHeight="1">
      <c r="A60" s="365"/>
      <c r="B60" s="239"/>
      <c r="C60" s="658" t="s">
        <v>689</v>
      </c>
      <c r="D60" s="440">
        <v>100000</v>
      </c>
      <c r="E60" s="3"/>
      <c r="F60" s="659"/>
      <c r="G60" s="659"/>
      <c r="H60" s="659"/>
      <c r="I60" s="659"/>
      <c r="J60" s="659"/>
    </row>
    <row r="61" spans="1:10" s="414" customFormat="1" ht="32.25" customHeight="1">
      <c r="A61" s="365"/>
      <c r="B61" s="239"/>
      <c r="C61" s="658" t="s">
        <v>690</v>
      </c>
      <c r="D61" s="440">
        <v>15000</v>
      </c>
      <c r="E61" s="3"/>
      <c r="F61" s="659"/>
      <c r="G61" s="659"/>
      <c r="H61" s="659"/>
      <c r="I61" s="659"/>
      <c r="J61" s="659"/>
    </row>
    <row r="62" spans="1:10" s="414" customFormat="1" ht="40.5" customHeight="1">
      <c r="A62" s="365"/>
      <c r="B62" s="239"/>
      <c r="C62" s="658" t="s">
        <v>17</v>
      </c>
      <c r="D62" s="440">
        <v>10000</v>
      </c>
      <c r="E62" s="3"/>
      <c r="F62" s="659"/>
      <c r="G62" s="659"/>
      <c r="H62" s="659"/>
      <c r="I62" s="659"/>
      <c r="J62" s="659"/>
    </row>
    <row r="63" spans="1:10" s="414" customFormat="1" ht="33" customHeight="1">
      <c r="A63" s="441"/>
      <c r="B63" s="319"/>
      <c r="C63" s="442" t="s">
        <v>650</v>
      </c>
      <c r="D63" s="440">
        <f>115000-19000</f>
        <v>96000</v>
      </c>
      <c r="E63" s="3"/>
      <c r="F63" s="659"/>
      <c r="G63" s="659"/>
      <c r="H63" s="659"/>
      <c r="I63" s="659"/>
      <c r="J63" s="659"/>
    </row>
    <row r="64" spans="1:10" s="49" customFormat="1" ht="33.75" customHeight="1">
      <c r="A64" s="441"/>
      <c r="B64" s="319"/>
      <c r="C64" s="658" t="s">
        <v>655</v>
      </c>
      <c r="D64" s="431">
        <v>25000</v>
      </c>
      <c r="E64" s="3"/>
      <c r="F64" s="620"/>
      <c r="G64" s="415"/>
      <c r="H64" s="382"/>
      <c r="I64" s="382"/>
      <c r="J64" s="382"/>
    </row>
    <row r="65" spans="1:10" s="49" customFormat="1" ht="30" customHeight="1">
      <c r="A65" s="443" t="s">
        <v>843</v>
      </c>
      <c r="B65" s="660"/>
      <c r="C65" s="444"/>
      <c r="D65" s="433">
        <f>D66+D89</f>
        <v>10414308</v>
      </c>
      <c r="E65" s="3"/>
      <c r="F65" s="661"/>
      <c r="G65" s="415"/>
      <c r="H65" s="382"/>
      <c r="I65" s="382"/>
      <c r="J65" s="382"/>
    </row>
    <row r="66" spans="1:10" s="49" customFormat="1" ht="27" customHeight="1">
      <c r="A66" s="445" t="s">
        <v>596</v>
      </c>
      <c r="B66" s="662"/>
      <c r="C66" s="663"/>
      <c r="D66" s="664">
        <f>D67+D85+D87</f>
        <v>9649223</v>
      </c>
      <c r="E66" s="3"/>
      <c r="F66" s="415"/>
      <c r="G66" s="415"/>
      <c r="H66" s="382"/>
      <c r="I66" s="382"/>
      <c r="J66" s="382"/>
    </row>
    <row r="67" spans="1:10" s="49" customFormat="1" ht="19.5" customHeight="1">
      <c r="A67" s="628">
        <v>801</v>
      </c>
      <c r="B67" s="665" t="s">
        <v>503</v>
      </c>
      <c r="C67" s="283"/>
      <c r="D67" s="631">
        <f>SUM(D68:D84)</f>
        <v>7991118</v>
      </c>
      <c r="E67" s="3"/>
      <c r="F67" s="382"/>
      <c r="G67" s="415"/>
      <c r="H67" s="382"/>
      <c r="I67" s="382"/>
      <c r="J67" s="382"/>
    </row>
    <row r="68" spans="1:10" s="49" customFormat="1" ht="30" customHeight="1">
      <c r="A68" s="666"/>
      <c r="B68" s="335"/>
      <c r="C68" s="667" t="s">
        <v>656</v>
      </c>
      <c r="D68" s="635">
        <f>460000+956468</f>
        <v>1416468</v>
      </c>
      <c r="E68" s="3"/>
      <c r="F68" s="382"/>
      <c r="G68" s="382"/>
      <c r="H68" s="382"/>
      <c r="I68" s="382"/>
      <c r="J68" s="382"/>
    </row>
    <row r="69" spans="1:10" s="49" customFormat="1" ht="26.25" customHeight="1">
      <c r="A69" s="668"/>
      <c r="B69" s="329"/>
      <c r="C69" s="283" t="s">
        <v>657</v>
      </c>
      <c r="D69" s="635">
        <f>200000+400000-183350-137000</f>
        <v>279650</v>
      </c>
      <c r="E69" s="3"/>
      <c r="F69" s="382"/>
      <c r="G69" s="382"/>
      <c r="H69" s="382"/>
      <c r="I69" s="382"/>
      <c r="J69" s="382"/>
    </row>
    <row r="70" spans="1:10" s="49" customFormat="1" ht="25.5" customHeight="1">
      <c r="A70" s="668"/>
      <c r="B70" s="329"/>
      <c r="C70" s="667" t="s">
        <v>658</v>
      </c>
      <c r="D70" s="635">
        <f>400000</f>
        <v>400000</v>
      </c>
      <c r="E70" s="3"/>
      <c r="F70" s="382"/>
      <c r="G70" s="382"/>
      <c r="H70" s="382"/>
      <c r="I70" s="382"/>
      <c r="J70" s="382"/>
    </row>
    <row r="71" spans="1:10" s="49" customFormat="1" ht="25.5" customHeight="1">
      <c r="A71" s="668"/>
      <c r="B71" s="329"/>
      <c r="C71" s="669" t="s">
        <v>659</v>
      </c>
      <c r="D71" s="635">
        <v>670000</v>
      </c>
      <c r="E71" s="3"/>
      <c r="F71" s="382"/>
      <c r="G71" s="382"/>
      <c r="H71" s="382"/>
      <c r="I71" s="382"/>
      <c r="J71" s="382"/>
    </row>
    <row r="72" spans="1:10" s="49" customFormat="1" ht="25.5" customHeight="1">
      <c r="A72" s="668"/>
      <c r="B72" s="329"/>
      <c r="C72" s="669" t="s">
        <v>598</v>
      </c>
      <c r="D72" s="635">
        <f>350000+175000+300000</f>
        <v>825000</v>
      </c>
      <c r="E72" s="3"/>
      <c r="F72" s="382"/>
      <c r="G72" s="382"/>
      <c r="H72" s="382"/>
      <c r="I72" s="382"/>
      <c r="J72" s="382"/>
    </row>
    <row r="73" spans="1:10" s="49" customFormat="1" ht="29.25" customHeight="1">
      <c r="A73" s="668"/>
      <c r="B73" s="329"/>
      <c r="C73" s="669" t="s">
        <v>660</v>
      </c>
      <c r="D73" s="635">
        <f>700000+200000</f>
        <v>900000</v>
      </c>
      <c r="E73" s="3"/>
      <c r="F73" s="382"/>
      <c r="G73" s="382"/>
      <c r="H73" s="382"/>
      <c r="I73" s="382"/>
      <c r="J73" s="382"/>
    </row>
    <row r="74" spans="1:10" s="49" customFormat="1" ht="24.75" customHeight="1">
      <c r="A74" s="668"/>
      <c r="B74" s="329"/>
      <c r="C74" s="670" t="s">
        <v>661</v>
      </c>
      <c r="D74" s="635">
        <f>350000+800000</f>
        <v>1150000</v>
      </c>
      <c r="E74" s="3"/>
      <c r="F74" s="382"/>
      <c r="G74" s="382"/>
      <c r="H74" s="382"/>
      <c r="I74" s="382"/>
      <c r="J74" s="382"/>
    </row>
    <row r="75" spans="1:10" s="49" customFormat="1" ht="30.75" customHeight="1">
      <c r="A75" s="668"/>
      <c r="B75" s="329"/>
      <c r="C75" s="669" t="s">
        <v>662</v>
      </c>
      <c r="D75" s="635">
        <v>170000</v>
      </c>
      <c r="E75" s="3"/>
      <c r="F75" s="382"/>
      <c r="G75" s="382"/>
      <c r="H75" s="382"/>
      <c r="I75" s="382"/>
      <c r="J75" s="382"/>
    </row>
    <row r="76" spans="1:10" s="49" customFormat="1" ht="23.25" customHeight="1">
      <c r="A76" s="668"/>
      <c r="B76" s="329"/>
      <c r="C76" s="670" t="s">
        <v>663</v>
      </c>
      <c r="D76" s="635">
        <f>200000+500000</f>
        <v>700000</v>
      </c>
      <c r="E76" s="3"/>
      <c r="F76" s="382"/>
      <c r="G76" s="382"/>
      <c r="H76" s="382"/>
      <c r="I76" s="382"/>
      <c r="J76" s="382"/>
    </row>
    <row r="77" spans="1:10" s="49" customFormat="1" ht="27" customHeight="1">
      <c r="A77" s="668"/>
      <c r="B77" s="329"/>
      <c r="C77" s="670" t="s">
        <v>664</v>
      </c>
      <c r="D77" s="635">
        <f>70000+100000</f>
        <v>170000</v>
      </c>
      <c r="E77" s="3"/>
      <c r="F77" s="382"/>
      <c r="G77" s="382"/>
      <c r="H77" s="382"/>
      <c r="I77" s="382"/>
      <c r="J77" s="382"/>
    </row>
    <row r="78" spans="1:10" s="49" customFormat="1" ht="23.25" customHeight="1">
      <c r="A78" s="668"/>
      <c r="B78" s="329"/>
      <c r="C78" s="670" t="s">
        <v>665</v>
      </c>
      <c r="D78" s="635">
        <f>20000+60000</f>
        <v>80000</v>
      </c>
      <c r="E78" s="3"/>
      <c r="F78" s="382"/>
      <c r="G78" s="382"/>
      <c r="H78" s="382"/>
      <c r="I78" s="382"/>
      <c r="J78" s="382"/>
    </row>
    <row r="79" spans="1:10" s="49" customFormat="1" ht="24" customHeight="1">
      <c r="A79" s="668"/>
      <c r="B79" s="329"/>
      <c r="C79" s="670" t="s">
        <v>676</v>
      </c>
      <c r="D79" s="635">
        <v>100000</v>
      </c>
      <c r="E79" s="3"/>
      <c r="F79" s="382"/>
      <c r="G79" s="382"/>
      <c r="H79" s="382"/>
      <c r="I79" s="382"/>
      <c r="J79" s="382"/>
    </row>
    <row r="80" spans="1:10" s="49" customFormat="1" ht="27" customHeight="1">
      <c r="A80" s="668"/>
      <c r="B80" s="329"/>
      <c r="C80" s="670" t="s">
        <v>677</v>
      </c>
      <c r="D80" s="635">
        <f>50000</f>
        <v>50000</v>
      </c>
      <c r="E80" s="3"/>
      <c r="F80" s="382"/>
      <c r="G80" s="382"/>
      <c r="H80" s="382"/>
      <c r="I80" s="382"/>
      <c r="J80" s="382"/>
    </row>
    <row r="81" spans="1:10" s="49" customFormat="1" ht="24.75" customHeight="1">
      <c r="A81" s="668"/>
      <c r="B81" s="329"/>
      <c r="C81" s="669" t="s">
        <v>678</v>
      </c>
      <c r="D81" s="635">
        <f>50000+50000</f>
        <v>100000</v>
      </c>
      <c r="E81" s="3"/>
      <c r="F81" s="382"/>
      <c r="G81" s="382"/>
      <c r="H81" s="382"/>
      <c r="I81" s="382"/>
      <c r="J81" s="382"/>
    </row>
    <row r="82" spans="1:10" s="49" customFormat="1" ht="28.5" customHeight="1">
      <c r="A82" s="668"/>
      <c r="B82" s="329"/>
      <c r="C82" s="669" t="s">
        <v>679</v>
      </c>
      <c r="D82" s="654">
        <f>130000</f>
        <v>130000</v>
      </c>
      <c r="E82" s="3"/>
      <c r="F82" s="382"/>
      <c r="G82" s="382"/>
      <c r="H82" s="382"/>
      <c r="I82" s="382"/>
      <c r="J82" s="382"/>
    </row>
    <row r="83" spans="1:10" s="49" customFormat="1" ht="24.75" customHeight="1">
      <c r="A83" s="668"/>
      <c r="B83" s="329"/>
      <c r="C83" s="671" t="s">
        <v>680</v>
      </c>
      <c r="D83" s="431">
        <v>600000</v>
      </c>
      <c r="E83" s="3"/>
      <c r="F83" s="382"/>
      <c r="G83" s="382"/>
      <c r="H83" s="382"/>
      <c r="I83" s="382"/>
      <c r="J83" s="382"/>
    </row>
    <row r="84" spans="1:10" s="49" customFormat="1" ht="28.5" customHeight="1">
      <c r="A84" s="672"/>
      <c r="B84" s="673"/>
      <c r="C84" s="669" t="s">
        <v>681</v>
      </c>
      <c r="D84" s="674">
        <v>250000</v>
      </c>
      <c r="E84" s="3"/>
      <c r="F84" s="382"/>
      <c r="G84" s="382"/>
      <c r="H84" s="382"/>
      <c r="I84" s="382"/>
      <c r="J84" s="382"/>
    </row>
    <row r="85" spans="1:10" s="49" customFormat="1" ht="33.75" customHeight="1">
      <c r="A85" s="360">
        <v>853</v>
      </c>
      <c r="B85" s="665" t="s">
        <v>543</v>
      </c>
      <c r="C85" s="442"/>
      <c r="D85" s="428">
        <f>SUM(D86:D86)</f>
        <v>308105</v>
      </c>
      <c r="E85" s="3"/>
      <c r="F85" s="382"/>
      <c r="G85" s="382"/>
      <c r="H85" s="382"/>
      <c r="I85" s="382"/>
      <c r="J85" s="382"/>
    </row>
    <row r="86" spans="1:10" s="213" customFormat="1" ht="36" customHeight="1">
      <c r="A86" s="645"/>
      <c r="B86" s="665"/>
      <c r="C86" s="446" t="s">
        <v>682</v>
      </c>
      <c r="D86" s="654">
        <v>308105</v>
      </c>
      <c r="E86" s="3"/>
      <c r="F86" s="675"/>
      <c r="G86" s="675"/>
      <c r="H86" s="675"/>
      <c r="I86" s="675"/>
      <c r="J86" s="675"/>
    </row>
    <row r="87" spans="1:10" s="49" customFormat="1" ht="33.75" customHeight="1">
      <c r="A87" s="676">
        <v>854</v>
      </c>
      <c r="B87" s="629" t="s">
        <v>683</v>
      </c>
      <c r="C87" s="283"/>
      <c r="D87" s="631">
        <f>D88</f>
        <v>1350000</v>
      </c>
      <c r="E87" s="430"/>
      <c r="F87" s="415"/>
      <c r="G87" s="382"/>
      <c r="H87" s="382"/>
      <c r="I87" s="382"/>
      <c r="J87" s="382"/>
    </row>
    <row r="88" spans="1:10" s="49" customFormat="1" ht="37.5" customHeight="1">
      <c r="A88" s="677"/>
      <c r="B88" s="678"/>
      <c r="C88" s="283" t="s">
        <v>684</v>
      </c>
      <c r="D88" s="431">
        <v>1350000</v>
      </c>
      <c r="E88" s="3"/>
      <c r="F88" s="382"/>
      <c r="G88" s="382"/>
      <c r="H88" s="382"/>
      <c r="I88" s="382"/>
      <c r="J88" s="382"/>
    </row>
    <row r="89" spans="1:10" s="49" customFormat="1" ht="26.25" customHeight="1">
      <c r="A89" s="429" t="s">
        <v>835</v>
      </c>
      <c r="B89" s="679"/>
      <c r="C89" s="680"/>
      <c r="D89" s="447">
        <f>D90+D93+D95</f>
        <v>765085</v>
      </c>
      <c r="E89" s="3"/>
      <c r="F89" s="382"/>
      <c r="G89" s="382"/>
      <c r="H89" s="382"/>
      <c r="I89" s="382"/>
      <c r="J89" s="382"/>
    </row>
    <row r="90" spans="1:10" s="49" customFormat="1" ht="28.5" customHeight="1">
      <c r="A90" s="332">
        <v>630</v>
      </c>
      <c r="B90" s="681" t="s">
        <v>844</v>
      </c>
      <c r="C90" s="667" t="s">
        <v>252</v>
      </c>
      <c r="D90" s="428">
        <f>SUM(D91:D92)</f>
        <v>90000</v>
      </c>
      <c r="E90" s="3"/>
      <c r="F90" s="382"/>
      <c r="G90" s="382"/>
      <c r="H90" s="382"/>
      <c r="I90" s="382"/>
      <c r="J90" s="382"/>
    </row>
    <row r="91" spans="1:10" s="49" customFormat="1" ht="35.25" customHeight="1">
      <c r="A91" s="645"/>
      <c r="B91" s="448"/>
      <c r="C91" s="682" t="s">
        <v>685</v>
      </c>
      <c r="D91" s="654">
        <f>30000+30000</f>
        <v>60000</v>
      </c>
      <c r="E91" s="3"/>
      <c r="F91" s="415"/>
      <c r="G91" s="382"/>
      <c r="H91" s="382"/>
      <c r="I91" s="382"/>
      <c r="J91" s="382"/>
    </row>
    <row r="92" spans="1:10" s="49" customFormat="1" ht="30" customHeight="1">
      <c r="A92" s="365"/>
      <c r="B92" s="683"/>
      <c r="C92" s="437" t="s">
        <v>686</v>
      </c>
      <c r="D92" s="431">
        <v>30000</v>
      </c>
      <c r="E92" s="3"/>
      <c r="F92" s="382"/>
      <c r="G92" s="382"/>
      <c r="H92" s="382"/>
      <c r="I92" s="382"/>
      <c r="J92" s="382"/>
    </row>
    <row r="93" spans="1:10" s="49" customFormat="1" ht="26.25" customHeight="1">
      <c r="A93" s="268">
        <v>852</v>
      </c>
      <c r="B93" s="449" t="s">
        <v>803</v>
      </c>
      <c r="C93" s="442"/>
      <c r="D93" s="428">
        <f>SUM(D94:D94)</f>
        <v>200000</v>
      </c>
      <c r="E93" s="3"/>
      <c r="F93" s="382"/>
      <c r="G93" s="382"/>
      <c r="H93" s="382"/>
      <c r="I93" s="382"/>
      <c r="J93" s="382"/>
    </row>
    <row r="94" spans="1:5" s="49" customFormat="1" ht="29.25" customHeight="1">
      <c r="A94" s="319"/>
      <c r="B94" s="319"/>
      <c r="C94" s="446" t="s">
        <v>687</v>
      </c>
      <c r="D94" s="431">
        <v>200000</v>
      </c>
      <c r="E94" s="627"/>
    </row>
    <row r="95" spans="1:5" s="49" customFormat="1" ht="32.25" customHeight="1">
      <c r="A95" s="360">
        <v>853</v>
      </c>
      <c r="B95" s="665" t="s">
        <v>543</v>
      </c>
      <c r="C95" s="446"/>
      <c r="D95" s="631">
        <f>D96</f>
        <v>475085</v>
      </c>
      <c r="E95" s="627"/>
    </row>
    <row r="96" spans="1:6" s="49" customFormat="1" ht="33.75" customHeight="1">
      <c r="A96" s="684"/>
      <c r="B96" s="684"/>
      <c r="C96" s="446" t="s">
        <v>688</v>
      </c>
      <c r="D96" s="943">
        <f>1000000-524915</f>
        <v>475085</v>
      </c>
      <c r="E96" s="627"/>
      <c r="F96" s="620"/>
    </row>
    <row r="97" spans="1:6" s="49" customFormat="1" ht="29.25" customHeight="1">
      <c r="A97" s="996" t="s">
        <v>851</v>
      </c>
      <c r="B97" s="997"/>
      <c r="C97" s="998"/>
      <c r="D97" s="450">
        <f>D13+D65</f>
        <v>20041470.07</v>
      </c>
      <c r="E97" s="627"/>
      <c r="F97" s="624"/>
    </row>
    <row r="98" spans="3:6" s="49" customFormat="1" ht="12.75">
      <c r="C98" s="210"/>
      <c r="E98" s="627"/>
      <c r="F98" s="3"/>
    </row>
    <row r="99" spans="3:5" s="49" customFormat="1" ht="12.75">
      <c r="C99" s="210"/>
      <c r="E99" s="3"/>
    </row>
    <row r="100" spans="3:5" s="49" customFormat="1" ht="12.75">
      <c r="C100" s="210"/>
      <c r="E100" s="3"/>
    </row>
    <row r="101" spans="3:5" s="49" customFormat="1" ht="12.75">
      <c r="C101" s="210"/>
      <c r="E101" s="3"/>
    </row>
    <row r="102" spans="3:5" s="49" customFormat="1" ht="12.75">
      <c r="C102" s="210"/>
      <c r="E102" s="3"/>
    </row>
    <row r="103" spans="3:5" s="49" customFormat="1" ht="12.75">
      <c r="C103" s="210"/>
      <c r="E103" s="3"/>
    </row>
    <row r="104" spans="3:5" s="49" customFormat="1" ht="12.75">
      <c r="C104" s="210"/>
      <c r="E104" s="3"/>
    </row>
    <row r="105" spans="3:5" s="49" customFormat="1" ht="12.75">
      <c r="C105" s="210"/>
      <c r="E105" s="3"/>
    </row>
    <row r="106" spans="3:5" s="49" customFormat="1" ht="12.75">
      <c r="C106" s="210"/>
      <c r="E106" s="3"/>
    </row>
    <row r="107" spans="3:5" s="49" customFormat="1" ht="12.75">
      <c r="C107" s="210"/>
      <c r="E107" s="3"/>
    </row>
    <row r="108" spans="3:5" s="49" customFormat="1" ht="12.75">
      <c r="C108" s="210"/>
      <c r="E108" s="3"/>
    </row>
    <row r="109" spans="3:5" s="49" customFormat="1" ht="12.75">
      <c r="C109" s="210"/>
      <c r="E109" s="3"/>
    </row>
    <row r="110" spans="3:5" s="49" customFormat="1" ht="12.75">
      <c r="C110" s="210"/>
      <c r="E110" s="3"/>
    </row>
    <row r="111" spans="3:5" s="49" customFormat="1" ht="12.75">
      <c r="C111" s="210"/>
      <c r="E111" s="3"/>
    </row>
    <row r="112" spans="3:5" s="49" customFormat="1" ht="12.75">
      <c r="C112" s="210"/>
      <c r="E112" s="3"/>
    </row>
    <row r="113" spans="3:5" s="49" customFormat="1" ht="12.75">
      <c r="C113" s="210"/>
      <c r="E113" s="3"/>
    </row>
    <row r="114" spans="3:5" s="49" customFormat="1" ht="12.75">
      <c r="C114" s="210"/>
      <c r="E114" s="3"/>
    </row>
    <row r="115" spans="3:5" s="49" customFormat="1" ht="12.75">
      <c r="C115" s="210"/>
      <c r="E115" s="3"/>
    </row>
  </sheetData>
  <sheetProtection/>
  <mergeCells count="1">
    <mergeCell ref="A97:C97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468" t="s">
        <v>426</v>
      </c>
      <c r="F1" s="468"/>
    </row>
    <row r="2" spans="3:6" ht="23.25" customHeight="1">
      <c r="C2" s="451" t="s">
        <v>425</v>
      </c>
      <c r="F2" s="451"/>
    </row>
    <row r="3" spans="3:6" ht="21.75" customHeight="1">
      <c r="C3" s="451" t="s">
        <v>337</v>
      </c>
      <c r="F3" s="451"/>
    </row>
    <row r="4" spans="3:6" ht="21" customHeight="1">
      <c r="C4" s="451" t="s">
        <v>427</v>
      </c>
      <c r="F4" s="451"/>
    </row>
    <row r="5" spans="3:6" ht="21" customHeight="1">
      <c r="C5" s="451"/>
      <c r="F5" s="451"/>
    </row>
    <row r="6" ht="18" customHeight="1">
      <c r="C6" s="469"/>
    </row>
    <row r="7" spans="1:5" s="26" customFormat="1" ht="17.25" customHeight="1">
      <c r="A7" s="424" t="s">
        <v>33</v>
      </c>
      <c r="B7" s="424"/>
      <c r="C7" s="470"/>
      <c r="D7" s="2"/>
      <c r="E7" s="471"/>
    </row>
    <row r="8" spans="1:5" s="26" customFormat="1" ht="17.25" customHeight="1">
      <c r="A8" s="424" t="s">
        <v>34</v>
      </c>
      <c r="B8" s="424"/>
      <c r="C8" s="470"/>
      <c r="D8" s="2"/>
      <c r="E8" s="471"/>
    </row>
    <row r="9" spans="1:3" ht="17.25" customHeight="1">
      <c r="A9" s="424" t="s">
        <v>35</v>
      </c>
      <c r="B9" s="424"/>
      <c r="C9" s="470"/>
    </row>
    <row r="10" spans="1:3" ht="17.25" customHeight="1">
      <c r="A10" s="424"/>
      <c r="B10" s="424"/>
      <c r="C10" s="470"/>
    </row>
    <row r="11" spans="1:2" ht="13.5">
      <c r="A11" s="114" t="s">
        <v>252</v>
      </c>
      <c r="B11" s="425"/>
    </row>
    <row r="12" spans="3:4" ht="11.25" customHeight="1">
      <c r="C12" s="472"/>
      <c r="D12" s="473" t="s">
        <v>346</v>
      </c>
    </row>
    <row r="13" spans="1:4" ht="29.25" customHeight="1">
      <c r="A13" s="296" t="s">
        <v>349</v>
      </c>
      <c r="B13" s="296" t="s">
        <v>829</v>
      </c>
      <c r="C13" s="296" t="s">
        <v>830</v>
      </c>
      <c r="D13" s="427" t="s">
        <v>831</v>
      </c>
    </row>
    <row r="14" spans="1:4" ht="24" customHeight="1">
      <c r="A14" s="443" t="s">
        <v>832</v>
      </c>
      <c r="B14" s="474"/>
      <c r="C14" s="475"/>
      <c r="D14" s="476">
        <f>D15+D19+D22</f>
        <v>15987626.25</v>
      </c>
    </row>
    <row r="15" spans="1:5" s="460" customFormat="1" ht="24" customHeight="1">
      <c r="A15" s="445" t="s">
        <v>36</v>
      </c>
      <c r="B15" s="477"/>
      <c r="C15" s="478"/>
      <c r="D15" s="479">
        <f>D16</f>
        <v>4905000</v>
      </c>
      <c r="E15" s="85"/>
    </row>
    <row r="16" spans="1:6" ht="37.5" customHeight="1">
      <c r="A16" s="480">
        <v>921</v>
      </c>
      <c r="B16" s="435" t="s">
        <v>842</v>
      </c>
      <c r="C16" s="481"/>
      <c r="D16" s="476">
        <f>D17+D18</f>
        <v>4905000</v>
      </c>
      <c r="F16" s="482"/>
    </row>
    <row r="17" spans="1:6" ht="22.5" customHeight="1">
      <c r="A17" s="483"/>
      <c r="B17" s="484"/>
      <c r="C17" s="485" t="s">
        <v>37</v>
      </c>
      <c r="D17" s="431">
        <f>3496900+10000+15000+12700+7300</f>
        <v>3541900</v>
      </c>
      <c r="F17" s="482"/>
    </row>
    <row r="18" spans="1:6" ht="22.5" customHeight="1">
      <c r="A18" s="465"/>
      <c r="B18" s="466"/>
      <c r="C18" s="485" t="s">
        <v>38</v>
      </c>
      <c r="D18" s="432">
        <f>1253100+50000+60000</f>
        <v>1363100</v>
      </c>
      <c r="F18" s="482"/>
    </row>
    <row r="19" spans="1:6" ht="29.25" customHeight="1">
      <c r="A19" s="445" t="s">
        <v>39</v>
      </c>
      <c r="B19" s="467"/>
      <c r="C19" s="485"/>
      <c r="D19" s="479">
        <f>D20</f>
        <v>10940563.75</v>
      </c>
      <c r="F19" s="482"/>
    </row>
    <row r="20" spans="1:6" ht="27" customHeight="1">
      <c r="A20" s="486">
        <v>600</v>
      </c>
      <c r="B20" s="449" t="s">
        <v>359</v>
      </c>
      <c r="C20" s="485"/>
      <c r="D20" s="476">
        <f>D21</f>
        <v>10940563.75</v>
      </c>
      <c r="F20" s="482"/>
    </row>
    <row r="21" spans="1:6" ht="30.75" customHeight="1">
      <c r="A21" s="487"/>
      <c r="B21" s="488"/>
      <c r="C21" s="437" t="s">
        <v>40</v>
      </c>
      <c r="D21" s="635">
        <f>10995992.22-92060.08+36631.61</f>
        <v>10940563.75</v>
      </c>
      <c r="F21" s="482"/>
    </row>
    <row r="22" spans="1:6" ht="29.25" customHeight="1">
      <c r="A22" s="429" t="s">
        <v>835</v>
      </c>
      <c r="B22" s="489"/>
      <c r="C22" s="481"/>
      <c r="D22" s="479">
        <f>D23+D25+D27+D29</f>
        <v>142062.5</v>
      </c>
      <c r="F22" s="482"/>
    </row>
    <row r="23" spans="1:6" ht="37.5" customHeight="1">
      <c r="A23" s="965">
        <v>750</v>
      </c>
      <c r="B23" s="966" t="s">
        <v>485</v>
      </c>
      <c r="C23" s="437"/>
      <c r="D23" s="476">
        <f>D24</f>
        <v>5062.5</v>
      </c>
      <c r="F23" s="482"/>
    </row>
    <row r="24" spans="1:6" ht="57.75" customHeight="1">
      <c r="A24" s="507"/>
      <c r="B24" s="506"/>
      <c r="C24" s="437" t="s">
        <v>111</v>
      </c>
      <c r="D24" s="508">
        <v>5062.5</v>
      </c>
      <c r="F24" s="482"/>
    </row>
    <row r="25" spans="1:6" ht="29.25" customHeight="1">
      <c r="A25" s="268">
        <v>851</v>
      </c>
      <c r="B25" s="509" t="s">
        <v>538</v>
      </c>
      <c r="C25" s="506"/>
      <c r="D25" s="476">
        <f>D26</f>
        <v>100000</v>
      </c>
      <c r="F25" s="482"/>
    </row>
    <row r="26" spans="1:6" ht="57.75" customHeight="1">
      <c r="A26" s="507"/>
      <c r="B26" s="506"/>
      <c r="C26" s="442" t="s">
        <v>80</v>
      </c>
      <c r="D26" s="508">
        <v>100000</v>
      </c>
      <c r="F26" s="482"/>
    </row>
    <row r="27" spans="1:6" ht="34.5" customHeight="1">
      <c r="A27" s="332">
        <v>900</v>
      </c>
      <c r="B27" s="490" t="s">
        <v>41</v>
      </c>
      <c r="C27" s="485"/>
      <c r="D27" s="455">
        <f>D28</f>
        <v>12000</v>
      </c>
      <c r="F27" s="482"/>
    </row>
    <row r="28" spans="1:10" ht="42.75" customHeight="1">
      <c r="A28" s="483"/>
      <c r="B28" s="491"/>
      <c r="C28" s="421" t="s">
        <v>841</v>
      </c>
      <c r="D28" s="560">
        <v>12000</v>
      </c>
      <c r="E28" s="1"/>
      <c r="F28" s="62"/>
      <c r="G28" s="62"/>
      <c r="H28" s="62"/>
      <c r="I28" s="62"/>
      <c r="J28" s="62"/>
    </row>
    <row r="29" spans="1:10" ht="42.75" customHeight="1">
      <c r="A29" s="480">
        <v>921</v>
      </c>
      <c r="B29" s="434" t="s">
        <v>842</v>
      </c>
      <c r="C29" s="613"/>
      <c r="D29" s="428">
        <f>D30</f>
        <v>25000</v>
      </c>
      <c r="E29" s="1"/>
      <c r="F29" s="62"/>
      <c r="G29" s="62"/>
      <c r="H29" s="62"/>
      <c r="I29" s="62"/>
      <c r="J29" s="62"/>
    </row>
    <row r="30" spans="1:10" ht="42.75" customHeight="1">
      <c r="A30" s="483"/>
      <c r="B30" s="480"/>
      <c r="C30" s="614" t="s">
        <v>836</v>
      </c>
      <c r="D30" s="440">
        <v>25000</v>
      </c>
      <c r="E30" s="1"/>
      <c r="F30" s="62"/>
      <c r="G30" s="62"/>
      <c r="H30" s="62"/>
      <c r="I30" s="62"/>
      <c r="J30" s="62"/>
    </row>
    <row r="31" spans="1:10" ht="30.75" customHeight="1">
      <c r="A31" s="443" t="s">
        <v>843</v>
      </c>
      <c r="B31" s="492"/>
      <c r="C31" s="493"/>
      <c r="D31" s="433">
        <f>D32+D35</f>
        <v>4767600</v>
      </c>
      <c r="E31" s="494"/>
      <c r="F31" s="62"/>
      <c r="G31" s="62"/>
      <c r="H31" s="62"/>
      <c r="I31" s="62"/>
      <c r="J31" s="62"/>
    </row>
    <row r="32" spans="1:10" ht="33" customHeight="1">
      <c r="A32" s="495" t="s">
        <v>36</v>
      </c>
      <c r="B32" s="496"/>
      <c r="C32" s="497"/>
      <c r="D32" s="498">
        <f>D33</f>
        <v>2612200</v>
      </c>
      <c r="E32" s="494"/>
      <c r="F32" s="62"/>
      <c r="G32" s="62"/>
      <c r="H32" s="62"/>
      <c r="I32" s="62"/>
      <c r="J32" s="62"/>
    </row>
    <row r="33" spans="1:5" ht="33.75" customHeight="1">
      <c r="A33" s="486">
        <v>921</v>
      </c>
      <c r="B33" s="435" t="s">
        <v>842</v>
      </c>
      <c r="C33" s="444"/>
      <c r="D33" s="499">
        <f>D34</f>
        <v>2612200</v>
      </c>
      <c r="E33" s="85"/>
    </row>
    <row r="34" spans="1:5" ht="26.25" customHeight="1">
      <c r="A34" s="500"/>
      <c r="B34" s="436"/>
      <c r="C34" s="437" t="s">
        <v>42</v>
      </c>
      <c r="D34" s="431">
        <f>2610000+2200</f>
        <v>2612200</v>
      </c>
      <c r="E34" s="72"/>
    </row>
    <row r="35" spans="1:5" ht="30.75" customHeight="1">
      <c r="A35" s="429" t="s">
        <v>835</v>
      </c>
      <c r="B35" s="501"/>
      <c r="C35" s="437"/>
      <c r="D35" s="447">
        <f>D36+D39</f>
        <v>2155400</v>
      </c>
      <c r="E35" s="72"/>
    </row>
    <row r="36" spans="1:5" ht="21" customHeight="1">
      <c r="A36" s="491">
        <v>852</v>
      </c>
      <c r="B36" s="448" t="s">
        <v>803</v>
      </c>
      <c r="C36" s="442"/>
      <c r="D36" s="428">
        <f>D37+D38</f>
        <v>1005400</v>
      </c>
      <c r="E36" s="72"/>
    </row>
    <row r="37" spans="1:5" ht="39.75" customHeight="1">
      <c r="A37" s="484"/>
      <c r="B37" s="502"/>
      <c r="C37" s="446" t="s">
        <v>68</v>
      </c>
      <c r="D37" s="431">
        <f>558000+10400+30000</f>
        <v>598400</v>
      </c>
      <c r="E37" s="72"/>
    </row>
    <row r="38" spans="1:5" ht="47.25" customHeight="1">
      <c r="A38" s="466"/>
      <c r="B38" s="503"/>
      <c r="C38" s="446" t="s">
        <v>69</v>
      </c>
      <c r="D38" s="431">
        <v>407000</v>
      </c>
      <c r="E38" s="1"/>
    </row>
    <row r="39" spans="1:5" ht="30" customHeight="1">
      <c r="A39" s="504">
        <v>853</v>
      </c>
      <c r="B39" s="505" t="s">
        <v>543</v>
      </c>
      <c r="C39" s="446"/>
      <c r="D39" s="428">
        <f>D40</f>
        <v>1150000</v>
      </c>
      <c r="E39" s="1"/>
    </row>
    <row r="40" spans="1:5" ht="30.75" customHeight="1">
      <c r="A40" s="506"/>
      <c r="B40" s="347"/>
      <c r="C40" s="446" t="s">
        <v>79</v>
      </c>
      <c r="D40" s="431">
        <v>1150000</v>
      </c>
      <c r="E40" s="1"/>
    </row>
    <row r="41" spans="1:5" ht="27.75" customHeight="1">
      <c r="A41" s="999" t="s">
        <v>851</v>
      </c>
      <c r="B41" s="1000"/>
      <c r="C41" s="998"/>
      <c r="D41" s="450">
        <f>D14+D31</f>
        <v>20755226.25</v>
      </c>
      <c r="E41" s="1"/>
    </row>
    <row r="42" spans="4:5" ht="15.75">
      <c r="D42" s="1"/>
      <c r="E42" s="1"/>
    </row>
    <row r="43" ht="15.75">
      <c r="D43" s="1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</sheetData>
  <sheetProtection/>
  <mergeCells count="1">
    <mergeCell ref="A41:C4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2013-09-16T06:05:40Z</cp:lastPrinted>
  <dcterms:created xsi:type="dcterms:W3CDTF">2009-03-04T08:33:11Z</dcterms:created>
  <dcterms:modified xsi:type="dcterms:W3CDTF">2013-09-16T11:58:15Z</dcterms:modified>
  <cp:category/>
  <cp:version/>
  <cp:contentType/>
  <cp:contentStatus/>
</cp:coreProperties>
</file>