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RM nr  z  04. 2014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  <sheet name="Zał. nr 6" sheetId="7" r:id="rId7"/>
    <sheet name="Wolny" sheetId="8" r:id="rId8"/>
  </sheets>
  <definedNames>
    <definedName name="_xlnm.Print_Titles" localSheetId="1">'zał. nr 1'!$11:$13</definedName>
    <definedName name="_xlnm.Print_Titles" localSheetId="2">'Zał. nr 2'!$12:$13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<sst xmlns="http://schemas.openxmlformats.org/spreadsheetml/2006/main" count="966" uniqueCount="647">
  <si>
    <t>Gospodarka komunalna  i ochrona środowiska</t>
  </si>
  <si>
    <t xml:space="preserve">dotacja dla KDK na wykonanie Termomodernizacji budynków Konińskiego Domu Kultury, Młodzieżowego Domu Kultury oraz Miejskiej Biblioteki Publicznej w Koninie </t>
  </si>
  <si>
    <t>Miejska Biblioteka Publiczna</t>
  </si>
  <si>
    <t>koszty utrzymania dzieci  z miasta Konina umieszczonych w placówkach opiekuńczych na terenie kraju</t>
  </si>
  <si>
    <t>prowadzenie działalności Powiatowego Urzędu Pracy</t>
  </si>
  <si>
    <t xml:space="preserve">do Uchwały nr </t>
  </si>
  <si>
    <t>kwotę środków i dotacji na realizację zadań w ramach</t>
  </si>
  <si>
    <t>programów i projektów funduszy strukturalnych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</si>
  <si>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</si>
  <si>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</si>
  <si>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</si>
  <si>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" Limit wydatków bieżących na programy finansowane z udziałem środków, o których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</si>
  <si>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</si>
  <si>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r>
      <t xml:space="preserve">brzmienie w treści </t>
    </r>
    <r>
      <rPr>
        <b/>
        <sz val="13"/>
        <rFont val="Times New Roman"/>
        <family val="1"/>
      </rPr>
      <t xml:space="preserve">Załącznika nr  2 </t>
    </r>
    <r>
      <rPr>
        <sz val="13"/>
        <rFont val="Times New Roman"/>
        <family val="1"/>
      </rPr>
      <t>do niniejszej uchwały</t>
    </r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</si>
  <si>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</si>
  <si>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do sektora finansów publicznych na cele publiczne związane z realizacją zadań miasta na 2014 rok"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</si>
  <si>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</si>
  <si>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 xml:space="preserve">          w tym:</t>
  </si>
  <si>
    <t>Zakup samochodu służbowego do przewozu  osób niepełnosprawnych-MOPR KONIN</t>
  </si>
  <si>
    <t>Dostawa i montaż wyświetlaczy czasu</t>
  </si>
  <si>
    <t>Dostawa i montaż znaków aktywnych</t>
  </si>
  <si>
    <t xml:space="preserve">miasta Konina na 2014 rok zmienionej  uchwałami i zarządzeniami w sprawie zmian w budżecie miasta Konina </t>
  </si>
  <si>
    <t>9. Załącznik nr 5 do uchwały budżetowej obejmujący:</t>
  </si>
  <si>
    <r>
      <t xml:space="preserve">11.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</si>
  <si>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 8.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</si>
  <si>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80195</t>
  </si>
  <si>
    <t>4220</t>
  </si>
  <si>
    <t>900</t>
  </si>
  <si>
    <t>90095</t>
  </si>
  <si>
    <t>4270</t>
  </si>
  <si>
    <t>Zakup zmywarki do kuchni w Szkole Podstawowej Nr 3</t>
  </si>
  <si>
    <t>Zakup patelni elektrycznej do kuchni w Szkole Podstawowej Nr 3</t>
  </si>
  <si>
    <t>2701</t>
  </si>
  <si>
    <t>853</t>
  </si>
  <si>
    <t>85395</t>
  </si>
  <si>
    <t>2007</t>
  </si>
  <si>
    <t>WYDATKI</t>
  </si>
  <si>
    <t>4177</t>
  </si>
  <si>
    <t>4217</t>
  </si>
  <si>
    <t>4247</t>
  </si>
  <si>
    <t>4117</t>
  </si>
  <si>
    <t>4307</t>
  </si>
  <si>
    <t>4301</t>
  </si>
  <si>
    <t>4017</t>
  </si>
  <si>
    <t>4019</t>
  </si>
  <si>
    <t>4119</t>
  </si>
  <si>
    <t>4127</t>
  </si>
  <si>
    <t>4129</t>
  </si>
  <si>
    <t>4309</t>
  </si>
  <si>
    <t>2009</t>
  </si>
  <si>
    <t>3117</t>
  </si>
  <si>
    <t>3119</t>
  </si>
  <si>
    <t>6207</t>
  </si>
  <si>
    <t xml:space="preserve">                  PLAN  PRZYCHODÓW  I  ROZCHODÓW    </t>
  </si>
  <si>
    <t xml:space="preserve">               BUDŻETU   MIASTA  KONINA  NA 2014 ROK</t>
  </si>
  <si>
    <t xml:space="preserve">               Plan  na 2014 rok</t>
  </si>
  <si>
    <t>Przychody</t>
  </si>
  <si>
    <t xml:space="preserve">    Rozchody</t>
  </si>
  <si>
    <t>Nazwa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</si>
  <si>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</si>
  <si>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</si>
  <si>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Obsługa długu publicznego</t>
  </si>
  <si>
    <t>Obsługa papierów wartościowych, kredytów i pożyczek jednostek samorządu terytorialnego</t>
  </si>
  <si>
    <t>Przeprawa przez rzekę Wartę - nowy przebieg drogi krajowej Nr 25 - kredyt</t>
  </si>
  <si>
    <t>Sfinansowanie  zadłużenia</t>
  </si>
  <si>
    <t>Zarządzanie energią w budynkach użyteczności publicznej w Koninie - pożyczka</t>
  </si>
  <si>
    <t>Zadania  inwestycje i spłata zadłużenia</t>
  </si>
  <si>
    <t xml:space="preserve">z dnia  30 kwietnia 2013 roku       </t>
  </si>
  <si>
    <t>Wolne środki na rachunkach bankowych</t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</si>
  <si>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</si>
  <si>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t>852</t>
  </si>
  <si>
    <t>85204</t>
  </si>
  <si>
    <t>3110</t>
  </si>
  <si>
    <t>85295</t>
  </si>
  <si>
    <t>0970</t>
  </si>
  <si>
    <t>0750</t>
  </si>
  <si>
    <t>80110</t>
  </si>
  <si>
    <t>80104</t>
  </si>
  <si>
    <t>4010</t>
  </si>
  <si>
    <t>4110</t>
  </si>
  <si>
    <t>854</t>
  </si>
  <si>
    <t>85403</t>
  </si>
  <si>
    <t>0870</t>
  </si>
  <si>
    <t>600</t>
  </si>
  <si>
    <t>60004</t>
  </si>
  <si>
    <t>2650</t>
  </si>
  <si>
    <t>2310</t>
  </si>
  <si>
    <t>2807</t>
  </si>
  <si>
    <t>2809</t>
  </si>
  <si>
    <t>4179</t>
  </si>
  <si>
    <t>85205</t>
  </si>
  <si>
    <t>2110</t>
  </si>
  <si>
    <t xml:space="preserve">                                     UCHWAŁA  NR      </t>
  </si>
  <si>
    <t xml:space="preserve">                                     z dnia  30 kwietnia  2014 roku</t>
  </si>
  <si>
    <t>80103</t>
  </si>
  <si>
    <t>80148</t>
  </si>
  <si>
    <t>Zakup samochodu do przewozu osób niepełnosprawnych</t>
  </si>
  <si>
    <t>4040</t>
  </si>
  <si>
    <t>85401</t>
  </si>
  <si>
    <t>dz. 600 rozdz.60015 § 6050 zmniejsza się o kwotę</t>
  </si>
  <si>
    <t>dz. 854 rozdz.85403 § 6060 zwiększa się o kwotę</t>
  </si>
  <si>
    <t>750</t>
  </si>
  <si>
    <t>75023</t>
  </si>
  <si>
    <t>4120</t>
  </si>
  <si>
    <t>4260</t>
  </si>
  <si>
    <t>4370</t>
  </si>
  <si>
    <t>4430</t>
  </si>
  <si>
    <t>4520</t>
  </si>
  <si>
    <t>6050</t>
  </si>
  <si>
    <t>6060</t>
  </si>
  <si>
    <t>0830</t>
  </si>
  <si>
    <t>75814</t>
  </si>
  <si>
    <t>6680</t>
  </si>
  <si>
    <t>60016</t>
  </si>
  <si>
    <t>Przebudowa ul. Jana Matejki w Koninie</t>
  </si>
  <si>
    <t>Dokumentacja projektowo-kosztorysowa na wykonanie doświetlonego przejścia dla pieszych na skrzyżowaniu ulic: Europejska - Wierzbowa w Koninie</t>
  </si>
  <si>
    <t xml:space="preserve">Dokumentacja projektowo-kosztorysowa na wykonanie doświetlonego przejścia dla </t>
  </si>
  <si>
    <t xml:space="preserve"> pieszych na skrzyżowaniu ulic: Europejska - Wierzbowa w Koninie</t>
  </si>
  <si>
    <t>90015</t>
  </si>
  <si>
    <t>0690</t>
  </si>
  <si>
    <t>754</t>
  </si>
  <si>
    <t>75495</t>
  </si>
  <si>
    <t xml:space="preserve">z dnia   30 kwietnia 2014 roku       </t>
  </si>
  <si>
    <t xml:space="preserve">z dnia 30 kwietnia 2014 roku       </t>
  </si>
  <si>
    <t xml:space="preserve">z dnia 30 kwietnia  2014 roku       </t>
  </si>
  <si>
    <t>Załącznik nr  5</t>
  </si>
  <si>
    <t>Rozbudowa sieci i centrali telefonicznej Urzędu Miejskiego</t>
  </si>
  <si>
    <t>§ 6050   zwiększa się o kwotę</t>
  </si>
  <si>
    <t>dz. 750 rozdz.75023   zwiększa się o kwotę</t>
  </si>
  <si>
    <t>75075</t>
  </si>
  <si>
    <t>0960</t>
  </si>
  <si>
    <t xml:space="preserve"> - łączne przychody w wysokości</t>
  </si>
  <si>
    <t>zł</t>
  </si>
  <si>
    <t xml:space="preserve"> - łączne rozchody w wysokości</t>
  </si>
  <si>
    <t>zł"</t>
  </si>
  <si>
    <r>
      <t xml:space="preserve">W Załączniku nr  10 do uchwały budżetowej obejmujący  </t>
    </r>
    <r>
      <rPr>
        <i/>
        <sz val="13"/>
        <rFont val="Times New Roman"/>
        <family val="1"/>
      </rPr>
      <t>"Plan przychodów i rozchodów budżetu</t>
    </r>
  </si>
  <si>
    <t>Zwiększa się plan przychodów o kwotę</t>
  </si>
  <si>
    <t xml:space="preserve">§ 950 zwiększa się o kwotę </t>
  </si>
  <si>
    <t>2. Ustala się plan przychodów i rozchodów budżetu miasta na 2014 rok w tym:</t>
  </si>
  <si>
    <t>§ 952 zwiększa się o kwotę</t>
  </si>
  <si>
    <t>Zwiększa się plan rozchodów o kwotę</t>
  </si>
  <si>
    <t>§ 992 zwiększa się o kwotę</t>
  </si>
  <si>
    <t>6010</t>
  </si>
  <si>
    <t>700</t>
  </si>
  <si>
    <t>70005</t>
  </si>
  <si>
    <t xml:space="preserve">         rozdz.90015  § 6050   zwiększa się o kwotę</t>
  </si>
  <si>
    <t xml:space="preserve">         rozdz.90095  zwiększa się o kwotę</t>
  </si>
  <si>
    <t>§ 6010   zwiększa się o kwotę</t>
  </si>
  <si>
    <t>dz. 900  zwiększa się o kwotę</t>
  </si>
  <si>
    <t>757</t>
  </si>
  <si>
    <t>75702</t>
  </si>
  <si>
    <t>8110</t>
  </si>
  <si>
    <t>4440</t>
  </si>
  <si>
    <t>4480</t>
  </si>
  <si>
    <t>85305</t>
  </si>
  <si>
    <t>921</t>
  </si>
  <si>
    <t>92109</t>
  </si>
  <si>
    <t>2480</t>
  </si>
  <si>
    <t>92195</t>
  </si>
  <si>
    <t>92695</t>
  </si>
  <si>
    <t>2820</t>
  </si>
  <si>
    <t>926</t>
  </si>
  <si>
    <t>92604</t>
  </si>
  <si>
    <t>75022</t>
  </si>
  <si>
    <t>70095</t>
  </si>
  <si>
    <t>756</t>
  </si>
  <si>
    <t>75615</t>
  </si>
  <si>
    <t>0310</t>
  </si>
  <si>
    <t>75616</t>
  </si>
  <si>
    <t>0760</t>
  </si>
  <si>
    <t>75095</t>
  </si>
  <si>
    <t>0570</t>
  </si>
  <si>
    <t>6220</t>
  </si>
  <si>
    <t xml:space="preserve"> -kwotę wydatków na zadania z zakresu administracji rządowej</t>
  </si>
  <si>
    <t xml:space="preserve">  zlecone ustawami do realizacji przez powiat</t>
  </si>
  <si>
    <t>90004</t>
  </si>
  <si>
    <t>§ 6060   zwiększa się o kwotę</t>
  </si>
  <si>
    <t xml:space="preserve">DRUK nr 861 </t>
  </si>
  <si>
    <t>Projekt</t>
  </si>
  <si>
    <t>80101</t>
  </si>
  <si>
    <t>4170</t>
  </si>
  <si>
    <t>Przebudowa ul. Południowej w Koninie</t>
  </si>
  <si>
    <t>Opracowanie dokumentacji projektowo-kosztorysowej na przebudowę ul. Jana Pawła w Koninie</t>
  </si>
  <si>
    <t>Zagospodarowanie terenów pogórniczych os. Zatorze w zakresie budowy ścieżki spacerowej - etap V</t>
  </si>
  <si>
    <t>Opracowanie dokumentacji projektowo-kosztorysowej na budowę dróg w rejonie bloków przy ullcy Gosławickiej w Koninie</t>
  </si>
  <si>
    <t>Opracowanie dokumantacji projwktowo-kosztorysowej na przebudowe ulic : Beznazwy i Wilczej w Koninie</t>
  </si>
  <si>
    <t>Opracowanie dokumentacji projektowo-kosztorysowej na budowę miejsc postojowych na ul. K. Szymanowskiego 5a w Koninie</t>
  </si>
  <si>
    <t xml:space="preserve"> przy ul. Wyzwolenia 23 w Koninie </t>
  </si>
  <si>
    <t xml:space="preserve">Opracowanie dokumentacji projektowo-kosztorysowej na budowę parkingu przy ul.  Wyzwolenia 23 w Koninie </t>
  </si>
  <si>
    <t>Modernizacja kuchni w Szkole Podstawowej nr 6 w Koninie</t>
  </si>
  <si>
    <t>Zakup  wyposażenia na plac zabaw dla Przedszkola nr 13</t>
  </si>
  <si>
    <t>Zakup  wyposażenia na plac zabaw dla Przedszkola nr 14</t>
  </si>
  <si>
    <t xml:space="preserve">Opracowanie dokumentacji na budowę  doświetlenia przejścia na </t>
  </si>
  <si>
    <t xml:space="preserve">Opracowanie dokumentacji na budowę  doświetlenia przejścia na ul. Beniowskiej w Koninie </t>
  </si>
  <si>
    <t>Skater Park dla rowerzystów z monitoringiem i oświetleniem</t>
  </si>
  <si>
    <t>Modernizacja kuchni w  Szkole Podstawowej nr 6 w Koninie</t>
  </si>
  <si>
    <r>
      <t xml:space="preserve">"1. Deficyt w wysokości </t>
    </r>
    <r>
      <rPr>
        <b/>
        <sz val="13"/>
        <rFont val="Times New Roman"/>
        <family val="1"/>
      </rPr>
      <t>13.727.754,08 zł</t>
    </r>
    <r>
      <rPr>
        <sz val="13"/>
        <rFont val="Times New Roman"/>
        <family val="1"/>
      </rPr>
      <t xml:space="preserve"> zostanie sfinansowany wolnymi środkami  na rachunku </t>
    </r>
  </si>
  <si>
    <t xml:space="preserve">  bankowym   oraz  kredytem długoterminowym.</t>
  </si>
  <si>
    <r>
      <t>Nr 40/2014 Prezydenta Miasta Konina z dnia 11 kwietnia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 42 /2014 Prezydenta Miasta Konina z</t>
    </r>
  </si>
  <si>
    <t xml:space="preserve"> bloków przy ulicy Gosławickiej w Koninie</t>
  </si>
  <si>
    <t>Budowa oświetlenia na parkingu przy ul. F. Chopina 18 i 17 c,d,e,f,g,h,i,j w Koninie</t>
  </si>
  <si>
    <t>Budowa ulic: Dobrowolskiego, Kuratowskiego, Mazurkiewicza i Trzebiatowskiego w Koninie</t>
  </si>
  <si>
    <t xml:space="preserve">Opracowanie dokumentacji projektowo-kosztorysowej na budowę dróg w rejonie </t>
  </si>
  <si>
    <t>ulic : Beznazwy i Wilczej w Koninie</t>
  </si>
  <si>
    <t xml:space="preserve">Opracowanie dokumentacji projektowo-kosztorysowej na budowę miejsc </t>
  </si>
  <si>
    <t xml:space="preserve"> postojowych na ul. K. Szymanowskiego 5a w Koninie</t>
  </si>
  <si>
    <t xml:space="preserve">Budowa ulic: Dobrowolskiego, Kuratowskiego, Mazurkiewicza </t>
  </si>
  <si>
    <t xml:space="preserve"> i Trzebiatowskiego w Koninie</t>
  </si>
  <si>
    <t>Nadbudowa wielorodzinnych budynków mieszkalnych w Koninie</t>
  </si>
  <si>
    <t>dz. 700 rozdz.70095  § 6050   zwiększa się o kwotę</t>
  </si>
  <si>
    <t xml:space="preserve">ul. Beniowskiej w Koninie </t>
  </si>
  <si>
    <t xml:space="preserve">Zagospodarowanie terenów pogórniczych os. Zatorze w zakresie budowy </t>
  </si>
  <si>
    <t>ścieżki spacerowej - etap V</t>
  </si>
  <si>
    <t xml:space="preserve">Budowa budynku usług publicznych przy ul. Z. Urbanowskiej w Koninie </t>
  </si>
  <si>
    <t>dz. 921 rozdz.92109  § 6220  zwiększa się o kwotę</t>
  </si>
  <si>
    <t>Dotacja celowa na zakup  i montaż instalacji satelitarnej do odbioru i emisji wydarzeń kulturalnych</t>
  </si>
  <si>
    <t xml:space="preserve">Dotacja celowa na zakup  i montaż instalacji satelitarnej do odbioru </t>
  </si>
  <si>
    <t xml:space="preserve"> i emisji wydarzeń kulturalnych</t>
  </si>
  <si>
    <t>dz. 926 rozdz.92604   zwiększa się o kwotę</t>
  </si>
  <si>
    <t>Kultura fizyczna</t>
  </si>
  <si>
    <t>Instytucje kultury fizycznej</t>
  </si>
  <si>
    <t>Docieplenie budynku na stadionie przy ul. Łużyńskiej wraz z monitoringiem</t>
  </si>
  <si>
    <t>Zadaszenie trybun na stadionie przy ul. Podwale</t>
  </si>
  <si>
    <t>Skatr Park dla rowerzystów z monitoringiem i oświetleniem</t>
  </si>
  <si>
    <t>Zakupy inwestycyjne dla obiektów MOSiR w Koninie</t>
  </si>
  <si>
    <t>Zakup karuzeli dla dzieci na plac zabaw do Przedszkola nr 5</t>
  </si>
  <si>
    <t>Budowa zespołu boisk przy Gimnazjum nr 7 w Koninie</t>
  </si>
  <si>
    <t xml:space="preserve">Opracowanie dokumentacji projektowo-kosztorysowej na przebudowę </t>
  </si>
  <si>
    <t>ul. Jana Pawła w Koninie</t>
  </si>
  <si>
    <t xml:space="preserve">Opracowanie dokumentacji projektowo-kosztorysowej na budowę parkingu </t>
  </si>
  <si>
    <t>dz. 630 rozdz.63095 § 6050 zwiększa się o kwotę</t>
  </si>
  <si>
    <t>Żłobki</t>
  </si>
  <si>
    <t xml:space="preserve">Dostosowanie klatki schodowej do obowiązujących przepisów ppoż w budynku Żłobka Miejskiego  przy ul. Staszica 17 w Koninie
</t>
  </si>
  <si>
    <t>dz. 853 rozdz.85305  § 6050   zwiększa się o kwotę</t>
  </si>
  <si>
    <t xml:space="preserve">Adaptacja pomieszczeń pralni na oddział dziecięcy w Żłobku Miejskim przy ul. Staszica 17 w Koninie
</t>
  </si>
  <si>
    <t xml:space="preserve">Adaptacja pomieszczeń pralni na oddział dziecięcy w Żłobku Miejskim przy </t>
  </si>
  <si>
    <t xml:space="preserve"> ul. Staszica 17 w Koninie</t>
  </si>
  <si>
    <t xml:space="preserve">Dostosowanie klatki schodowej do obowiązujących przepisów ppoż w budynku </t>
  </si>
  <si>
    <t xml:space="preserve"> Żłobka Miejskiego  przy ul. Staszica 17 w Koninie</t>
  </si>
  <si>
    <t>dz. 801   zwiększa się o kwotę</t>
  </si>
  <si>
    <t>rozdz.80101  § 6050   zwiększa się o kwotę</t>
  </si>
  <si>
    <t>rozdz.80104  § 6060   zwiększa się o kwotę</t>
  </si>
  <si>
    <t>rozdz.80110  § 6050   zwiększa się o kwotę</t>
  </si>
  <si>
    <t xml:space="preserve">na realizację  programów korekcyjno-edukacyjnych dla sprawców przemocy  w rodzinie 
</t>
  </si>
  <si>
    <t>szkolenie uzdolnionych sportowo w wybranych dyscyplinach sportowych</t>
  </si>
  <si>
    <t xml:space="preserve">  PLAN  PRZYCHODÓW  I  WYDATKÓW SAMORZĄDOWEGO ZAKŁADU BUDŻETOWEGO </t>
  </si>
  <si>
    <t xml:space="preserve">                                                                             NA 2014 ROK</t>
  </si>
  <si>
    <t xml:space="preserve">w tym: </t>
  </si>
  <si>
    <t>TREŚĆ</t>
  </si>
  <si>
    <t>PRZYCHODY</t>
  </si>
  <si>
    <t>kwota dotacji z budżetu miasta</t>
  </si>
  <si>
    <t>zakres dotacji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</si>
  <si>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</si>
  <si>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</si>
  <si>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</si>
  <si>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</si>
  <si>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</si>
  <si>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</si>
  <si>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</si>
  <si>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</si>
  <si>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</si>
  <si>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>Załącznik nr 6</t>
  </si>
  <si>
    <t>stan środków na początek okresu sprawozdawczego</t>
  </si>
  <si>
    <t>stan środków na koniec okresu sprawozdawczego</t>
  </si>
  <si>
    <r>
      <t xml:space="preserve">4. W Załączniku nr 6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</si>
  <si>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realizowanych na podstawie porozumień między jednostkami samorządu terytorialnego</t>
  </si>
  <si>
    <t>Zwiększa się plan dotacji celowej o kwotę</t>
  </si>
  <si>
    <r>
      <t xml:space="preserve">na 2014 rok  - zadania własne" </t>
    </r>
    <r>
      <rPr>
        <sz val="12"/>
        <rFont val="Times New Roman"/>
        <family val="1"/>
      </rPr>
      <t>dokonuje się następujących zmian:</t>
    </r>
  </si>
  <si>
    <t>dz.600 rozdz.60004 § 2310 zwiększa się o kwotę</t>
  </si>
  <si>
    <t>dz.600 rozdz.60004 § 2650 zwiększa się o kwotę</t>
  </si>
  <si>
    <t>Załącznik nr 3</t>
  </si>
  <si>
    <t>Załącznik nr  4</t>
  </si>
  <si>
    <r>
      <t xml:space="preserve">Załącznik nr  10 do uchwały budżetowej otrzymuje brzmienie  w treści   </t>
    </r>
    <r>
      <rPr>
        <b/>
        <sz val="13"/>
        <rFont val="Times New Roman"/>
        <family val="1"/>
      </rPr>
      <t>Załącznika nr  5</t>
    </r>
  </si>
  <si>
    <r>
      <t xml:space="preserve"> w treści   </t>
    </r>
    <r>
      <rPr>
        <b/>
        <sz val="13"/>
        <rFont val="Times New Roman"/>
        <family val="1"/>
      </rPr>
      <t xml:space="preserve">Załącznika nr 6 </t>
    </r>
    <r>
      <rPr>
        <sz val="13"/>
        <rFont val="Times New Roman"/>
        <family val="1"/>
      </rPr>
      <t>do niniejszej uchwały</t>
    </r>
  </si>
  <si>
    <t>samorządowego zakładu budżetowego na 2014 rok"  otrzymuje brzmienie</t>
  </si>
  <si>
    <r>
      <t xml:space="preserve"> miasta Konina na 2014 rok" </t>
    </r>
    <r>
      <rPr>
        <sz val="13"/>
        <rFont val="Times New Roman"/>
        <family val="1"/>
      </rPr>
      <t>dokonuje się następujących zmian:</t>
    </r>
  </si>
  <si>
    <t xml:space="preserve"> z dnia 7 lutego 2014 r.; Nr 728 Rady Miasta Konina z dnia 26 lutego 2014 r.;  Nr 19/2014 Prezydenta Miasta</t>
  </si>
  <si>
    <t xml:space="preserve">Konina z dnia 27 lutego 2014 r.; Nr 29/2014 Prezydenta Miasta Konina z dnia 14 marca 2014 r.; Nr  753  </t>
  </si>
  <si>
    <r>
      <rPr>
        <sz val="12"/>
        <rFont val="Times New Roman"/>
        <family val="1"/>
      </rPr>
      <t>Rady Miasta Konina z dnia 26 marca 2014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37/2014 Prezydenta Miasta Konina z dnia 27 marca 2014 r.;</t>
    </r>
  </si>
  <si>
    <r>
      <t xml:space="preserve"> </t>
    </r>
    <r>
      <rPr>
        <sz val="11"/>
        <rFont val="Times New Roman"/>
        <family val="1"/>
      </rPr>
      <t>dnia 22 kwietnia 2014 r.;</t>
    </r>
    <r>
      <rPr>
        <b/>
        <sz val="11"/>
        <rFont val="Times New Roman"/>
        <family val="1"/>
      </rPr>
      <t xml:space="preserve"> wprowadza się następujące zmiany:</t>
    </r>
  </si>
  <si>
    <t>5. W § 1 ust. 3</t>
  </si>
  <si>
    <t>7. W Załączniku Nr 2 do uchwały budżetowej dokonuje się następujących zmian:</t>
  </si>
  <si>
    <t xml:space="preserve">12.  § 2 do uchwały budżetowej otrzymuje brzmienie w treści: </t>
  </si>
  <si>
    <r>
      <t xml:space="preserve">13. 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</si>
  <si>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t>14. W § 4 do uchwały budżetowej dokonuje się następujących zmian:</t>
  </si>
  <si>
    <t xml:space="preserve">  Plan wydatków na 2014 rok</t>
  </si>
  <si>
    <t xml:space="preserve">       Plan  przychodów na 2014 rok</t>
  </si>
  <si>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</si>
  <si>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</si>
  <si>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</si>
  <si>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</si>
  <si>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</si>
  <si>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</si>
  <si>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</si>
  <si>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</si>
  <si>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</si>
  <si>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</si>
  <si>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</si>
  <si>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</si>
  <si>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</si>
  <si>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</si>
  <si>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</si>
  <si>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</si>
  <si>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</si>
  <si>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</si>
  <si>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</si>
  <si>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</si>
  <si>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</si>
  <si>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</si>
  <si>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</si>
  <si>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</si>
  <si>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</si>
  <si>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</si>
  <si>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</si>
  <si>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</si>
  <si>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</si>
  <si>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>. "Jesteś przedsiębiorczy! Zacznij działać już dziś w Koninie"w ramach programu POKL (dotacja celowa)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</si>
  <si>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</si>
  <si>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</si>
  <si>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</si>
  <si>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</si>
  <si>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</si>
  <si>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</si>
  <si>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</si>
  <si>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</si>
  <si>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</si>
  <si>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</si>
  <si>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</si>
  <si>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</si>
  <si>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</si>
  <si>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</si>
  <si>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</si>
  <si>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</si>
  <si>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</si>
  <si>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</si>
  <si>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</si>
  <si>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</si>
  <si>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</si>
  <si>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</si>
  <si>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</si>
  <si>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</si>
  <si>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</si>
  <si>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</si>
  <si>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</si>
  <si>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</si>
  <si>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</si>
  <si>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</si>
  <si>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</si>
  <si>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</si>
  <si>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</si>
  <si>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</si>
  <si>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</si>
  <si>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</si>
  <si>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</si>
  <si>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</si>
  <si>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</si>
  <si>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</si>
  <si>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</si>
  <si>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</si>
  <si>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</si>
  <si>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</si>
  <si>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</si>
  <si>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</si>
  <si>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</si>
  <si>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</si>
  <si>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</si>
  <si>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</si>
  <si>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</si>
  <si>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</si>
  <si>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</si>
  <si>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</si>
  <si>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</si>
  <si>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</si>
  <si>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</si>
  <si>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</si>
  <si>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</si>
  <si>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</si>
  <si>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</si>
  <si>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</si>
  <si>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</si>
  <si>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</si>
  <si>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</si>
  <si>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</si>
  <si>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</si>
  <si>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</si>
  <si>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</si>
  <si>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</si>
  <si>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</si>
  <si>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</si>
  <si>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</si>
  <si>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</si>
  <si>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</si>
  <si>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</si>
  <si>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</si>
  <si>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</si>
  <si>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</si>
  <si>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</si>
  <si>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</si>
  <si>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</si>
  <si>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</si>
  <si>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</si>
  <si>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</si>
  <si>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</si>
  <si>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</si>
  <si>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Pomoc społeczna</t>
  </si>
  <si>
    <t>2. W Załączniku Nr 1 do uchwały budżetowej dokonuje się następujących zmian:</t>
  </si>
  <si>
    <t>W części dotyczącej dochodów  gminy</t>
  </si>
  <si>
    <t>3. W Załączniku Nr 1 do uchwały budżetowej dokonuje się następujących zmian:</t>
  </si>
  <si>
    <t>Przebudowa ulicy Stodolnianej w Koninie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</si>
  <si>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</si>
  <si>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</si>
  <si>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</si>
  <si>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</si>
  <si>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</si>
  <si>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</si>
  <si>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</si>
  <si>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</si>
  <si>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</si>
  <si>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</si>
  <si>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</si>
  <si>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801</t>
  </si>
  <si>
    <t>4210</t>
  </si>
  <si>
    <t xml:space="preserve">         1) dochody gminy ogółem                                                                                  </t>
  </si>
  <si>
    <t>758</t>
  </si>
  <si>
    <t>75818</t>
  </si>
  <si>
    <t>4810</t>
  </si>
  <si>
    <t>4300</t>
  </si>
  <si>
    <t>6. W Załączniku Nr 2 do uchwały budżetowej dokonuje się następujących zmian:</t>
  </si>
  <si>
    <t>Stołówki szkolne i przedszkolne</t>
  </si>
  <si>
    <t xml:space="preserve">         W uchwale Nr 700 Rady Miasta Konina z dnia 18 grudnia 2013 r. w sprawie uchwalenia budżetu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</si>
  <si>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</si>
  <si>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</si>
  <si>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</si>
  <si>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</si>
  <si>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</si>
  <si>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</si>
  <si>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</si>
  <si>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</si>
  <si>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</si>
  <si>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</si>
  <si>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</si>
  <si>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</si>
  <si>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</si>
  <si>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</si>
  <si>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</si>
  <si>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</si>
  <si>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</si>
  <si>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</si>
  <si>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</si>
  <si>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</si>
  <si>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</si>
  <si>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</si>
  <si>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</si>
  <si>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</si>
  <si>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</si>
  <si>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</si>
  <si>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</si>
  <si>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</si>
  <si>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</si>
  <si>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</si>
  <si>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</si>
  <si>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</si>
  <si>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</si>
  <si>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</si>
  <si>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</si>
  <si>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</si>
  <si>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</si>
  <si>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</si>
  <si>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</si>
  <si>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</si>
  <si>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</si>
  <si>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</si>
  <si>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</si>
  <si>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</si>
  <si>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</si>
  <si>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</si>
  <si>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parkingu przy ul. Kard. S. Wyszyńskiego 19 i 21 w Koninie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</si>
  <si>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</si>
  <si>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</si>
  <si>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</si>
  <si>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</si>
  <si>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</si>
  <si>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</si>
  <si>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</si>
  <si>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</si>
  <si>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</si>
  <si>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</si>
  <si>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</si>
  <si>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</si>
  <si>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</si>
  <si>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</si>
  <si>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</si>
  <si>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</si>
  <si>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</si>
  <si>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</si>
  <si>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</si>
  <si>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</si>
  <si>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Wyszczególnienie</t>
  </si>
  <si>
    <t xml:space="preserve">Określenie zadań </t>
  </si>
  <si>
    <t>Plan  na 2014 rok</t>
  </si>
  <si>
    <t>Razem zadania gminy</t>
  </si>
  <si>
    <t xml:space="preserve">Dotacje podmiotowe </t>
  </si>
  <si>
    <t>dotacja dla niepublicznego przedszkola i punktów przedszkolnych rozdz. 80104</t>
  </si>
  <si>
    <t>dotacja dla niepublicznego gimnazjum  rozdz.80110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</si>
  <si>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</si>
  <si>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</si>
  <si>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</si>
  <si>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</si>
  <si>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</si>
  <si>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</si>
  <si>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</si>
  <si>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</si>
  <si>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</si>
  <si>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</si>
  <si>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</si>
  <si>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</si>
  <si>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</si>
  <si>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</si>
  <si>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</si>
  <si>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</si>
  <si>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</si>
  <si>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W części dotyczącej zadań  powiatowej</t>
  </si>
  <si>
    <t>b) kwotę części powiatowej</t>
  </si>
  <si>
    <t>Modernizacja węzła sanitarnego przy sali gimnastycznej wraz z korytarzem w Szkole Podstawowej nr 12 w Koninie</t>
  </si>
  <si>
    <t>Zakup zmywarki do kuchni w Szkole Podstawowej Nr 1</t>
  </si>
  <si>
    <t>Budowa ulicy Brunatnej w Koninie - etap I</t>
  </si>
  <si>
    <t>Budowa drogi - łącznik od ul. Przemysłowej do ul. Kleczewskiej w Koninie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</si>
  <si>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</si>
  <si>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</si>
  <si>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>"Jesteś przedsiębiorczy! Zacznij działać już dziś w Koninie"w ramach programu POKL (dotacja celowa)</t>
  </si>
  <si>
    <t>Zakup i montaż wiat  przystankowych</t>
  </si>
  <si>
    <t>Lokalny transport zbiorowy</t>
  </si>
  <si>
    <t>Przebudowa i rozbudowa budynków komunalnych przy ul. Wiosny Ludów 11 i 13 w Koninie</t>
  </si>
  <si>
    <t xml:space="preserve">prace konserwatorskie obrazu Św. Rocha z wyposażenia kościoła parafii Rzymskokatolickiej p.w. św.Wojciecha w Koninie </t>
  </si>
  <si>
    <t>realizacja zadania pn. "Klub wsparcia rodziny z dzieckiem z niepełnosprawnością"</t>
  </si>
  <si>
    <t>Zakup i montaż urządzeń na plac zabaw dla Przedszkola nr 17 w Koninie</t>
  </si>
  <si>
    <t xml:space="preserve">zaliczanych do sektora finansów publicznych na cele publiczne związane z realizacją zadań </t>
  </si>
  <si>
    <t xml:space="preserve">Wykonanie, dostawa i montaż regałów  przesuwanych do  pomieszczenia Archiwum w budynku przy ul. Andrzeja Benesza 
 w Koninie
</t>
  </si>
  <si>
    <r>
      <t xml:space="preserve">10.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</si>
  <si>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t>na 2014 rok:  Nr 721 Rady Miasta Konina z dnia 29 stycznia 2014 r.; Nr  11/2014 Prezydenta Miasta Konina</t>
  </si>
  <si>
    <t xml:space="preserve">Opracowanie dokumentacji projektowej na nowy przebieg cieku wodnego zlokalizowanego na terenie Międzylesia m. Konina </t>
  </si>
  <si>
    <t>Wniesienie wkładu pieniężnego na budowę wodociągu w ulicy Piaskowej, Borowej i Świerkowej</t>
  </si>
  <si>
    <t>dz. 600 rozdz.60016  § 6050   zwiększa się o kwotę</t>
  </si>
  <si>
    <t>Wykonanie instalacji ewakuacyjnej w Przedszkolu nr 7 w Koninie</t>
  </si>
  <si>
    <t>Zakup kuchni gazowej dla Przedszkola nr 7 w Koninie</t>
  </si>
  <si>
    <t>dz. 600 rozdz.60015 § 6050 zwiększa się o kwotę</t>
  </si>
  <si>
    <t>Zmniejsza się plan wydatków o kwotę</t>
  </si>
  <si>
    <t>Zakup obieraczki do ziemniaków dla przedszkola nr 17 w Koninie</t>
  </si>
  <si>
    <t>Przebudowa chodnika przy ul. Przemysłowej w Koninie</t>
  </si>
  <si>
    <t>Przebudowa chodnika przy ul. Zofii Nałkowskiej w Koninie</t>
  </si>
  <si>
    <t>Zakup kotła warzelnego do kuchni dla Przedszkola nr 16 w Koninie</t>
  </si>
  <si>
    <t xml:space="preserve">        b) dochody majątkowe w wysokości                                        </t>
  </si>
  <si>
    <t xml:space="preserve">do Uchwały nr  </t>
  </si>
  <si>
    <t xml:space="preserve">Wniesienie wkładu pieniężnego na budowę kanalizacji sanitarnej oraz  wodociągu  w ulicach Matejki i Wyspiańskiego </t>
  </si>
  <si>
    <t>Wniesienie wkładu pieniężnego na budowę sieci wodociągowej w ulicach Staromorzysławskiej, Działkowej i Granicznej</t>
  </si>
  <si>
    <t>Opracowanie dokumentacji projektowo-  kosztorysowej na budowę oświetlenia ulic Konwaliowej i Malwowej w Koninie</t>
  </si>
  <si>
    <t>ZAŁĄCZNIK nr 2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</si>
  <si>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</si>
  <si>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</si>
  <si>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2014 rok</t>
  </si>
  <si>
    <t xml:space="preserve">                  2014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</si>
  <si>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</si>
  <si>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</si>
  <si>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</si>
  <si>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</si>
  <si>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</si>
  <si>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</si>
  <si>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</si>
  <si>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</si>
  <si>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</si>
  <si>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</si>
  <si>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</si>
  <si>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</si>
  <si>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>Przedszkole nr 2 w Koninie "Kraina Wesołej Zabawy"</t>
  </si>
  <si>
    <t>cel: Rozwój wykształcenia i kompetencji w regionach</t>
  </si>
  <si>
    <t>Podniesienie i uzupełnienie kwalifikacji kadry pedagogicznej i administracyjnej poprzez realizacje projektu Pt. "Dokształcanie to Twoja szansa"</t>
  </si>
  <si>
    <t>2012-2014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</si>
  <si>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</si>
  <si>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</si>
  <si>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</si>
  <si>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</si>
  <si>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</si>
  <si>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</si>
  <si>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</si>
  <si>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</si>
  <si>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</si>
  <si>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</si>
  <si>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</si>
  <si>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</si>
  <si>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</si>
  <si>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</si>
  <si>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</si>
  <si>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</si>
  <si>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</si>
  <si>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</si>
  <si>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</si>
  <si>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</si>
  <si>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</si>
  <si>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</si>
  <si>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</si>
  <si>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</si>
  <si>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</si>
  <si>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</si>
  <si>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</si>
  <si>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</si>
  <si>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</si>
  <si>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</si>
  <si>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</si>
  <si>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</si>
  <si>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</si>
  <si>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</si>
  <si>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</si>
  <si>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zmiany" </t>
  </si>
  <si>
    <t>2014/2015</t>
  </si>
  <si>
    <t>cel: Stworzenie warunków do podniesienia i uzupełnienia kwalifikacji związanych z wdrożeniem rozwiazań ekologicznych i zdrowotnych oraz zdobycia kompetencji jezykowych  wśrod nauczycieli</t>
  </si>
  <si>
    <t xml:space="preserve">Projekt pt. "Nowe horyzonty w edukacji dziecka" </t>
  </si>
  <si>
    <t>Zadania powiatu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</si>
  <si>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</si>
  <si>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</si>
  <si>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</si>
  <si>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2012/2014</t>
  </si>
  <si>
    <t>Europejski Fundusz Społeczny - Program  Operacyjny  Kapitał Ludzki</t>
  </si>
  <si>
    <t>ZS im. Kopernika w  Koninie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</si>
  <si>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</si>
  <si>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</si>
  <si>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</si>
  <si>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</si>
  <si>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</si>
  <si>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„Uczenie się przez całe życie”  Leonardo da Vinci</t>
  </si>
  <si>
    <t>ZSB  w Koninie</t>
  </si>
  <si>
    <t>2013/2014</t>
  </si>
  <si>
    <t>cel: doskonalenie kompetencji zawodowych  oraz szkolenie językowe i kulturowe</t>
  </si>
  <si>
    <t>„Mistrz w zawodzie - praktyki zagraniczne dla uczniów”</t>
  </si>
  <si>
    <t xml:space="preserve">do Uchwały nr    </t>
  </si>
  <si>
    <t xml:space="preserve">PLAN DOTACJI DLA PODMIOTÓW ZALICZANYCH DO SEKTORA FINANSÓW </t>
  </si>
  <si>
    <t xml:space="preserve">PUBLICZNYCH NA CELE PUBLICZNE ZWIĄZANE Z REALIZACJĄ ZADAŃ MIASTA  </t>
  </si>
  <si>
    <t>NA 2014 ROK</t>
  </si>
  <si>
    <t>Plan na 2014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</si>
  <si>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</si>
  <si>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</si>
  <si>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</si>
  <si>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</si>
  <si>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</si>
  <si>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</si>
  <si>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 xml:space="preserve">Oświata i wychowanie </t>
  </si>
  <si>
    <t>koszty utrzymania dzieci  z miasta Konina umieszczonych w  przedszklolu na terenie innej gminy</t>
  </si>
  <si>
    <t>Dotacja celowa na zakupy inwestycyjne dla Oddziału Leczenia Uzależnień Wojewódzkiego Szpitala Zespolonego w Koninie - zakup kombajnu wielofunkcyjnego i rzutnika multimedialnego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</si>
</sst>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i/>
      <sz val="13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sz val="11"/>
      <name val="Times New Roman CE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57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1"/>
      <name val="Arial"/>
      <family val="2"/>
    </font>
    <font>
      <i/>
      <sz val="16"/>
      <color indexed="10"/>
      <name val="Times New Roman"/>
      <family val="1"/>
    </font>
    <font>
      <sz val="16"/>
      <name val="Arial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48"/>
      <name val="Times New Roman"/>
      <family val="1"/>
    </font>
    <font>
      <b/>
      <i/>
      <sz val="12"/>
      <color indexed="10"/>
      <name val="Times New Roman"/>
      <family val="1"/>
    </font>
    <font>
      <sz val="14"/>
      <name val="Arial CE"/>
      <family val="0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b/>
      <sz val="14"/>
      <color indexed="17"/>
      <name val="Times New Roman"/>
      <family val="1"/>
    </font>
    <font>
      <sz val="14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9" fillId="0" borderId="3" applyNumberFormat="0" applyFill="0" applyAlignment="0" applyProtection="0"/>
    <xf numFmtId="0" fontId="110" fillId="29" borderId="4" applyNumberFormat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5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6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1024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7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32" fillId="0" borderId="13" xfId="52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10" xfId="52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35" fillId="0" borderId="17" xfId="0" applyFont="1" applyFill="1" applyBorder="1" applyAlignment="1">
      <alignment vertical="center" wrapText="1"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5" fillId="0" borderId="16" xfId="0" applyNumberFormat="1" applyFont="1" applyFill="1" applyBorder="1" applyAlignment="1">
      <alignment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5" fillId="0" borderId="13" xfId="0" applyNumberFormat="1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11" xfId="52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vertical="center"/>
    </xf>
    <xf numFmtId="4" fontId="34" fillId="0" borderId="13" xfId="0" applyNumberFormat="1" applyFont="1" applyFill="1" applyBorder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9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6" applyNumberFormat="1" applyFont="1" applyFill="1">
      <alignment/>
      <protection/>
    </xf>
    <xf numFmtId="49" fontId="39" fillId="0" borderId="0" xfId="56" applyNumberFormat="1" applyFont="1" applyFill="1">
      <alignment/>
      <protection/>
    </xf>
    <xf numFmtId="49" fontId="39" fillId="0" borderId="0" xfId="56" applyNumberFormat="1" applyFont="1" applyFill="1" applyAlignment="1">
      <alignment horizontal="center"/>
      <protection/>
    </xf>
    <xf numFmtId="0" fontId="39" fillId="0" borderId="0" xfId="0" applyFont="1" applyFill="1" applyAlignment="1">
      <alignment horizontal="left"/>
    </xf>
    <xf numFmtId="0" fontId="39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6" applyNumberFormat="1" applyFont="1" applyFill="1">
      <alignment/>
      <protection/>
    </xf>
    <xf numFmtId="49" fontId="9" fillId="0" borderId="0" xfId="56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6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20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9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23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top"/>
      <protection/>
    </xf>
    <xf numFmtId="0" fontId="10" fillId="0" borderId="18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7" applyNumberFormat="1" applyFont="1" applyFill="1">
      <alignment/>
      <protection/>
    </xf>
    <xf numFmtId="49" fontId="31" fillId="0" borderId="0" xfId="57" applyNumberFormat="1" applyFont="1" applyFill="1">
      <alignment/>
      <protection/>
    </xf>
    <xf numFmtId="49" fontId="7" fillId="0" borderId="0" xfId="57" applyNumberFormat="1" applyFont="1" applyFill="1" applyAlignment="1">
      <alignment horizontal="center"/>
      <protection/>
    </xf>
    <xf numFmtId="49" fontId="37" fillId="0" borderId="0" xfId="52" applyNumberFormat="1" applyFont="1" applyFill="1">
      <alignment/>
      <protection/>
    </xf>
    <xf numFmtId="49" fontId="7" fillId="0" borderId="0" xfId="57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7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7" applyNumberFormat="1" applyFont="1" applyFill="1" applyBorder="1" applyAlignment="1">
      <alignment horizontal="center"/>
      <protection/>
    </xf>
    <xf numFmtId="49" fontId="15" fillId="0" borderId="0" xfId="57" applyNumberFormat="1" applyFont="1" applyFill="1">
      <alignment/>
      <protection/>
    </xf>
    <xf numFmtId="0" fontId="27" fillId="0" borderId="0" xfId="52" applyFont="1" applyFill="1">
      <alignment/>
      <protection/>
    </xf>
    <xf numFmtId="49" fontId="9" fillId="0" borderId="0" xfId="0" applyNumberFormat="1" applyFont="1" applyFill="1" applyAlignment="1">
      <alignment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6" applyNumberFormat="1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4" fontId="3" fillId="0" borderId="0" xfId="56" applyNumberFormat="1" applyFont="1" applyFill="1">
      <alignment/>
      <protection/>
    </xf>
    <xf numFmtId="49" fontId="15" fillId="0" borderId="0" xfId="56" applyNumberFormat="1" applyFont="1" applyFill="1">
      <alignment/>
      <protection/>
    </xf>
    <xf numFmtId="49" fontId="15" fillId="0" borderId="0" xfId="56" applyNumberFormat="1" applyFont="1" applyFill="1" applyAlignment="1">
      <alignment horizontal="center"/>
      <protection/>
    </xf>
    <xf numFmtId="0" fontId="15" fillId="0" borderId="0" xfId="56" applyFont="1" applyFill="1">
      <alignment/>
      <protection/>
    </xf>
    <xf numFmtId="4" fontId="15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34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8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9" fillId="0" borderId="22" xfId="0" applyFont="1" applyFill="1" applyBorder="1" applyAlignment="1">
      <alignment vertical="center" wrapText="1"/>
    </xf>
    <xf numFmtId="4" fontId="58" fillId="0" borderId="0" xfId="0" applyNumberFormat="1" applyFont="1" applyFill="1" applyAlignment="1">
      <alignment/>
    </xf>
    <xf numFmtId="4" fontId="32" fillId="0" borderId="0" xfId="0" applyNumberFormat="1" applyFont="1" applyFill="1" applyAlignment="1">
      <alignment/>
    </xf>
    <xf numFmtId="0" fontId="9" fillId="0" borderId="19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60" fillId="0" borderId="0" xfId="0" applyNumberFormat="1" applyFont="1" applyFill="1" applyAlignment="1">
      <alignment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32" fillId="0" borderId="10" xfId="52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0" fontId="35" fillId="0" borderId="17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/>
    </xf>
    <xf numFmtId="4" fontId="62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4" fontId="63" fillId="0" borderId="0" xfId="0" applyNumberFormat="1" applyFont="1" applyFill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4" fontId="32" fillId="0" borderId="13" xfId="52" applyNumberFormat="1" applyFont="1" applyFill="1" applyBorder="1" applyAlignment="1">
      <alignment vertical="center"/>
      <protection/>
    </xf>
    <xf numFmtId="0" fontId="32" fillId="0" borderId="10" xfId="52" applyFont="1" applyFill="1" applyBorder="1" applyAlignment="1">
      <alignment vertical="top" wrapText="1"/>
      <protection/>
    </xf>
    <xf numFmtId="0" fontId="12" fillId="0" borderId="13" xfId="0" applyFont="1" applyFill="1" applyBorder="1" applyAlignment="1">
      <alignment vertical="center"/>
    </xf>
    <xf numFmtId="0" fontId="35" fillId="0" borderId="10" xfId="52" applyFont="1" applyFill="1" applyBorder="1" applyAlignment="1">
      <alignment vertical="center" wrapText="1"/>
      <protection/>
    </xf>
    <xf numFmtId="4" fontId="35" fillId="0" borderId="10" xfId="52" applyNumberFormat="1" applyFont="1" applyFill="1" applyBorder="1" applyAlignment="1">
      <alignment vertical="center" wrapText="1"/>
      <protection/>
    </xf>
    <xf numFmtId="4" fontId="35" fillId="0" borderId="13" xfId="52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0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 wrapText="1"/>
      <protection/>
    </xf>
    <xf numFmtId="4" fontId="34" fillId="0" borderId="13" xfId="52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2" fontId="32" fillId="0" borderId="13" xfId="52" applyNumberFormat="1" applyFont="1" applyFill="1" applyBorder="1" applyAlignment="1">
      <alignment vertical="center" wrapText="1"/>
      <protection/>
    </xf>
    <xf numFmtId="0" fontId="32" fillId="0" borderId="13" xfId="52" applyFont="1" applyFill="1" applyBorder="1" applyAlignment="1">
      <alignment vertical="center" wrapText="1"/>
      <protection/>
    </xf>
    <xf numFmtId="0" fontId="35" fillId="0" borderId="13" xfId="52" applyFont="1" applyFill="1" applyBorder="1" applyAlignment="1">
      <alignment vertical="center" wrapText="1"/>
      <protection/>
    </xf>
    <xf numFmtId="0" fontId="55" fillId="0" borderId="0" xfId="0" applyFont="1" applyFill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3" xfId="52" applyFont="1" applyFill="1" applyBorder="1" applyAlignment="1">
      <alignment vertical="center" wrapText="1"/>
      <protection/>
    </xf>
    <xf numFmtId="0" fontId="38" fillId="0" borderId="0" xfId="0" applyFont="1" applyFill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/>
    </xf>
    <xf numFmtId="49" fontId="5" fillId="0" borderId="16" xfId="52" applyNumberFormat="1" applyFont="1" applyFill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" fontId="6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" fontId="40" fillId="0" borderId="0" xfId="52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0" fontId="36" fillId="0" borderId="0" xfId="53" applyFont="1" applyFill="1" applyAlignment="1">
      <alignment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34" fillId="33" borderId="19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68" fillId="0" borderId="0" xfId="53" applyNumberFormat="1" applyFont="1" applyFill="1" applyAlignment="1">
      <alignment horizontal="right" vertical="center"/>
      <protection/>
    </xf>
    <xf numFmtId="0" fontId="9" fillId="34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4" fontId="6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horizontal="right" vertical="center"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4" fontId="32" fillId="0" borderId="15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/>
    </xf>
    <xf numFmtId="4" fontId="5" fillId="0" borderId="18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14" xfId="52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/>
    </xf>
    <xf numFmtId="49" fontId="5" fillId="0" borderId="19" xfId="52" applyNumberFormat="1" applyFont="1" applyFill="1" applyBorder="1" applyAlignment="1">
      <alignment horizontal="center" vertical="center"/>
      <protection/>
    </xf>
    <xf numFmtId="0" fontId="32" fillId="0" borderId="17" xfId="0" applyFont="1" applyFill="1" applyBorder="1" applyAlignment="1">
      <alignment horizontal="center" vertical="center"/>
    </xf>
    <xf numFmtId="0" fontId="32" fillId="0" borderId="13" xfId="52" applyFont="1" applyFill="1" applyBorder="1" applyAlignment="1">
      <alignment horizontal="left" vertical="top" wrapText="1"/>
      <protection/>
    </xf>
    <xf numFmtId="4" fontId="32" fillId="0" borderId="13" xfId="52" applyNumberFormat="1" applyFont="1" applyFill="1" applyBorder="1" applyAlignment="1">
      <alignment vertical="center" wrapText="1"/>
      <protection/>
    </xf>
    <xf numFmtId="49" fontId="13" fillId="0" borderId="0" xfId="52" applyNumberFormat="1" applyFont="1" applyFill="1" applyBorder="1" applyAlignment="1">
      <alignment horizontal="left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4" fontId="4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4" fontId="4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vertical="center" wrapText="1"/>
    </xf>
    <xf numFmtId="0" fontId="35" fillId="0" borderId="1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left" vertical="center"/>
    </xf>
    <xf numFmtId="0" fontId="3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/>
    </xf>
    <xf numFmtId="0" fontId="32" fillId="0" borderId="23" xfId="55" applyFont="1" applyFill="1" applyBorder="1" applyAlignment="1">
      <alignment horizontal="left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left" vertical="center" wrapText="1"/>
    </xf>
    <xf numFmtId="0" fontId="32" fillId="0" borderId="13" xfId="55" applyFont="1" applyFill="1" applyBorder="1" applyAlignment="1">
      <alignment horizontal="left" vertical="center" wrapText="1"/>
      <protection/>
    </xf>
    <xf numFmtId="0" fontId="32" fillId="0" borderId="18" xfId="55" applyFont="1" applyFill="1" applyBorder="1" applyAlignment="1">
      <alignment horizontal="left" vertical="center" wrapText="1"/>
      <protection/>
    </xf>
    <xf numFmtId="0" fontId="35" fillId="0" borderId="19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49" fontId="32" fillId="0" borderId="13" xfId="52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0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3" fillId="35" borderId="12" xfId="0" applyNumberFormat="1" applyFont="1" applyFill="1" applyBorder="1" applyAlignment="1">
      <alignment vertical="center"/>
    </xf>
    <xf numFmtId="0" fontId="3" fillId="0" borderId="15" xfId="52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4" fontId="16" fillId="0" borderId="0" xfId="57" applyNumberFormat="1" applyFont="1" applyFill="1" applyAlignment="1">
      <alignment horizontal="right"/>
      <protection/>
    </xf>
    <xf numFmtId="4" fontId="17" fillId="0" borderId="0" xfId="52" applyNumberFormat="1" applyFont="1" applyFill="1" applyBorder="1" applyAlignment="1">
      <alignment vertical="center"/>
      <protection/>
    </xf>
    <xf numFmtId="4" fontId="15" fillId="0" borderId="0" xfId="52" applyNumberFormat="1" applyFont="1" applyFill="1" applyBorder="1" applyAlignment="1">
      <alignment vertical="center"/>
      <protection/>
    </xf>
    <xf numFmtId="0" fontId="57" fillId="0" borderId="0" xfId="0" applyFont="1" applyFill="1" applyAlignment="1">
      <alignment vertical="center"/>
    </xf>
    <xf numFmtId="0" fontId="9" fillId="0" borderId="0" xfId="58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8" applyFont="1" applyFill="1" applyBorder="1">
      <alignment/>
      <protection/>
    </xf>
    <xf numFmtId="0" fontId="3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28" fillId="0" borderId="0" xfId="53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3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9" fillId="0" borderId="18" xfId="58" applyFont="1" applyFill="1" applyBorder="1" applyAlignment="1">
      <alignment horizontal="center"/>
      <protection/>
    </xf>
    <xf numFmtId="0" fontId="9" fillId="0" borderId="18" xfId="53" applyFont="1" applyFill="1" applyBorder="1">
      <alignment/>
      <protection/>
    </xf>
    <xf numFmtId="0" fontId="9" fillId="0" borderId="18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8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4" fontId="2" fillId="0" borderId="0" xfId="58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7" fillId="0" borderId="10" xfId="58" applyFont="1" applyFill="1" applyBorder="1" applyAlignment="1">
      <alignment horizontal="left" vertical="top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26" fillId="0" borderId="22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32" fillId="0" borderId="0" xfId="53" applyNumberFormat="1" applyFont="1" applyFill="1" applyAlignment="1">
      <alignment horizontal="center" vertical="center" wrapText="1"/>
      <protection/>
    </xf>
    <xf numFmtId="0" fontId="12" fillId="0" borderId="18" xfId="58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8" applyNumberFormat="1" applyFont="1" applyFill="1" applyBorder="1" applyAlignment="1">
      <alignment vertical="center" wrapText="1"/>
      <protection/>
    </xf>
    <xf numFmtId="0" fontId="26" fillId="0" borderId="14" xfId="0" applyFont="1" applyFill="1" applyBorder="1" applyAlignment="1">
      <alignment vertical="center"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8" applyFont="1" applyFill="1" applyAlignment="1">
      <alignment vertical="center"/>
      <protection/>
    </xf>
    <xf numFmtId="0" fontId="9" fillId="0" borderId="19" xfId="58" applyFont="1" applyFill="1" applyBorder="1" applyAlignment="1">
      <alignment horizontal="center" vertical="center"/>
      <protection/>
    </xf>
    <xf numFmtId="4" fontId="9" fillId="0" borderId="14" xfId="58" applyNumberFormat="1" applyFont="1" applyFill="1" applyBorder="1" applyAlignment="1">
      <alignment vertical="center"/>
      <protection/>
    </xf>
    <xf numFmtId="0" fontId="26" fillId="0" borderId="15" xfId="0" applyFont="1" applyFill="1" applyBorder="1" applyAlignment="1">
      <alignment vertical="center"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/>
      <protection/>
    </xf>
    <xf numFmtId="4" fontId="9" fillId="0" borderId="16" xfId="58" applyNumberFormat="1" applyFont="1" applyFill="1" applyBorder="1" applyAlignment="1">
      <alignment vertical="center"/>
      <protection/>
    </xf>
    <xf numFmtId="0" fontId="2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12" fillId="0" borderId="19" xfId="58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vertical="center" wrapTex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9" fillId="0" borderId="22" xfId="58" applyFont="1" applyFill="1" applyBorder="1" applyAlignment="1">
      <alignment vertical="center" wrapText="1"/>
      <protection/>
    </xf>
    <xf numFmtId="4" fontId="9" fillId="0" borderId="18" xfId="58" applyNumberFormat="1" applyFont="1" applyFill="1" applyBorder="1" applyAlignment="1">
      <alignment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4" fontId="9" fillId="0" borderId="12" xfId="58" applyNumberFormat="1" applyFont="1" applyFill="1" applyBorder="1" applyAlignment="1">
      <alignment vertical="center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4" fontId="9" fillId="0" borderId="13" xfId="58" applyNumberFormat="1" applyFont="1" applyFill="1" applyBorder="1" applyAlignment="1">
      <alignment vertical="center" wrapText="1"/>
      <protection/>
    </xf>
    <xf numFmtId="4" fontId="9" fillId="0" borderId="15" xfId="58" applyNumberFormat="1" applyFont="1" applyFill="1" applyBorder="1" applyAlignment="1">
      <alignment vertical="center"/>
      <protection/>
    </xf>
    <xf numFmtId="0" fontId="9" fillId="0" borderId="24" xfId="0" applyFont="1" applyFill="1" applyBorder="1" applyAlignment="1">
      <alignment vertical="center" wrapText="1"/>
    </xf>
    <xf numFmtId="4" fontId="9" fillId="0" borderId="14" xfId="58" applyNumberFormat="1" applyFont="1" applyFill="1" applyBorder="1" applyAlignment="1">
      <alignment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9" fillId="0" borderId="14" xfId="53" applyFont="1" applyFill="1" applyBorder="1" applyAlignment="1">
      <alignment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8" applyNumberFormat="1" applyFont="1" applyFill="1" applyBorder="1" applyAlignment="1">
      <alignment vertical="center" wrapText="1"/>
      <protection/>
    </xf>
    <xf numFmtId="0" fontId="26" fillId="0" borderId="20" xfId="0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 vertical="center"/>
      <protection/>
    </xf>
    <xf numFmtId="0" fontId="32" fillId="0" borderId="22" xfId="0" applyFont="1" applyFill="1" applyBorder="1" applyAlignment="1">
      <alignment vertical="center" wrapText="1"/>
    </xf>
    <xf numFmtId="4" fontId="9" fillId="0" borderId="22" xfId="58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4" fontId="70" fillId="0" borderId="0" xfId="0" applyNumberFormat="1" applyFont="1" applyFill="1" applyAlignment="1">
      <alignment/>
    </xf>
    <xf numFmtId="0" fontId="9" fillId="0" borderId="18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19" xfId="58" applyNumberFormat="1" applyFont="1" applyFill="1" applyBorder="1" applyAlignment="1">
      <alignment vertical="center" wrapText="1"/>
      <protection/>
    </xf>
    <xf numFmtId="4" fontId="3" fillId="0" borderId="21" xfId="0" applyNumberFormat="1" applyFont="1" applyFill="1" applyBorder="1" applyAlignment="1">
      <alignment vertical="center"/>
    </xf>
    <xf numFmtId="4" fontId="3" fillId="0" borderId="12" xfId="58" applyNumberFormat="1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9" fillId="0" borderId="11" xfId="58" applyFont="1" applyFill="1" applyBorder="1" applyAlignment="1">
      <alignment vertical="center" wrapText="1"/>
      <protection/>
    </xf>
    <xf numFmtId="0" fontId="44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8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71" fillId="0" borderId="0" xfId="0" applyNumberFormat="1" applyFont="1" applyFill="1" applyAlignment="1">
      <alignment/>
    </xf>
    <xf numFmtId="0" fontId="44" fillId="0" borderId="12" xfId="0" applyFont="1" applyFill="1" applyBorder="1" applyAlignment="1">
      <alignment vertical="center" wrapText="1"/>
    </xf>
    <xf numFmtId="0" fontId="44" fillId="0" borderId="0" xfId="0" applyFont="1" applyFill="1" applyAlignment="1">
      <alignment wrapText="1"/>
    </xf>
    <xf numFmtId="4" fontId="45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35" borderId="16" xfId="53" applyNumberFormat="1" applyFont="1" applyFill="1" applyBorder="1" applyAlignment="1">
      <alignment horizontal="center" vertical="center" wrapText="1"/>
      <protection/>
    </xf>
    <xf numFmtId="4" fontId="3" fillId="35" borderId="12" xfId="53" applyNumberFormat="1" applyFont="1" applyFill="1" applyBorder="1" applyAlignment="1">
      <alignment horizontal="center" vertical="center" wrapText="1"/>
      <protection/>
    </xf>
    <xf numFmtId="4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" fillId="0" borderId="24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/>
    </xf>
    <xf numFmtId="0" fontId="35" fillId="0" borderId="2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/>
    </xf>
    <xf numFmtId="4" fontId="5" fillId="0" borderId="13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center" vertical="center"/>
    </xf>
    <xf numFmtId="49" fontId="32" fillId="0" borderId="0" xfId="5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 wrapText="1"/>
    </xf>
    <xf numFmtId="4" fontId="13" fillId="0" borderId="20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3" fillId="35" borderId="13" xfId="0" applyNumberFormat="1" applyFont="1" applyFill="1" applyBorder="1" applyAlignment="1">
      <alignment vertical="center"/>
    </xf>
    <xf numFmtId="49" fontId="72" fillId="0" borderId="0" xfId="0" applyNumberFormat="1" applyFont="1" applyFill="1" applyAlignment="1">
      <alignment/>
    </xf>
    <xf numFmtId="49" fontId="53" fillId="0" borderId="0" xfId="57" applyNumberFormat="1" applyFont="1" applyFill="1">
      <alignment/>
      <protection/>
    </xf>
    <xf numFmtId="49" fontId="16" fillId="0" borderId="0" xfId="57" applyNumberFormat="1" applyFont="1" applyFill="1" applyAlignment="1">
      <alignment horizontal="center"/>
      <protection/>
    </xf>
    <xf numFmtId="4" fontId="31" fillId="0" borderId="0" xfId="52" applyNumberFormat="1" applyFont="1" applyFill="1" applyBorder="1" applyAlignment="1">
      <alignment vertical="center"/>
      <protection/>
    </xf>
    <xf numFmtId="0" fontId="6" fillId="0" borderId="0" xfId="59" applyFont="1" applyFill="1" applyAlignment="1">
      <alignment horizontal="left"/>
      <protection/>
    </xf>
    <xf numFmtId="4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wrapText="1"/>
    </xf>
    <xf numFmtId="49" fontId="3" fillId="0" borderId="14" xfId="5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54" applyFont="1">
      <alignment/>
      <protection/>
    </xf>
    <xf numFmtId="0" fontId="26" fillId="0" borderId="0" xfId="54" applyFont="1">
      <alignment/>
      <protection/>
    </xf>
    <xf numFmtId="0" fontId="3" fillId="0" borderId="0" xfId="54" applyFont="1">
      <alignment/>
      <protection/>
    </xf>
    <xf numFmtId="0" fontId="14" fillId="0" borderId="0" xfId="54" applyFont="1" applyAlignment="1">
      <alignment/>
      <protection/>
    </xf>
    <xf numFmtId="0" fontId="9" fillId="0" borderId="0" xfId="0" applyFont="1" applyAlignment="1">
      <alignment vertical="center"/>
    </xf>
    <xf numFmtId="0" fontId="14" fillId="0" borderId="18" xfId="54" applyFont="1" applyBorder="1" applyAlignment="1">
      <alignment vertical="center"/>
      <protection/>
    </xf>
    <xf numFmtId="0" fontId="11" fillId="0" borderId="10" xfId="54" applyFont="1" applyBorder="1" applyAlignment="1">
      <alignment vertical="center"/>
      <protection/>
    </xf>
    <xf numFmtId="0" fontId="9" fillId="0" borderId="11" xfId="54" applyFont="1" applyBorder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7" fillId="0" borderId="19" xfId="54" applyFont="1" applyBorder="1" applyAlignment="1">
      <alignment vertical="center" wrapText="1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4" fontId="3" fillId="0" borderId="0" xfId="54" applyNumberFormat="1" applyFont="1" applyAlignment="1">
      <alignment vertical="center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35" fillId="0" borderId="11" xfId="54" applyFont="1" applyBorder="1" applyAlignment="1">
      <alignment vertical="center" wrapText="1"/>
      <protection/>
    </xf>
    <xf numFmtId="0" fontId="35" fillId="0" borderId="12" xfId="54" applyFont="1" applyBorder="1" applyAlignment="1">
      <alignment horizontal="left" vertical="center" wrapText="1"/>
      <protection/>
    </xf>
    <xf numFmtId="0" fontId="28" fillId="0" borderId="0" xfId="54" applyFont="1" applyBorder="1" applyAlignment="1">
      <alignment vertical="center" wrapText="1"/>
      <protection/>
    </xf>
    <xf numFmtId="4" fontId="11" fillId="0" borderId="0" xfId="54" applyNumberFormat="1" applyFont="1" applyBorder="1" applyAlignment="1">
      <alignment vertical="center" wrapText="1"/>
      <protection/>
    </xf>
    <xf numFmtId="4" fontId="11" fillId="0" borderId="0" xfId="54" applyNumberFormat="1" applyFont="1" applyAlignment="1">
      <alignment vertical="center"/>
      <protection/>
    </xf>
    <xf numFmtId="4" fontId="2" fillId="0" borderId="0" xfId="54" applyNumberFormat="1" applyFont="1" applyAlignment="1">
      <alignment vertical="center"/>
      <protection/>
    </xf>
    <xf numFmtId="4" fontId="9" fillId="0" borderId="0" xfId="54" applyNumberFormat="1" applyFont="1">
      <alignment/>
      <protection/>
    </xf>
    <xf numFmtId="0" fontId="32" fillId="0" borderId="0" xfId="0" applyFont="1" applyAlignment="1">
      <alignment/>
    </xf>
    <xf numFmtId="0" fontId="11" fillId="0" borderId="12" xfId="54" applyFont="1" applyFill="1" applyBorder="1" applyAlignment="1">
      <alignment vertical="center" wrapText="1"/>
      <protection/>
    </xf>
    <xf numFmtId="4" fontId="11" fillId="0" borderId="13" xfId="54" applyNumberFormat="1" applyFont="1" applyFill="1" applyBorder="1" applyAlignment="1">
      <alignment vertical="center"/>
      <protection/>
    </xf>
    <xf numFmtId="4" fontId="36" fillId="0" borderId="0" xfId="54" applyNumberFormat="1" applyFont="1" applyFill="1" applyBorder="1" applyAlignment="1">
      <alignment vertical="center"/>
      <protection/>
    </xf>
    <xf numFmtId="4" fontId="11" fillId="0" borderId="0" xfId="54" applyNumberFormat="1" applyFont="1" applyFill="1" applyBorder="1" applyAlignment="1">
      <alignment vertical="center"/>
      <protection/>
    </xf>
    <xf numFmtId="4" fontId="32" fillId="0" borderId="0" xfId="54" applyNumberFormat="1" applyFont="1">
      <alignment/>
      <protection/>
    </xf>
    <xf numFmtId="0" fontId="32" fillId="0" borderId="0" xfId="54" applyFont="1">
      <alignment/>
      <protection/>
    </xf>
    <xf numFmtId="0" fontId="13" fillId="0" borderId="13" xfId="54" applyFont="1" applyBorder="1" applyAlignment="1">
      <alignment vertical="center" wrapText="1"/>
      <protection/>
    </xf>
    <xf numFmtId="4" fontId="4" fillId="0" borderId="13" xfId="54" applyNumberFormat="1" applyFont="1" applyBorder="1" applyAlignment="1">
      <alignment vertical="center"/>
      <protection/>
    </xf>
    <xf numFmtId="4" fontId="73" fillId="0" borderId="0" xfId="54" applyNumberFormat="1" applyFont="1" applyBorder="1" applyAlignment="1">
      <alignment vertical="center"/>
      <protection/>
    </xf>
    <xf numFmtId="4" fontId="29" fillId="0" borderId="0" xfId="54" applyNumberFormat="1" applyFont="1" applyBorder="1" applyAlignment="1">
      <alignment vertical="center"/>
      <protection/>
    </xf>
    <xf numFmtId="4" fontId="32" fillId="0" borderId="0" xfId="54" applyNumberFormat="1" applyFont="1" applyAlignment="1">
      <alignment vertical="center"/>
      <protection/>
    </xf>
    <xf numFmtId="0" fontId="3" fillId="0" borderId="13" xfId="54" applyFont="1" applyBorder="1" applyAlignment="1">
      <alignment vertical="center" wrapText="1"/>
      <protection/>
    </xf>
    <xf numFmtId="4" fontId="2" fillId="0" borderId="13" xfId="54" applyNumberFormat="1" applyFont="1" applyFill="1" applyBorder="1" applyAlignment="1">
      <alignment vertical="center"/>
      <protection/>
    </xf>
    <xf numFmtId="4" fontId="2" fillId="0" borderId="12" xfId="54" applyNumberFormat="1" applyFont="1" applyBorder="1" applyAlignment="1">
      <alignment vertical="center"/>
      <protection/>
    </xf>
    <xf numFmtId="2" fontId="3" fillId="0" borderId="0" xfId="54" applyNumberFormat="1" applyFont="1" applyBorder="1" applyAlignment="1">
      <alignment vertical="center"/>
      <protection/>
    </xf>
    <xf numFmtId="3" fontId="41" fillId="0" borderId="0" xfId="54" applyNumberFormat="1" applyFont="1" applyAlignment="1">
      <alignment vertical="center"/>
      <protection/>
    </xf>
    <xf numFmtId="4" fontId="26" fillId="0" borderId="0" xfId="54" applyNumberFormat="1" applyFont="1" applyAlignment="1">
      <alignment vertical="center"/>
      <protection/>
    </xf>
    <xf numFmtId="4" fontId="9" fillId="0" borderId="0" xfId="54" applyNumberFormat="1" applyFont="1" applyAlignment="1">
      <alignment vertical="center"/>
      <protection/>
    </xf>
    <xf numFmtId="0" fontId="3" fillId="0" borderId="13" xfId="54" applyFont="1" applyFill="1" applyBorder="1" applyAlignment="1">
      <alignment vertical="center" wrapText="1"/>
      <protection/>
    </xf>
    <xf numFmtId="4" fontId="2" fillId="0" borderId="12" xfId="54" applyNumberFormat="1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4" fontId="2" fillId="0" borderId="0" xfId="54" applyNumberFormat="1" applyFont="1" applyFill="1" applyBorder="1" applyAlignment="1">
      <alignment vertical="center"/>
      <protection/>
    </xf>
    <xf numFmtId="0" fontId="26" fillId="0" borderId="0" xfId="54" applyFont="1" applyAlignment="1">
      <alignment vertical="center" wrapText="1"/>
      <protection/>
    </xf>
    <xf numFmtId="3" fontId="32" fillId="0" borderId="0" xfId="54" applyNumberFormat="1" applyFont="1" applyAlignment="1">
      <alignment vertical="center"/>
      <protection/>
    </xf>
    <xf numFmtId="4" fontId="29" fillId="0" borderId="0" xfId="54" applyNumberFormat="1" applyFont="1" applyAlignment="1">
      <alignment vertical="center"/>
      <protection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12" xfId="54" applyNumberFormat="1" applyFont="1" applyBorder="1" applyAlignment="1">
      <alignment vertical="center"/>
      <protection/>
    </xf>
    <xf numFmtId="0" fontId="11" fillId="0" borderId="22" xfId="54" applyFont="1" applyBorder="1" applyAlignment="1">
      <alignment vertical="center"/>
      <protection/>
    </xf>
    <xf numFmtId="0" fontId="35" fillId="0" borderId="12" xfId="54" applyFont="1" applyFill="1" applyBorder="1" applyAlignment="1">
      <alignment vertical="center" wrapText="1"/>
      <protection/>
    </xf>
    <xf numFmtId="0" fontId="5" fillId="0" borderId="23" xfId="52" applyFont="1" applyFill="1" applyBorder="1" applyAlignment="1">
      <alignment horizontal="center" vertical="center"/>
      <protection/>
    </xf>
    <xf numFmtId="4" fontId="3" fillId="0" borderId="23" xfId="52" applyNumberFormat="1" applyFont="1" applyFill="1" applyBorder="1" applyAlignment="1">
      <alignment horizontal="right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" fontId="74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Fill="1" applyAlignment="1">
      <alignment vertical="center"/>
    </xf>
    <xf numFmtId="0" fontId="3" fillId="0" borderId="20" xfId="52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4" fontId="3" fillId="0" borderId="20" xfId="52" applyNumberFormat="1" applyFont="1" applyFill="1" applyBorder="1" applyAlignment="1">
      <alignment horizontal="right" vertical="center"/>
      <protection/>
    </xf>
    <xf numFmtId="4" fontId="3" fillId="0" borderId="0" xfId="0" applyNumberFormat="1" applyFont="1" applyFill="1" applyAlignment="1">
      <alignment vertical="center"/>
    </xf>
    <xf numFmtId="4" fontId="32" fillId="36" borderId="13" xfId="0" applyNumberFormat="1" applyFont="1" applyFill="1" applyBorder="1" applyAlignment="1">
      <alignment vertical="center"/>
    </xf>
    <xf numFmtId="0" fontId="76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34" borderId="23" xfId="52" applyFont="1" applyFill="1" applyBorder="1" applyAlignment="1">
      <alignment horizontal="center" vertical="center"/>
      <protection/>
    </xf>
    <xf numFmtId="0" fontId="3" fillId="34" borderId="18" xfId="52" applyFont="1" applyFill="1" applyBorder="1" applyAlignment="1">
      <alignment horizontal="center" vertical="center"/>
      <protection/>
    </xf>
    <xf numFmtId="4" fontId="3" fillId="34" borderId="11" xfId="52" applyNumberFormat="1" applyFont="1" applyFill="1" applyBorder="1" applyAlignment="1">
      <alignment horizontal="right" vertical="center"/>
      <protection/>
    </xf>
    <xf numFmtId="4" fontId="5" fillId="34" borderId="11" xfId="52" applyNumberFormat="1" applyFont="1" applyFill="1" applyBorder="1" applyAlignment="1">
      <alignment horizontal="right" vertical="center"/>
      <protection/>
    </xf>
    <xf numFmtId="0" fontId="5" fillId="34" borderId="18" xfId="52" applyFont="1" applyFill="1" applyBorder="1" applyAlignment="1">
      <alignment horizontal="center" vertical="center"/>
      <protection/>
    </xf>
    <xf numFmtId="0" fontId="5" fillId="34" borderId="12" xfId="52" applyFont="1" applyFill="1" applyBorder="1" applyAlignment="1">
      <alignment horizontal="center" vertical="center"/>
      <protection/>
    </xf>
    <xf numFmtId="0" fontId="32" fillId="35" borderId="22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 wrapText="1"/>
    </xf>
    <xf numFmtId="4" fontId="32" fillId="35" borderId="10" xfId="0" applyNumberFormat="1" applyFont="1" applyFill="1" applyBorder="1" applyAlignment="1">
      <alignment vertical="center"/>
    </xf>
    <xf numFmtId="4" fontId="32" fillId="35" borderId="13" xfId="0" applyNumberFormat="1" applyFont="1" applyFill="1" applyBorder="1" applyAlignment="1">
      <alignment vertical="center"/>
    </xf>
    <xf numFmtId="0" fontId="32" fillId="35" borderId="10" xfId="52" applyFont="1" applyFill="1" applyBorder="1" applyAlignment="1">
      <alignment vertical="center" wrapText="1"/>
      <protection/>
    </xf>
    <xf numFmtId="4" fontId="32" fillId="35" borderId="10" xfId="52" applyNumberFormat="1" applyFont="1" applyFill="1" applyBorder="1" applyAlignment="1">
      <alignment vertical="center"/>
      <protection/>
    </xf>
    <xf numFmtId="4" fontId="32" fillId="35" borderId="13" xfId="52" applyNumberFormat="1" applyFont="1" applyFill="1" applyBorder="1" applyAlignment="1">
      <alignment vertical="center"/>
      <protection/>
    </xf>
    <xf numFmtId="4" fontId="15" fillId="0" borderId="0" xfId="57" applyNumberFormat="1" applyFont="1" applyFill="1" applyAlignment="1">
      <alignment horizontal="right"/>
      <protection/>
    </xf>
    <xf numFmtId="4" fontId="32" fillId="35" borderId="10" xfId="0" applyNumberFormat="1" applyFont="1" applyFill="1" applyBorder="1" applyAlignment="1">
      <alignment vertical="center" wrapText="1"/>
    </xf>
    <xf numFmtId="4" fontId="32" fillId="0" borderId="20" xfId="0" applyNumberFormat="1" applyFont="1" applyFill="1" applyBorder="1" applyAlignment="1">
      <alignment vertical="center" wrapText="1"/>
    </xf>
    <xf numFmtId="0" fontId="32" fillId="35" borderId="13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vertical="center" wrapText="1"/>
    </xf>
    <xf numFmtId="4" fontId="32" fillId="35" borderId="13" xfId="0" applyNumberFormat="1" applyFont="1" applyFill="1" applyBorder="1" applyAlignment="1">
      <alignment vertical="center" wrapText="1"/>
    </xf>
    <xf numFmtId="4" fontId="32" fillId="35" borderId="13" xfId="0" applyNumberFormat="1" applyFont="1" applyFill="1" applyBorder="1" applyAlignment="1">
      <alignment vertical="center" wrapText="1"/>
    </xf>
    <xf numFmtId="49" fontId="13" fillId="0" borderId="0" xfId="52" applyNumberFormat="1" applyFont="1" applyFill="1">
      <alignment/>
      <protection/>
    </xf>
    <xf numFmtId="49" fontId="39" fillId="0" borderId="0" xfId="57" applyNumberFormat="1" applyFont="1" applyFill="1" applyBorder="1" applyAlignment="1">
      <alignment horizontal="center"/>
      <protection/>
    </xf>
    <xf numFmtId="4" fontId="39" fillId="0" borderId="0" xfId="57" applyNumberFormat="1" applyFont="1" applyFill="1" applyAlignment="1">
      <alignment horizontal="right"/>
      <protection/>
    </xf>
    <xf numFmtId="0" fontId="30" fillId="0" borderId="0" xfId="52" applyFont="1" applyFill="1">
      <alignment/>
      <protection/>
    </xf>
    <xf numFmtId="4" fontId="13" fillId="0" borderId="0" xfId="52" applyNumberFormat="1" applyFont="1" applyFill="1" applyBorder="1" applyAlignment="1">
      <alignment vertical="center"/>
      <protection/>
    </xf>
    <xf numFmtId="4" fontId="30" fillId="0" borderId="0" xfId="0" applyNumberFormat="1" applyFont="1" applyFill="1" applyAlignment="1">
      <alignment vertical="center"/>
    </xf>
    <xf numFmtId="49" fontId="16" fillId="0" borderId="0" xfId="53" applyNumberFormat="1" applyFont="1" applyFill="1">
      <alignment/>
      <protection/>
    </xf>
    <xf numFmtId="4" fontId="3" fillId="35" borderId="19" xfId="53" applyNumberFormat="1" applyFont="1" applyFill="1" applyBorder="1" applyAlignment="1">
      <alignment horizontal="center" vertical="center" wrapText="1"/>
      <protection/>
    </xf>
    <xf numFmtId="4" fontId="3" fillId="35" borderId="20" xfId="53" applyNumberFormat="1" applyFont="1" applyFill="1" applyBorder="1" applyAlignment="1">
      <alignment horizontal="center" vertical="center" wrapText="1"/>
      <protection/>
    </xf>
    <xf numFmtId="4" fontId="3" fillId="35" borderId="12" xfId="53" applyNumberFormat="1" applyFont="1" applyFill="1" applyBorder="1" applyAlignment="1">
      <alignment horizontal="right" vertical="center" wrapText="1"/>
      <protection/>
    </xf>
    <xf numFmtId="0" fontId="32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 wrapText="1"/>
    </xf>
    <xf numFmtId="0" fontId="15" fillId="0" borderId="0" xfId="57" applyFont="1" applyFill="1">
      <alignment/>
      <protection/>
    </xf>
    <xf numFmtId="49" fontId="15" fillId="0" borderId="0" xfId="57" applyNumberFormat="1" applyFont="1" applyFill="1" applyAlignment="1">
      <alignment horizontal="center"/>
      <protection/>
    </xf>
    <xf numFmtId="0" fontId="1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52" applyNumberFormat="1" applyFont="1" applyFill="1" applyAlignment="1">
      <alignment vertical="center"/>
      <protection/>
    </xf>
    <xf numFmtId="4" fontId="15" fillId="0" borderId="0" xfId="52" applyNumberFormat="1" applyFont="1" applyFill="1">
      <alignment/>
      <protection/>
    </xf>
    <xf numFmtId="4" fontId="14" fillId="0" borderId="0" xfId="52" applyNumberFormat="1" applyFont="1" applyFill="1">
      <alignment/>
      <protection/>
    </xf>
    <xf numFmtId="4" fontId="11" fillId="0" borderId="0" xfId="0" applyNumberFormat="1" applyFont="1" applyFill="1" applyAlignment="1">
      <alignment/>
    </xf>
    <xf numFmtId="49" fontId="31" fillId="0" borderId="0" xfId="52" applyNumberFormat="1" applyFont="1" applyFill="1" applyBorder="1" applyAlignment="1">
      <alignment horizontal="left" vertical="center"/>
      <protection/>
    </xf>
    <xf numFmtId="49" fontId="16" fillId="0" borderId="0" xfId="57" applyNumberFormat="1" applyFont="1" applyFill="1" applyBorder="1" applyAlignment="1">
      <alignment horizontal="center"/>
      <protection/>
    </xf>
    <xf numFmtId="4" fontId="27" fillId="0" borderId="0" xfId="0" applyNumberFormat="1" applyFont="1" applyFill="1" applyAlignment="1">
      <alignment vertical="center"/>
    </xf>
    <xf numFmtId="49" fontId="13" fillId="0" borderId="0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4" fontId="5" fillId="0" borderId="23" xfId="52" applyNumberFormat="1" applyFont="1" applyFill="1" applyBorder="1" applyAlignment="1">
      <alignment horizontal="right" vertical="center"/>
      <protection/>
    </xf>
    <xf numFmtId="0" fontId="31" fillId="0" borderId="0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49" fontId="31" fillId="0" borderId="0" xfId="53" applyNumberFormat="1" applyFont="1" applyFill="1">
      <alignment/>
      <protection/>
    </xf>
    <xf numFmtId="0" fontId="32" fillId="35" borderId="11" xfId="0" applyFont="1" applyFill="1" applyBorder="1" applyAlignment="1">
      <alignment horizontal="center" vertical="center"/>
    </xf>
    <xf numFmtId="0" fontId="5" fillId="0" borderId="21" xfId="52" applyFont="1" applyFill="1" applyBorder="1" applyAlignment="1">
      <alignment horizontal="center" vertical="center"/>
      <protection/>
    </xf>
    <xf numFmtId="0" fontId="32" fillId="35" borderId="17" xfId="0" applyFont="1" applyFill="1" applyBorder="1" applyAlignment="1">
      <alignment horizontal="center" vertical="center"/>
    </xf>
    <xf numFmtId="0" fontId="32" fillId="35" borderId="13" xfId="52" applyFont="1" applyFill="1" applyBorder="1" applyAlignment="1">
      <alignment vertical="center" wrapText="1"/>
      <protection/>
    </xf>
    <xf numFmtId="4" fontId="32" fillId="35" borderId="13" xfId="52" applyNumberFormat="1" applyFont="1" applyFill="1" applyBorder="1" applyAlignment="1">
      <alignment vertical="center" wrapText="1"/>
      <protection/>
    </xf>
    <xf numFmtId="0" fontId="32" fillId="35" borderId="13" xfId="0" applyFont="1" applyFill="1" applyBorder="1" applyAlignment="1">
      <alignment vertical="center" wrapText="1"/>
    </xf>
    <xf numFmtId="0" fontId="27" fillId="34" borderId="21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2" fillId="35" borderId="22" xfId="0" applyFont="1" applyFill="1" applyBorder="1" applyAlignment="1">
      <alignment vertical="center"/>
    </xf>
    <xf numFmtId="0" fontId="12" fillId="35" borderId="13" xfId="0" applyFont="1" applyFill="1" applyBorder="1" applyAlignment="1">
      <alignment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11" xfId="52" applyFont="1" applyFill="1" applyBorder="1" applyAlignment="1">
      <alignment vertical="center" wrapText="1"/>
      <protection/>
    </xf>
    <xf numFmtId="4" fontId="35" fillId="35" borderId="10" xfId="52" applyNumberFormat="1" applyFont="1" applyFill="1" applyBorder="1" applyAlignment="1">
      <alignment vertical="center"/>
      <protection/>
    </xf>
    <xf numFmtId="4" fontId="35" fillId="35" borderId="13" xfId="52" applyNumberFormat="1" applyFont="1" applyFill="1" applyBorder="1" applyAlignment="1">
      <alignment vertical="center"/>
      <protection/>
    </xf>
    <xf numFmtId="4" fontId="64" fillId="36" borderId="0" xfId="0" applyNumberFormat="1" applyFont="1" applyFill="1" applyAlignment="1">
      <alignment/>
    </xf>
    <xf numFmtId="0" fontId="32" fillId="35" borderId="11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left" vertical="center" wrapText="1"/>
    </xf>
    <xf numFmtId="0" fontId="32" fillId="35" borderId="2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2" fillId="35" borderId="12" xfId="54" applyNumberFormat="1" applyFont="1" applyFill="1" applyBorder="1" applyAlignment="1">
      <alignment vertical="center"/>
      <protection/>
    </xf>
    <xf numFmtId="0" fontId="9" fillId="0" borderId="19" xfId="0" applyFont="1" applyFill="1" applyBorder="1" applyAlignment="1">
      <alignment horizontal="center" vertical="center"/>
    </xf>
    <xf numFmtId="0" fontId="32" fillId="35" borderId="24" xfId="0" applyFont="1" applyFill="1" applyBorder="1" applyAlignment="1">
      <alignment horizontal="left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8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8" fillId="0" borderId="22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81" fillId="0" borderId="1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82" fillId="0" borderId="13" xfId="0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4" fontId="26" fillId="0" borderId="0" xfId="0" applyNumberFormat="1" applyFont="1" applyFill="1" applyAlignment="1">
      <alignment/>
    </xf>
    <xf numFmtId="0" fontId="83" fillId="0" borderId="1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" fontId="32" fillId="0" borderId="19" xfId="0" applyNumberFormat="1" applyFont="1" applyFill="1" applyBorder="1" applyAlignment="1">
      <alignment vertical="center"/>
    </xf>
    <xf numFmtId="4" fontId="84" fillId="0" borderId="15" xfId="0" applyNumberFormat="1" applyFont="1" applyFill="1" applyBorder="1" applyAlignment="1">
      <alignment vertical="center" wrapText="1"/>
    </xf>
    <xf numFmtId="4" fontId="32" fillId="0" borderId="21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81" fillId="0" borderId="15" xfId="0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4" fontId="32" fillId="0" borderId="12" xfId="0" applyNumberFormat="1" applyFont="1" applyFill="1" applyBorder="1" applyAlignment="1">
      <alignment vertical="center"/>
    </xf>
    <xf numFmtId="4" fontId="84" fillId="0" borderId="16" xfId="0" applyNumberFormat="1" applyFont="1" applyFill="1" applyBorder="1" applyAlignment="1">
      <alignment vertical="center" wrapText="1"/>
    </xf>
    <xf numFmtId="4" fontId="32" fillId="0" borderId="20" xfId="0" applyNumberFormat="1" applyFont="1" applyFill="1" applyBorder="1" applyAlignment="1">
      <alignment vertical="center"/>
    </xf>
    <xf numFmtId="4" fontId="32" fillId="35" borderId="15" xfId="0" applyNumberFormat="1" applyFont="1" applyFill="1" applyBorder="1" applyAlignment="1">
      <alignment vertical="center"/>
    </xf>
    <xf numFmtId="4" fontId="32" fillId="35" borderId="16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81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right"/>
    </xf>
    <xf numFmtId="0" fontId="9" fillId="0" borderId="14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/>
    </xf>
    <xf numFmtId="4" fontId="35" fillId="0" borderId="13" xfId="0" applyNumberFormat="1" applyFont="1" applyFill="1" applyBorder="1" applyAlignment="1">
      <alignment horizontal="right" vertical="center"/>
    </xf>
    <xf numFmtId="4" fontId="33" fillId="0" borderId="18" xfId="0" applyNumberFormat="1" applyFont="1" applyFill="1" applyBorder="1" applyAlignment="1">
      <alignment horizontal="right" vertical="center"/>
    </xf>
    <xf numFmtId="4" fontId="33" fillId="0" borderId="19" xfId="0" applyNumberFormat="1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>
      <alignment horizontal="right" vertical="center"/>
    </xf>
    <xf numFmtId="4" fontId="12" fillId="35" borderId="19" xfId="0" applyNumberFormat="1" applyFont="1" applyFill="1" applyBorder="1" applyAlignment="1">
      <alignment vertical="center"/>
    </xf>
    <xf numFmtId="4" fontId="33" fillId="35" borderId="19" xfId="0" applyNumberFormat="1" applyFont="1" applyFill="1" applyBorder="1" applyAlignment="1">
      <alignment vertical="center"/>
    </xf>
    <xf numFmtId="4" fontId="12" fillId="35" borderId="15" xfId="0" applyNumberFormat="1" applyFont="1" applyFill="1" applyBorder="1" applyAlignment="1">
      <alignment vertical="center"/>
    </xf>
    <xf numFmtId="4" fontId="30" fillId="35" borderId="15" xfId="0" applyNumberFormat="1" applyFont="1" applyFill="1" applyBorder="1" applyAlignment="1">
      <alignment vertical="center" wrapText="1"/>
    </xf>
    <xf numFmtId="4" fontId="12" fillId="35" borderId="21" xfId="0" applyNumberFormat="1" applyFont="1" applyFill="1" applyBorder="1" applyAlignment="1">
      <alignment vertical="center"/>
    </xf>
    <xf numFmtId="0" fontId="61" fillId="0" borderId="0" xfId="52" applyFont="1" applyFill="1" applyAlignment="1">
      <alignment horizontal="left"/>
      <protection/>
    </xf>
    <xf numFmtId="0" fontId="61" fillId="0" borderId="0" xfId="59" applyFont="1" applyFill="1" applyAlignment="1">
      <alignment horizontal="left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1" fontId="25" fillId="0" borderId="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0" fontId="32" fillId="35" borderId="10" xfId="0" applyFont="1" applyFill="1" applyBorder="1" applyAlignment="1">
      <alignment wrapText="1"/>
    </xf>
    <xf numFmtId="4" fontId="65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4" fontId="64" fillId="37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67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42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21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8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71" fillId="0" borderId="0" xfId="52" applyNumberFormat="1" applyFont="1" applyFill="1" applyBorder="1">
      <alignment/>
      <protection/>
    </xf>
    <xf numFmtId="4" fontId="85" fillId="0" borderId="0" xfId="52" applyNumberFormat="1" applyFont="1" applyFill="1" applyBorder="1">
      <alignment/>
      <protection/>
    </xf>
    <xf numFmtId="4" fontId="29" fillId="0" borderId="0" xfId="52" applyNumberFormat="1" applyFont="1" applyFill="1" applyBorder="1">
      <alignment/>
      <protection/>
    </xf>
    <xf numFmtId="4" fontId="86" fillId="0" borderId="0" xfId="52" applyNumberFormat="1" applyFont="1" applyFill="1" applyBorder="1">
      <alignment/>
      <protection/>
    </xf>
    <xf numFmtId="4" fontId="50" fillId="0" borderId="0" xfId="52" applyNumberFormat="1" applyFont="1" applyFill="1" applyBorder="1">
      <alignment/>
      <protection/>
    </xf>
    <xf numFmtId="4" fontId="49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51" fillId="0" borderId="0" xfId="52" applyNumberFormat="1" applyFont="1" applyFill="1" applyBorder="1">
      <alignment/>
      <protection/>
    </xf>
    <xf numFmtId="4" fontId="52" fillId="0" borderId="0" xfId="52" applyNumberFormat="1" applyFont="1" applyFill="1" applyBorder="1">
      <alignment/>
      <protection/>
    </xf>
    <xf numFmtId="0" fontId="5" fillId="0" borderId="0" xfId="52" applyFont="1" applyFill="1" applyBorder="1">
      <alignment/>
      <protection/>
    </xf>
    <xf numFmtId="0" fontId="5" fillId="0" borderId="0" xfId="0" applyFont="1" applyFill="1" applyBorder="1" applyAlignment="1">
      <alignment/>
    </xf>
    <xf numFmtId="4" fontId="3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4" fillId="0" borderId="0" xfId="52" applyNumberFormat="1" applyFont="1" applyFill="1" applyBorder="1">
      <alignment/>
      <protection/>
    </xf>
    <xf numFmtId="4" fontId="69" fillId="0" borderId="0" xfId="52" applyNumberFormat="1" applyFont="1" applyFill="1" applyBorder="1">
      <alignment/>
      <protection/>
    </xf>
    <xf numFmtId="4" fontId="2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22" fillId="0" borderId="0" xfId="52" applyNumberFormat="1" applyFont="1" applyFill="1" applyBorder="1" applyAlignment="1">
      <alignment vertical="center"/>
      <protection/>
    </xf>
    <xf numFmtId="4" fontId="77" fillId="0" borderId="0" xfId="52" applyNumberFormat="1" applyFont="1" applyFill="1" applyBorder="1" applyAlignment="1">
      <alignment vertical="center"/>
      <protection/>
    </xf>
    <xf numFmtId="4" fontId="78" fillId="0" borderId="0" xfId="52" applyNumberFormat="1" applyFont="1" applyFill="1" applyBorder="1" applyAlignment="1">
      <alignment vertical="center"/>
      <protection/>
    </xf>
    <xf numFmtId="4" fontId="79" fillId="0" borderId="0" xfId="52" applyNumberFormat="1" applyFont="1" applyFill="1" applyBorder="1" applyAlignment="1">
      <alignment vertical="center"/>
      <protection/>
    </xf>
    <xf numFmtId="4" fontId="30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40" fillId="0" borderId="0" xfId="52" applyFont="1" applyFill="1" applyBorder="1">
      <alignment/>
      <protection/>
    </xf>
    <xf numFmtId="0" fontId="3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7" xfId="54"/>
    <cellStyle name="Normalny_tabela nr 8" xfId="55"/>
    <cellStyle name="Normalny_Uch.RMK luty" xfId="56"/>
    <cellStyle name="Normalny_Uch.RMK marzec" xfId="57"/>
    <cellStyle name="Normalny_Zał. nr 3A" xfId="58"/>
    <cellStyle name="Normalny_ZPMK lut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85"/>
  <sheetViews>
    <sheetView tabSelected="1" zoomScale="120" zoomScaleNormal="120" zoomScalePageLayoutView="0" workbookViewId="0" topLeftCell="A1">
      <pane xSplit="18735" topLeftCell="A1" activePane="topLeft" state="split"/>
      <selection pane="topLeft" activeCell="Z14" sqref="Z14"/>
      <selection pane="topRight" activeCell="A107" sqref="A107"/>
    </sheetView>
  </sheetViews>
  <sheetFormatPr defaultColWidth="9.140625" defaultRowHeight="19.5" customHeight="1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6" width="15.57421875" style="2" customWidth="1"/>
    <col min="7" max="7" width="15.7109375" style="2" customWidth="1"/>
    <col min="8" max="8" width="19.8515625" style="24" customWidth="1"/>
    <col min="9" max="9" width="28.00390625" style="933" customWidth="1"/>
    <col min="10" max="10" width="22.28125" style="934" customWidth="1"/>
    <col min="11" max="12" width="20.8515625" style="933" customWidth="1"/>
    <col min="13" max="13" width="22.421875" style="933" customWidth="1"/>
    <col min="14" max="14" width="24.28125" style="632" customWidth="1"/>
    <col min="15" max="15" width="9.140625" style="632" customWidth="1"/>
    <col min="16" max="33" width="9.140625" style="531" customWidth="1"/>
    <col min="34" max="16384" width="9.140625" style="2" customWidth="1"/>
  </cols>
  <sheetData>
    <row r="1" ht="19.5" customHeight="1">
      <c r="G1" s="184" t="s">
        <v>177</v>
      </c>
    </row>
    <row r="2" spans="1:33" s="51" customFormat="1" ht="19.5" customHeight="1">
      <c r="A2" s="130" t="s">
        <v>92</v>
      </c>
      <c r="B2" s="131"/>
      <c r="C2" s="132"/>
      <c r="D2" s="5"/>
      <c r="E2" s="5"/>
      <c r="F2" s="5"/>
      <c r="G2" s="376"/>
      <c r="H2" s="271" t="s">
        <v>178</v>
      </c>
      <c r="I2" s="935"/>
      <c r="J2" s="936"/>
      <c r="K2" s="937"/>
      <c r="L2" s="935"/>
      <c r="M2" s="935"/>
      <c r="N2" s="935"/>
      <c r="O2" s="938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s="51" customFormat="1" ht="19.5" customHeight="1">
      <c r="A3" s="130" t="s">
        <v>369</v>
      </c>
      <c r="B3" s="131"/>
      <c r="C3" s="132"/>
      <c r="D3" s="5"/>
      <c r="E3" s="5"/>
      <c r="F3" s="5"/>
      <c r="G3" s="95"/>
      <c r="H3" s="394"/>
      <c r="I3" s="935"/>
      <c r="J3" s="936"/>
      <c r="K3" s="937"/>
      <c r="L3" s="935"/>
      <c r="M3" s="935"/>
      <c r="N3" s="935"/>
      <c r="O3" s="938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s="51" customFormat="1" ht="19.5" customHeight="1">
      <c r="A4" s="130" t="s">
        <v>93</v>
      </c>
      <c r="B4" s="131"/>
      <c r="C4" s="132"/>
      <c r="D4" s="5"/>
      <c r="E4" s="5"/>
      <c r="F4" s="5"/>
      <c r="G4" s="95"/>
      <c r="H4" s="97"/>
      <c r="I4" s="935"/>
      <c r="J4" s="936"/>
      <c r="K4" s="937"/>
      <c r="L4" s="935"/>
      <c r="M4" s="935"/>
      <c r="N4" s="935"/>
      <c r="O4" s="938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s="51" customFormat="1" ht="19.5" customHeight="1">
      <c r="A5" s="94"/>
      <c r="B5" s="95"/>
      <c r="C5" s="96"/>
      <c r="D5" s="95"/>
      <c r="E5" s="95"/>
      <c r="F5" s="95"/>
      <c r="G5" s="95"/>
      <c r="H5" s="97"/>
      <c r="I5" s="935"/>
      <c r="J5" s="936"/>
      <c r="K5" s="937"/>
      <c r="L5" s="935"/>
      <c r="M5" s="935"/>
      <c r="N5" s="935"/>
      <c r="O5" s="938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14" ht="19.5" customHeight="1">
      <c r="A6" s="23"/>
      <c r="B6" s="5"/>
      <c r="C6" s="6"/>
      <c r="D6" s="5"/>
      <c r="E6" s="5"/>
      <c r="F6" s="5"/>
      <c r="G6" s="5"/>
      <c r="H6" s="7"/>
      <c r="I6" s="939"/>
      <c r="J6" s="940"/>
      <c r="K6" s="537"/>
      <c r="L6" s="939"/>
      <c r="M6" s="939"/>
      <c r="N6" s="939"/>
    </row>
    <row r="7" spans="1:14" ht="19.5" customHeight="1">
      <c r="A7" s="23" t="s">
        <v>528</v>
      </c>
      <c r="B7" s="5"/>
      <c r="C7" s="6"/>
      <c r="D7" s="5"/>
      <c r="E7" s="5"/>
      <c r="F7" s="5"/>
      <c r="G7" s="5"/>
      <c r="H7" s="7"/>
      <c r="I7" s="939"/>
      <c r="J7" s="940"/>
      <c r="K7" s="537"/>
      <c r="L7" s="939"/>
      <c r="M7" s="939"/>
      <c r="N7" s="939"/>
    </row>
    <row r="8" spans="1:14" ht="19.5" customHeight="1">
      <c r="A8" s="23"/>
      <c r="B8" s="5"/>
      <c r="C8" s="6"/>
      <c r="D8" s="5"/>
      <c r="E8" s="5"/>
      <c r="F8" s="5"/>
      <c r="G8" s="5"/>
      <c r="H8" s="7"/>
      <c r="I8" s="939"/>
      <c r="J8" s="940"/>
      <c r="K8" s="537"/>
      <c r="L8" s="939"/>
      <c r="M8" s="939"/>
      <c r="N8" s="939"/>
    </row>
    <row r="9" spans="1:14" ht="19.5" customHeight="1">
      <c r="A9" s="5"/>
      <c r="B9" s="5"/>
      <c r="C9" s="6"/>
      <c r="D9" s="5"/>
      <c r="E9" s="5"/>
      <c r="F9" s="5"/>
      <c r="G9" s="5"/>
      <c r="H9" s="7"/>
      <c r="I9" s="939"/>
      <c r="J9" s="940"/>
      <c r="K9" s="537"/>
      <c r="L9" s="939"/>
      <c r="M9" s="939"/>
      <c r="N9" s="939"/>
    </row>
    <row r="10" spans="1:14" ht="19.5" customHeight="1">
      <c r="A10" s="133" t="s">
        <v>370</v>
      </c>
      <c r="B10" s="131"/>
      <c r="C10" s="132"/>
      <c r="D10" s="5"/>
      <c r="E10" s="5"/>
      <c r="F10" s="5"/>
      <c r="G10" s="5"/>
      <c r="H10" s="7"/>
      <c r="I10" s="939"/>
      <c r="J10" s="940"/>
      <c r="K10" s="537"/>
      <c r="L10" s="939"/>
      <c r="M10" s="939"/>
      <c r="N10" s="939"/>
    </row>
    <row r="11" spans="1:14" ht="19.5" customHeight="1">
      <c r="A11" s="133" t="s">
        <v>519</v>
      </c>
      <c r="B11" s="131"/>
      <c r="C11" s="132"/>
      <c r="D11" s="5"/>
      <c r="E11" s="5"/>
      <c r="F11" s="5"/>
      <c r="G11" s="5"/>
      <c r="H11" s="7"/>
      <c r="I11" s="939"/>
      <c r="J11" s="940"/>
      <c r="K11" s="537"/>
      <c r="L11" s="939"/>
      <c r="M11" s="939"/>
      <c r="N11" s="939"/>
    </row>
    <row r="12" spans="1:14" ht="19.5" customHeight="1">
      <c r="A12" s="133" t="s">
        <v>520</v>
      </c>
      <c r="B12" s="131"/>
      <c r="C12" s="132"/>
      <c r="D12" s="5"/>
      <c r="E12" s="5"/>
      <c r="F12" s="5"/>
      <c r="G12" s="5"/>
      <c r="H12" s="7"/>
      <c r="I12" s="939"/>
      <c r="J12" s="940"/>
      <c r="K12" s="537"/>
      <c r="L12" s="939"/>
      <c r="M12" s="939"/>
      <c r="N12" s="939"/>
    </row>
    <row r="13" spans="1:14" ht="19.5" customHeight="1">
      <c r="A13" s="133"/>
      <c r="B13" s="131"/>
      <c r="C13" s="132"/>
      <c r="D13" s="5"/>
      <c r="E13" s="5"/>
      <c r="F13" s="5"/>
      <c r="G13" s="5"/>
      <c r="H13" s="7"/>
      <c r="I13" s="939"/>
      <c r="J13" s="940"/>
      <c r="K13" s="537"/>
      <c r="L13" s="939"/>
      <c r="M13" s="939"/>
      <c r="N13" s="939"/>
    </row>
    <row r="14" spans="1:14" ht="19.5" customHeight="1">
      <c r="A14" s="92"/>
      <c r="B14" s="32"/>
      <c r="C14" s="16"/>
      <c r="D14" s="16"/>
      <c r="E14" s="5"/>
      <c r="F14" s="5"/>
      <c r="G14" s="5"/>
      <c r="H14" s="7"/>
      <c r="I14" s="939"/>
      <c r="J14" s="940"/>
      <c r="K14" s="537"/>
      <c r="L14" s="939"/>
      <c r="M14" s="939"/>
      <c r="N14" s="939"/>
    </row>
    <row r="15" spans="1:33" s="28" customFormat="1" ht="19.5" customHeight="1">
      <c r="A15" s="8"/>
      <c r="B15" s="8"/>
      <c r="C15" s="31"/>
      <c r="D15" s="8"/>
      <c r="E15" s="31" t="s">
        <v>321</v>
      </c>
      <c r="F15" s="8"/>
      <c r="G15" s="8"/>
      <c r="H15" s="9"/>
      <c r="I15" s="941"/>
      <c r="J15" s="941"/>
      <c r="K15" s="942"/>
      <c r="L15" s="941"/>
      <c r="M15" s="941"/>
      <c r="N15" s="940"/>
      <c r="O15" s="943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4"/>
      <c r="AF15" s="944"/>
      <c r="AG15" s="944"/>
    </row>
    <row r="16" spans="1:33" s="28" customFormat="1" ht="19.5" customHeight="1">
      <c r="A16" s="8"/>
      <c r="B16" s="8"/>
      <c r="C16" s="31"/>
      <c r="D16" s="8"/>
      <c r="E16" s="31"/>
      <c r="F16" s="8"/>
      <c r="G16" s="8"/>
      <c r="H16" s="9"/>
      <c r="I16" s="941"/>
      <c r="J16" s="941"/>
      <c r="K16" s="942"/>
      <c r="L16" s="941"/>
      <c r="M16" s="941"/>
      <c r="N16" s="940"/>
      <c r="O16" s="943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4"/>
      <c r="AF16" s="944"/>
      <c r="AG16" s="944"/>
    </row>
    <row r="17" spans="1:14" ht="19.5" customHeight="1">
      <c r="A17" s="921" t="s">
        <v>429</v>
      </c>
      <c r="B17" s="119"/>
      <c r="C17" s="119"/>
      <c r="D17" s="119"/>
      <c r="E17" s="31"/>
      <c r="F17" s="5"/>
      <c r="G17" s="5"/>
      <c r="H17" s="7"/>
      <c r="I17" s="945"/>
      <c r="J17" s="941"/>
      <c r="K17" s="946"/>
      <c r="L17" s="946"/>
      <c r="M17" s="946"/>
      <c r="N17" s="939"/>
    </row>
    <row r="18" spans="1:14" ht="19.5" customHeight="1">
      <c r="A18" s="922" t="s">
        <v>21</v>
      </c>
      <c r="B18" s="119"/>
      <c r="C18" s="119"/>
      <c r="D18" s="119"/>
      <c r="E18" s="31"/>
      <c r="F18" s="5"/>
      <c r="G18" s="5"/>
      <c r="H18" s="7"/>
      <c r="I18" s="946"/>
      <c r="J18" s="941"/>
      <c r="K18" s="946"/>
      <c r="L18" s="946"/>
      <c r="M18" s="946"/>
      <c r="N18" s="939"/>
    </row>
    <row r="19" spans="1:10" ht="19.5" customHeight="1">
      <c r="A19" s="135" t="s">
        <v>539</v>
      </c>
      <c r="B19" s="8"/>
      <c r="C19" s="136"/>
      <c r="D19" s="8"/>
      <c r="E19" s="31"/>
      <c r="F19" s="8"/>
      <c r="H19" s="1"/>
      <c r="J19" s="947"/>
    </row>
    <row r="20" spans="1:10" ht="19.5" customHeight="1">
      <c r="A20" s="89" t="s">
        <v>276</v>
      </c>
      <c r="B20" s="838"/>
      <c r="C20" s="923"/>
      <c r="D20" s="924"/>
      <c r="E20" s="924"/>
      <c r="F20" s="8"/>
      <c r="H20" s="1"/>
      <c r="J20" s="947"/>
    </row>
    <row r="21" spans="1:10" ht="19.5" customHeight="1">
      <c r="A21" s="89" t="s">
        <v>277</v>
      </c>
      <c r="B21" s="925"/>
      <c r="C21" s="926"/>
      <c r="D21" s="924"/>
      <c r="E21" s="924"/>
      <c r="F21" s="8"/>
      <c r="H21" s="1"/>
      <c r="J21" s="947"/>
    </row>
    <row r="22" spans="1:10" ht="19.5" customHeight="1">
      <c r="A22" s="804" t="s">
        <v>278</v>
      </c>
      <c r="B22" s="838"/>
      <c r="C22" s="923"/>
      <c r="D22" s="924"/>
      <c r="E22" s="924"/>
      <c r="F22" s="8"/>
      <c r="H22" s="1"/>
      <c r="J22" s="947"/>
    </row>
    <row r="23" spans="1:10" ht="19.5" customHeight="1">
      <c r="A23" s="89" t="s">
        <v>198</v>
      </c>
      <c r="B23" s="838"/>
      <c r="C23" s="923"/>
      <c r="D23" s="924"/>
      <c r="E23" s="924"/>
      <c r="F23" s="8"/>
      <c r="H23" s="1"/>
      <c r="J23" s="947"/>
    </row>
    <row r="24" spans="1:10" ht="19.5" customHeight="1">
      <c r="A24" s="698" t="s">
        <v>279</v>
      </c>
      <c r="B24" s="8"/>
      <c r="C24" s="136"/>
      <c r="D24" s="8"/>
      <c r="E24" s="31"/>
      <c r="F24" s="8"/>
      <c r="H24" s="1"/>
      <c r="J24" s="947"/>
    </row>
    <row r="25" spans="1:10" ht="19.5" customHeight="1">
      <c r="A25" s="698"/>
      <c r="B25" s="8"/>
      <c r="C25" s="136"/>
      <c r="D25" s="8"/>
      <c r="E25" s="31"/>
      <c r="F25" s="8"/>
      <c r="H25" s="1"/>
      <c r="J25" s="947"/>
    </row>
    <row r="26" spans="9:14" ht="19.5" customHeight="1">
      <c r="I26" s="948"/>
      <c r="N26" s="948"/>
    </row>
    <row r="27" spans="1:14" ht="19.5" customHeight="1">
      <c r="A27" s="137" t="s">
        <v>371</v>
      </c>
      <c r="B27" s="134"/>
      <c r="C27" s="134"/>
      <c r="I27" s="949"/>
      <c r="J27" s="947"/>
      <c r="K27" s="948"/>
      <c r="L27" s="950"/>
      <c r="N27" s="951"/>
    </row>
    <row r="28" spans="1:11" ht="19.5" customHeight="1">
      <c r="A28" s="139"/>
      <c r="B28" s="140"/>
      <c r="C28" s="140"/>
      <c r="D28" s="26"/>
      <c r="E28" s="26"/>
      <c r="F28" s="141"/>
      <c r="H28" s="141"/>
      <c r="I28" s="952"/>
      <c r="K28" s="948"/>
    </row>
    <row r="29" spans="1:11" ht="19.5" customHeight="1">
      <c r="A29" s="139" t="s">
        <v>372</v>
      </c>
      <c r="B29" s="140"/>
      <c r="C29" s="140"/>
      <c r="D29" s="26"/>
      <c r="E29" s="26"/>
      <c r="F29" s="141"/>
      <c r="H29" s="141">
        <f>H33+H50</f>
        <v>403152671.4800001</v>
      </c>
      <c r="I29" s="952"/>
      <c r="K29" s="948"/>
    </row>
    <row r="30" spans="1:11" ht="19.5" customHeight="1">
      <c r="A30" s="139" t="s">
        <v>373</v>
      </c>
      <c r="B30" s="140"/>
      <c r="C30" s="140"/>
      <c r="D30" s="26"/>
      <c r="E30" s="26"/>
      <c r="F30" s="141"/>
      <c r="H30" s="141">
        <f>H34+H51</f>
        <v>404570888.87000006</v>
      </c>
      <c r="I30" s="953"/>
      <c r="K30" s="948"/>
    </row>
    <row r="31" spans="1:11" ht="19.5" customHeight="1">
      <c r="A31" s="142" t="s">
        <v>374</v>
      </c>
      <c r="B31" s="143"/>
      <c r="C31" s="143"/>
      <c r="D31" s="26"/>
      <c r="E31" s="26"/>
      <c r="F31" s="141"/>
      <c r="H31" s="141"/>
      <c r="I31" s="953"/>
      <c r="K31" s="948"/>
    </row>
    <row r="32" spans="1:11" ht="19.5" customHeight="1">
      <c r="A32" s="142"/>
      <c r="B32" s="143"/>
      <c r="C32" s="143"/>
      <c r="D32" s="26"/>
      <c r="E32" s="26"/>
      <c r="F32" s="141"/>
      <c r="H32" s="141"/>
      <c r="I32" s="953"/>
      <c r="K32" s="948"/>
    </row>
    <row r="33" spans="1:11" ht="19.5" customHeight="1">
      <c r="A33" s="139" t="s">
        <v>422</v>
      </c>
      <c r="B33" s="140"/>
      <c r="C33" s="140"/>
      <c r="D33" s="144"/>
      <c r="E33" s="26"/>
      <c r="F33" s="1"/>
      <c r="H33" s="141">
        <f>H36+H43</f>
        <v>289022123.43000007</v>
      </c>
      <c r="I33" s="953"/>
      <c r="K33" s="948"/>
    </row>
    <row r="34" spans="1:11" ht="19.5" customHeight="1">
      <c r="A34" s="139" t="s">
        <v>373</v>
      </c>
      <c r="B34" s="140"/>
      <c r="C34" s="140"/>
      <c r="D34" s="144"/>
      <c r="E34" s="26"/>
      <c r="F34" s="1"/>
      <c r="H34" s="141">
        <f>H33-D102+F102</f>
        <v>290666945.2800001</v>
      </c>
      <c r="I34" s="953"/>
      <c r="J34" s="954"/>
      <c r="K34" s="948"/>
    </row>
    <row r="35" spans="1:11" ht="19.5" customHeight="1">
      <c r="A35" s="142"/>
      <c r="B35" s="134" t="s">
        <v>375</v>
      </c>
      <c r="C35" s="143"/>
      <c r="D35" s="26"/>
      <c r="E35" s="26"/>
      <c r="F35" s="1"/>
      <c r="H35" s="141"/>
      <c r="I35" s="953"/>
      <c r="J35" s="954"/>
      <c r="K35" s="948"/>
    </row>
    <row r="36" spans="1:11" ht="19.5" customHeight="1">
      <c r="A36" s="145" t="s">
        <v>376</v>
      </c>
      <c r="B36" s="140"/>
      <c r="C36" s="140"/>
      <c r="D36" s="26"/>
      <c r="E36" s="26"/>
      <c r="F36" s="1"/>
      <c r="H36" s="141">
        <f>45895.48+273675519.23</f>
        <v>273721414.71000004</v>
      </c>
      <c r="I36" s="953"/>
      <c r="K36" s="948"/>
    </row>
    <row r="37" spans="1:11" ht="19.5" customHeight="1">
      <c r="A37" s="145" t="s">
        <v>373</v>
      </c>
      <c r="B37" s="140"/>
      <c r="C37" s="140"/>
      <c r="D37" s="26"/>
      <c r="E37" s="26"/>
      <c r="F37" s="1"/>
      <c r="H37" s="141">
        <f>H36-D102+D100+F102-F101-F88-F77</f>
        <v>274705731.6600001</v>
      </c>
      <c r="I37" s="953"/>
      <c r="K37" s="948"/>
    </row>
    <row r="38" spans="1:11" ht="19.5" customHeight="1">
      <c r="A38" s="145"/>
      <c r="B38" s="140" t="s">
        <v>319</v>
      </c>
      <c r="C38" s="140"/>
      <c r="D38" s="26"/>
      <c r="E38" s="26"/>
      <c r="F38" s="1"/>
      <c r="H38" s="141"/>
      <c r="I38" s="953"/>
      <c r="K38" s="948"/>
    </row>
    <row r="39" spans="1:11" ht="19.5" customHeight="1">
      <c r="A39" s="145"/>
      <c r="B39" s="260" t="s">
        <v>6</v>
      </c>
      <c r="C39" s="140"/>
      <c r="D39" s="26"/>
      <c r="E39" s="26"/>
      <c r="F39" s="1"/>
      <c r="H39" s="141"/>
      <c r="I39" s="953"/>
      <c r="K39" s="948"/>
    </row>
    <row r="40" spans="1:11" ht="19.5" customHeight="1">
      <c r="A40" s="145"/>
      <c r="B40" s="260" t="s">
        <v>7</v>
      </c>
      <c r="C40" s="143"/>
      <c r="D40" s="26"/>
      <c r="E40" s="26"/>
      <c r="F40" s="1"/>
      <c r="H40" s="1">
        <v>3858153.54</v>
      </c>
      <c r="I40" s="953"/>
      <c r="K40" s="948"/>
    </row>
    <row r="41" spans="1:11" ht="19.5" customHeight="1">
      <c r="A41" s="145"/>
      <c r="B41" s="260" t="s">
        <v>377</v>
      </c>
      <c r="C41" s="146"/>
      <c r="D41" s="260"/>
      <c r="E41" s="26"/>
      <c r="F41" s="1"/>
      <c r="H41" s="1">
        <f>H40-D94-D98-D99+F98+F99</f>
        <v>3394012.3200000003</v>
      </c>
      <c r="I41" s="953"/>
      <c r="K41" s="948"/>
    </row>
    <row r="42" spans="1:13" ht="19.5" customHeight="1">
      <c r="A42" s="145"/>
      <c r="B42" s="260"/>
      <c r="C42" s="146"/>
      <c r="D42" s="260"/>
      <c r="E42" s="26"/>
      <c r="F42" s="1"/>
      <c r="H42" s="1"/>
      <c r="I42" s="949"/>
      <c r="J42" s="955"/>
      <c r="K42" s="948"/>
      <c r="M42" s="950"/>
    </row>
    <row r="43" spans="1:13" ht="19.5" customHeight="1">
      <c r="A43" s="145" t="s">
        <v>551</v>
      </c>
      <c r="B43" s="140"/>
      <c r="C43" s="140"/>
      <c r="D43" s="26"/>
      <c r="E43" s="26"/>
      <c r="F43" s="1"/>
      <c r="H43" s="141">
        <v>15300708.72</v>
      </c>
      <c r="I43" s="949"/>
      <c r="J43" s="955"/>
      <c r="K43" s="948"/>
      <c r="M43" s="950"/>
    </row>
    <row r="44" spans="1:13" ht="19.5" customHeight="1">
      <c r="A44" s="145" t="s">
        <v>373</v>
      </c>
      <c r="B44" s="140"/>
      <c r="C44" s="140"/>
      <c r="D44" s="26"/>
      <c r="E44" s="26"/>
      <c r="F44" s="1"/>
      <c r="H44" s="141">
        <f>H43+F77+F88+F101-D100</f>
        <v>15961213.620000001</v>
      </c>
      <c r="I44" s="949"/>
      <c r="J44" s="955"/>
      <c r="K44" s="948"/>
      <c r="M44" s="950"/>
    </row>
    <row r="45" spans="1:13" ht="19.5" customHeight="1">
      <c r="A45" s="145"/>
      <c r="B45" s="146" t="s">
        <v>319</v>
      </c>
      <c r="C45" s="140"/>
      <c r="D45" s="26"/>
      <c r="E45" s="26"/>
      <c r="F45" s="1"/>
      <c r="H45" s="141"/>
      <c r="I45" s="949"/>
      <c r="J45" s="955"/>
      <c r="K45" s="948"/>
      <c r="M45" s="950"/>
    </row>
    <row r="46" spans="1:13" ht="19.5" customHeight="1">
      <c r="A46" s="145"/>
      <c r="B46" s="260" t="s">
        <v>6</v>
      </c>
      <c r="C46" s="140"/>
      <c r="D46" s="26"/>
      <c r="E46" s="26"/>
      <c r="F46" s="1"/>
      <c r="H46" s="141"/>
      <c r="I46" s="949"/>
      <c r="J46" s="955"/>
      <c r="K46" s="948"/>
      <c r="M46" s="950"/>
    </row>
    <row r="47" spans="1:13" ht="19.5" customHeight="1">
      <c r="A47" s="145"/>
      <c r="B47" s="260" t="s">
        <v>7</v>
      </c>
      <c r="C47" s="143"/>
      <c r="D47" s="26"/>
      <c r="E47" s="26"/>
      <c r="F47" s="1"/>
      <c r="H47" s="1">
        <v>8324635.72</v>
      </c>
      <c r="I47" s="949"/>
      <c r="J47" s="955"/>
      <c r="K47" s="948"/>
      <c r="M47" s="950"/>
    </row>
    <row r="48" spans="1:13" ht="19.5" customHeight="1">
      <c r="A48" s="145"/>
      <c r="B48" s="260" t="s">
        <v>377</v>
      </c>
      <c r="C48" s="146"/>
      <c r="D48" s="260"/>
      <c r="E48" s="26"/>
      <c r="F48" s="1"/>
      <c r="H48" s="1">
        <f>H47-D100+F101</f>
        <v>8853019.620000001</v>
      </c>
      <c r="I48" s="949"/>
      <c r="J48" s="955"/>
      <c r="K48" s="948"/>
      <c r="M48" s="950"/>
    </row>
    <row r="49" spans="1:13" ht="19.5" customHeight="1">
      <c r="A49" s="145"/>
      <c r="B49" s="260"/>
      <c r="C49" s="146"/>
      <c r="D49" s="260"/>
      <c r="E49" s="26"/>
      <c r="F49" s="1"/>
      <c r="H49" s="1"/>
      <c r="I49" s="949"/>
      <c r="J49" s="955"/>
      <c r="K49" s="948"/>
      <c r="M49" s="950"/>
    </row>
    <row r="50" spans="1:11" ht="19.5" customHeight="1">
      <c r="A50" s="139" t="s">
        <v>378</v>
      </c>
      <c r="B50" s="140"/>
      <c r="C50" s="140"/>
      <c r="D50" s="144"/>
      <c r="E50" s="152"/>
      <c r="F50" s="199"/>
      <c r="H50" s="141">
        <f>H53+H65</f>
        <v>114130548.05</v>
      </c>
      <c r="I50" s="949"/>
      <c r="K50" s="948"/>
    </row>
    <row r="51" spans="1:11" ht="19.5" customHeight="1">
      <c r="A51" s="139" t="s">
        <v>373</v>
      </c>
      <c r="B51" s="140"/>
      <c r="C51" s="140"/>
      <c r="D51" s="144"/>
      <c r="E51" s="152"/>
      <c r="F51" s="199"/>
      <c r="H51" s="141">
        <f>H50-D118+F118</f>
        <v>113903943.58999999</v>
      </c>
      <c r="I51" s="949"/>
      <c r="K51" s="948"/>
    </row>
    <row r="52" spans="1:11" ht="19.5" customHeight="1">
      <c r="A52" s="142"/>
      <c r="B52" s="134" t="s">
        <v>375</v>
      </c>
      <c r="C52" s="143"/>
      <c r="D52" s="26"/>
      <c r="E52" s="152"/>
      <c r="F52" s="199"/>
      <c r="H52" s="141"/>
      <c r="I52" s="949"/>
      <c r="K52" s="948"/>
    </row>
    <row r="53" spans="1:11" ht="19.5" customHeight="1">
      <c r="A53" s="145" t="s">
        <v>376</v>
      </c>
      <c r="B53" s="140"/>
      <c r="C53" s="140"/>
      <c r="D53" s="26"/>
      <c r="E53" s="152"/>
      <c r="F53" s="199"/>
      <c r="H53" s="141">
        <v>113730548.05</v>
      </c>
      <c r="I53" s="949"/>
      <c r="K53" s="948"/>
    </row>
    <row r="54" spans="1:11" ht="19.5" customHeight="1">
      <c r="A54" s="145" t="s">
        <v>373</v>
      </c>
      <c r="B54" s="140"/>
      <c r="C54" s="140"/>
      <c r="D54" s="26"/>
      <c r="E54" s="152"/>
      <c r="F54" s="199"/>
      <c r="H54" s="141">
        <f>H53-D118+F118-F114</f>
        <v>113488943.58999999</v>
      </c>
      <c r="I54" s="949"/>
      <c r="J54" s="956"/>
      <c r="K54" s="948"/>
    </row>
    <row r="55" spans="1:11" ht="19.5" customHeight="1">
      <c r="A55" s="145"/>
      <c r="B55" s="146" t="s">
        <v>319</v>
      </c>
      <c r="C55" s="140"/>
      <c r="D55" s="26"/>
      <c r="E55" s="26"/>
      <c r="F55" s="1"/>
      <c r="H55" s="1"/>
      <c r="I55" s="949"/>
      <c r="K55" s="948"/>
    </row>
    <row r="56" spans="1:11" ht="19.5" customHeight="1">
      <c r="A56" s="15"/>
      <c r="B56" s="828" t="s">
        <v>173</v>
      </c>
      <c r="C56" s="829"/>
      <c r="D56" s="18"/>
      <c r="E56" s="26"/>
      <c r="F56" s="1"/>
      <c r="H56" s="1"/>
      <c r="I56" s="949"/>
      <c r="K56" s="948"/>
    </row>
    <row r="57" spans="1:11" ht="19.5" customHeight="1">
      <c r="A57" s="15"/>
      <c r="B57" s="828" t="s">
        <v>174</v>
      </c>
      <c r="C57" s="829"/>
      <c r="D57" s="18"/>
      <c r="E57" s="26"/>
      <c r="F57" s="1"/>
      <c r="H57" s="1">
        <v>11011296</v>
      </c>
      <c r="I57" s="949"/>
      <c r="K57" s="948"/>
    </row>
    <row r="58" spans="1:11" ht="19.5" customHeight="1">
      <c r="A58" s="15"/>
      <c r="B58" s="830" t="s">
        <v>377</v>
      </c>
      <c r="C58" s="829"/>
      <c r="D58" s="18"/>
      <c r="E58" s="26"/>
      <c r="F58" s="1"/>
      <c r="H58" s="1">
        <f>H57+G118</f>
        <v>11018296</v>
      </c>
      <c r="I58" s="949"/>
      <c r="K58" s="948"/>
    </row>
    <row r="59" spans="1:11" ht="19.5" customHeight="1">
      <c r="A59" s="145"/>
      <c r="B59" s="146"/>
      <c r="C59" s="140"/>
      <c r="D59" s="26"/>
      <c r="E59" s="26"/>
      <c r="F59" s="1"/>
      <c r="H59" s="1"/>
      <c r="I59" s="949"/>
      <c r="K59" s="948"/>
    </row>
    <row r="60" spans="1:11" ht="19.5" customHeight="1">
      <c r="A60" s="145"/>
      <c r="B60" s="260" t="s">
        <v>6</v>
      </c>
      <c r="C60" s="140"/>
      <c r="D60" s="26"/>
      <c r="E60" s="26"/>
      <c r="F60" s="1"/>
      <c r="H60" s="1"/>
      <c r="I60" s="949"/>
      <c r="K60" s="948"/>
    </row>
    <row r="61" spans="1:11" ht="19.5" customHeight="1">
      <c r="A61" s="145"/>
      <c r="B61" s="260" t="s">
        <v>7</v>
      </c>
      <c r="C61" s="143"/>
      <c r="D61" s="26"/>
      <c r="E61" s="26"/>
      <c r="F61" s="1"/>
      <c r="H61" s="1">
        <v>451931.6</v>
      </c>
      <c r="I61" s="949"/>
      <c r="K61" s="948"/>
    </row>
    <row r="62" spans="1:11" ht="19.5" customHeight="1">
      <c r="A62" s="145"/>
      <c r="B62" s="260" t="s">
        <v>377</v>
      </c>
      <c r="C62" s="146"/>
      <c r="D62" s="26"/>
      <c r="E62" s="26"/>
      <c r="F62" s="1"/>
      <c r="H62" s="1">
        <f>H61-D112-D116+F117</f>
        <v>203327.13999999996</v>
      </c>
      <c r="I62" s="949"/>
      <c r="K62" s="948"/>
    </row>
    <row r="63" spans="1:11" ht="19.5" customHeight="1">
      <c r="A63" s="145"/>
      <c r="B63" s="146"/>
      <c r="C63" s="140"/>
      <c r="D63" s="26"/>
      <c r="E63" s="26"/>
      <c r="F63" s="1"/>
      <c r="H63" s="1"/>
      <c r="I63" s="949"/>
      <c r="K63" s="948"/>
    </row>
    <row r="64" spans="1:11" ht="19.5" customHeight="1">
      <c r="A64" s="145"/>
      <c r="B64" s="146"/>
      <c r="C64" s="140"/>
      <c r="D64" s="26"/>
      <c r="E64" s="26"/>
      <c r="F64" s="1"/>
      <c r="H64" s="1"/>
      <c r="I64" s="949"/>
      <c r="K64" s="948"/>
    </row>
    <row r="65" spans="1:11" ht="19.5" customHeight="1">
      <c r="A65" s="145" t="s">
        <v>551</v>
      </c>
      <c r="B65" s="140"/>
      <c r="C65" s="140"/>
      <c r="D65" s="26"/>
      <c r="E65" s="26"/>
      <c r="F65" s="1"/>
      <c r="H65" s="141">
        <v>400000</v>
      </c>
      <c r="I65" s="949"/>
      <c r="K65" s="948"/>
    </row>
    <row r="66" spans="1:11" ht="19.5" customHeight="1">
      <c r="A66" s="145" t="s">
        <v>373</v>
      </c>
      <c r="B66" s="140"/>
      <c r="C66" s="140"/>
      <c r="D66" s="26"/>
      <c r="E66" s="26"/>
      <c r="F66" s="1"/>
      <c r="H66" s="141">
        <f>H65+F114</f>
        <v>415000</v>
      </c>
      <c r="I66" s="949"/>
      <c r="K66" s="948"/>
    </row>
    <row r="67" spans="1:11" ht="19.5" customHeight="1">
      <c r="A67" s="145"/>
      <c r="B67" s="146"/>
      <c r="C67" s="140"/>
      <c r="D67" s="26"/>
      <c r="E67" s="26"/>
      <c r="F67" s="1"/>
      <c r="H67" s="1"/>
      <c r="I67" s="949"/>
      <c r="K67" s="948"/>
    </row>
    <row r="68" spans="1:11" ht="19.5" customHeight="1">
      <c r="A68" s="145"/>
      <c r="B68" s="146"/>
      <c r="C68" s="140"/>
      <c r="D68" s="26"/>
      <c r="E68" s="26"/>
      <c r="F68" s="1"/>
      <c r="H68" s="1"/>
      <c r="I68" s="949"/>
      <c r="K68" s="948"/>
    </row>
    <row r="69" spans="1:11" ht="19.5" customHeight="1">
      <c r="A69" s="149" t="s">
        <v>406</v>
      </c>
      <c r="B69" s="150"/>
      <c r="C69" s="151"/>
      <c r="D69" s="152"/>
      <c r="E69" s="152"/>
      <c r="F69" s="153"/>
      <c r="G69" s="153"/>
      <c r="H69" s="154"/>
      <c r="I69" s="949"/>
      <c r="K69" s="948"/>
    </row>
    <row r="70" spans="1:11" ht="19.5" customHeight="1">
      <c r="A70" s="149"/>
      <c r="B70" s="150"/>
      <c r="C70" s="151"/>
      <c r="D70" s="152"/>
      <c r="E70" s="152"/>
      <c r="F70" s="153"/>
      <c r="G70" s="153"/>
      <c r="H70" s="154"/>
      <c r="I70" s="949"/>
      <c r="K70" s="948"/>
    </row>
    <row r="71" spans="1:11" ht="19.5" customHeight="1">
      <c r="A71" s="158" t="s">
        <v>405</v>
      </c>
      <c r="B71" s="159"/>
      <c r="C71" s="160"/>
      <c r="D71" s="148"/>
      <c r="E71" s="148"/>
      <c r="F71" s="157"/>
      <c r="G71" s="157"/>
      <c r="I71" s="949"/>
      <c r="K71" s="948"/>
    </row>
    <row r="72" spans="1:11" ht="19.5" customHeight="1">
      <c r="A72" s="155"/>
      <c r="B72" s="155"/>
      <c r="C72" s="155"/>
      <c r="D72" s="148"/>
      <c r="E72" s="148"/>
      <c r="F72" s="157"/>
      <c r="G72" s="157"/>
      <c r="I72" s="949"/>
      <c r="K72" s="948"/>
    </row>
    <row r="73" spans="1:11" ht="19.5" customHeight="1">
      <c r="A73" s="161"/>
      <c r="B73" s="161"/>
      <c r="C73" s="162"/>
      <c r="D73" s="10" t="s">
        <v>379</v>
      </c>
      <c r="E73" s="11"/>
      <c r="F73" s="10" t="s">
        <v>380</v>
      </c>
      <c r="G73" s="11"/>
      <c r="I73" s="949"/>
      <c r="K73" s="948"/>
    </row>
    <row r="74" spans="1:11" ht="19.5" customHeight="1">
      <c r="A74" s="163"/>
      <c r="B74" s="163"/>
      <c r="C74" s="164"/>
      <c r="D74" s="12" t="s">
        <v>320</v>
      </c>
      <c r="E74" s="11" t="s">
        <v>319</v>
      </c>
      <c r="F74" s="12" t="s">
        <v>320</v>
      </c>
      <c r="G74" s="11" t="s">
        <v>319</v>
      </c>
      <c r="I74" s="949"/>
      <c r="K74" s="948"/>
    </row>
    <row r="75" spans="1:11" ht="19.5" customHeight="1">
      <c r="A75" s="165" t="s">
        <v>322</v>
      </c>
      <c r="B75" s="165" t="s">
        <v>328</v>
      </c>
      <c r="C75" s="165" t="s">
        <v>323</v>
      </c>
      <c r="D75" s="13" t="s">
        <v>324</v>
      </c>
      <c r="E75" s="14" t="s">
        <v>325</v>
      </c>
      <c r="F75" s="13" t="s">
        <v>324</v>
      </c>
      <c r="G75" s="14" t="s">
        <v>325</v>
      </c>
      <c r="I75" s="949"/>
      <c r="K75" s="948"/>
    </row>
    <row r="76" spans="1:33" s="178" customFormat="1" ht="19.5" customHeight="1">
      <c r="A76" s="168" t="s">
        <v>83</v>
      </c>
      <c r="B76" s="764" t="s">
        <v>84</v>
      </c>
      <c r="C76" s="764" t="s">
        <v>86</v>
      </c>
      <c r="D76" s="167"/>
      <c r="E76" s="167"/>
      <c r="F76" s="167">
        <v>1427.95</v>
      </c>
      <c r="G76" s="183"/>
      <c r="H76" s="184"/>
      <c r="I76" s="949"/>
      <c r="J76" s="956"/>
      <c r="K76" s="948"/>
      <c r="L76" s="957"/>
      <c r="M76" s="957"/>
      <c r="N76" s="951"/>
      <c r="O76" s="951"/>
      <c r="P76" s="958"/>
      <c r="Q76" s="958"/>
      <c r="R76" s="958"/>
      <c r="S76" s="958"/>
      <c r="T76" s="958"/>
      <c r="U76" s="958"/>
      <c r="V76" s="958"/>
      <c r="W76" s="958"/>
      <c r="X76" s="958"/>
      <c r="Y76" s="958"/>
      <c r="Z76" s="958"/>
      <c r="AA76" s="958"/>
      <c r="AB76" s="958"/>
      <c r="AC76" s="958"/>
      <c r="AD76" s="958"/>
      <c r="AE76" s="958"/>
      <c r="AF76" s="958"/>
      <c r="AG76" s="958"/>
    </row>
    <row r="77" spans="1:33" s="178" customFormat="1" ht="19.5" customHeight="1">
      <c r="A77" s="166" t="s">
        <v>143</v>
      </c>
      <c r="B77" s="169" t="s">
        <v>144</v>
      </c>
      <c r="C77" s="169" t="s">
        <v>169</v>
      </c>
      <c r="D77" s="167"/>
      <c r="E77" s="167"/>
      <c r="F77" s="167">
        <v>100000</v>
      </c>
      <c r="G77" s="183"/>
      <c r="H77" s="184"/>
      <c r="I77" s="949"/>
      <c r="J77" s="956"/>
      <c r="K77" s="948"/>
      <c r="L77" s="957"/>
      <c r="M77" s="957"/>
      <c r="N77" s="951"/>
      <c r="O77" s="951"/>
      <c r="P77" s="958"/>
      <c r="Q77" s="958"/>
      <c r="R77" s="958"/>
      <c r="S77" s="958"/>
      <c r="T77" s="958"/>
      <c r="U77" s="958"/>
      <c r="V77" s="958"/>
      <c r="W77" s="958"/>
      <c r="X77" s="958"/>
      <c r="Y77" s="958"/>
      <c r="Z77" s="958"/>
      <c r="AA77" s="958"/>
      <c r="AB77" s="958"/>
      <c r="AC77" s="958"/>
      <c r="AD77" s="958"/>
      <c r="AE77" s="958"/>
      <c r="AF77" s="958"/>
      <c r="AG77" s="958"/>
    </row>
    <row r="78" spans="1:33" s="178" customFormat="1" ht="19.5" customHeight="1">
      <c r="A78" s="168" t="s">
        <v>101</v>
      </c>
      <c r="B78" s="166"/>
      <c r="C78" s="169"/>
      <c r="D78" s="167"/>
      <c r="E78" s="167"/>
      <c r="F78" s="167">
        <f>F79+F82</f>
        <v>574881</v>
      </c>
      <c r="G78" s="183"/>
      <c r="H78" s="184"/>
      <c r="I78" s="949"/>
      <c r="J78" s="956"/>
      <c r="K78" s="948"/>
      <c r="L78" s="957"/>
      <c r="M78" s="957"/>
      <c r="N78" s="951"/>
      <c r="O78" s="951"/>
      <c r="P78" s="958"/>
      <c r="Q78" s="958"/>
      <c r="R78" s="958"/>
      <c r="S78" s="958"/>
      <c r="T78" s="958"/>
      <c r="U78" s="958"/>
      <c r="V78" s="958"/>
      <c r="W78" s="958"/>
      <c r="X78" s="958"/>
      <c r="Y78" s="958"/>
      <c r="Z78" s="958"/>
      <c r="AA78" s="958"/>
      <c r="AB78" s="958"/>
      <c r="AC78" s="958"/>
      <c r="AD78" s="958"/>
      <c r="AE78" s="958"/>
      <c r="AF78" s="958"/>
      <c r="AG78" s="958"/>
    </row>
    <row r="79" spans="1:11" ht="19.5" customHeight="1">
      <c r="A79" s="170"/>
      <c r="B79" s="276" t="s">
        <v>102</v>
      </c>
      <c r="C79" s="276"/>
      <c r="D79" s="173"/>
      <c r="E79" s="173"/>
      <c r="F79" s="173">
        <f>SUM(F80:F81)</f>
        <v>297497</v>
      </c>
      <c r="G79" s="185"/>
      <c r="I79" s="959"/>
      <c r="K79" s="960"/>
    </row>
    <row r="80" spans="1:11" ht="19.5" customHeight="1">
      <c r="A80" s="175"/>
      <c r="B80" s="176"/>
      <c r="C80" s="176" t="s">
        <v>119</v>
      </c>
      <c r="D80" s="173"/>
      <c r="E80" s="173"/>
      <c r="F80" s="173">
        <v>4497</v>
      </c>
      <c r="G80" s="185"/>
      <c r="I80" s="959"/>
      <c r="K80" s="960"/>
    </row>
    <row r="81" spans="1:11" ht="19.5" customHeight="1">
      <c r="A81" s="175"/>
      <c r="B81" s="176"/>
      <c r="C81" s="276" t="s">
        <v>110</v>
      </c>
      <c r="D81" s="173"/>
      <c r="E81" s="173"/>
      <c r="F81" s="173">
        <v>293000</v>
      </c>
      <c r="G81" s="185"/>
      <c r="I81" s="959"/>
      <c r="K81" s="960"/>
    </row>
    <row r="82" spans="1:11" ht="19.5" customHeight="1">
      <c r="A82" s="186"/>
      <c r="B82" s="276" t="s">
        <v>170</v>
      </c>
      <c r="C82" s="276" t="s">
        <v>171</v>
      </c>
      <c r="D82" s="173"/>
      <c r="E82" s="173"/>
      <c r="F82" s="173">
        <v>277384</v>
      </c>
      <c r="G82" s="185"/>
      <c r="I82" s="959"/>
      <c r="K82" s="960"/>
    </row>
    <row r="83" spans="1:11" ht="19.5" customHeight="1">
      <c r="A83" s="166" t="s">
        <v>165</v>
      </c>
      <c r="B83" s="169"/>
      <c r="C83" s="169"/>
      <c r="D83" s="167"/>
      <c r="E83" s="167"/>
      <c r="F83" s="167">
        <f>F84+F85</f>
        <v>1900000</v>
      </c>
      <c r="G83" s="183"/>
      <c r="I83" s="959"/>
      <c r="K83" s="960"/>
    </row>
    <row r="84" spans="1:11" ht="19.5" customHeight="1">
      <c r="A84" s="175"/>
      <c r="B84" s="176" t="s">
        <v>166</v>
      </c>
      <c r="C84" s="176" t="s">
        <v>167</v>
      </c>
      <c r="D84" s="173"/>
      <c r="E84" s="173"/>
      <c r="F84" s="173">
        <v>1300000</v>
      </c>
      <c r="G84" s="185"/>
      <c r="I84" s="959"/>
      <c r="K84" s="960"/>
    </row>
    <row r="85" spans="1:11" ht="19.5" customHeight="1">
      <c r="A85" s="175"/>
      <c r="B85" s="171" t="s">
        <v>168</v>
      </c>
      <c r="C85" s="171" t="s">
        <v>167</v>
      </c>
      <c r="D85" s="173"/>
      <c r="E85" s="173"/>
      <c r="F85" s="173">
        <v>600000</v>
      </c>
      <c r="G85" s="185"/>
      <c r="I85" s="959"/>
      <c r="K85" s="960"/>
    </row>
    <row r="86" spans="1:11" ht="19.5" customHeight="1">
      <c r="A86" s="168" t="s">
        <v>423</v>
      </c>
      <c r="B86" s="207" t="s">
        <v>111</v>
      </c>
      <c r="C86" s="207"/>
      <c r="D86" s="167">
        <f>SUM(D87:D88)</f>
        <v>1078159.78</v>
      </c>
      <c r="E86" s="167"/>
      <c r="F86" s="167">
        <f>SUM(F87:F88)</f>
        <v>32121</v>
      </c>
      <c r="G86" s="185"/>
      <c r="I86" s="959"/>
      <c r="K86" s="960"/>
    </row>
    <row r="87" spans="1:11" ht="19.5" customHeight="1">
      <c r="A87" s="701"/>
      <c r="B87" s="170"/>
      <c r="C87" s="171" t="s">
        <v>74</v>
      </c>
      <c r="D87" s="173">
        <f>530068.5+277384+100000+220707.28-50000</f>
        <v>1078159.78</v>
      </c>
      <c r="E87" s="173"/>
      <c r="F87" s="173"/>
      <c r="G87" s="185"/>
      <c r="I87" s="959"/>
      <c r="K87" s="960"/>
    </row>
    <row r="88" spans="1:11" ht="19.5" customHeight="1">
      <c r="A88" s="359"/>
      <c r="B88" s="186"/>
      <c r="C88" s="171" t="s">
        <v>112</v>
      </c>
      <c r="D88" s="173"/>
      <c r="E88" s="173"/>
      <c r="F88" s="173">
        <v>32121</v>
      </c>
      <c r="G88" s="185"/>
      <c r="I88" s="959"/>
      <c r="K88" s="960"/>
    </row>
    <row r="89" spans="1:33" s="178" customFormat="1" ht="19.5" customHeight="1">
      <c r="A89" s="182" t="s">
        <v>420</v>
      </c>
      <c r="B89" s="277"/>
      <c r="C89" s="207"/>
      <c r="D89" s="167">
        <f>D90+D91+D94</f>
        <v>42742.4</v>
      </c>
      <c r="E89" s="167"/>
      <c r="F89" s="167">
        <f>F90+F91+F94</f>
        <v>27269</v>
      </c>
      <c r="G89" s="183"/>
      <c r="H89" s="184"/>
      <c r="I89" s="949"/>
      <c r="J89" s="956"/>
      <c r="K89" s="948"/>
      <c r="L89" s="957"/>
      <c r="M89" s="957"/>
      <c r="N89" s="951"/>
      <c r="O89" s="951"/>
      <c r="P89" s="958"/>
      <c r="Q89" s="958"/>
      <c r="R89" s="958"/>
      <c r="S89" s="958"/>
      <c r="T89" s="958"/>
      <c r="U89" s="958"/>
      <c r="V89" s="958"/>
      <c r="W89" s="958"/>
      <c r="X89" s="958"/>
      <c r="Y89" s="958"/>
      <c r="Z89" s="958"/>
      <c r="AA89" s="958"/>
      <c r="AB89" s="958"/>
      <c r="AC89" s="958"/>
      <c r="AD89" s="958"/>
      <c r="AE89" s="958"/>
      <c r="AF89" s="958"/>
      <c r="AG89" s="958"/>
    </row>
    <row r="90" spans="1:11" ht="19.5" customHeight="1">
      <c r="A90" s="175"/>
      <c r="B90" s="177" t="s">
        <v>77</v>
      </c>
      <c r="C90" s="171" t="s">
        <v>74</v>
      </c>
      <c r="D90" s="173"/>
      <c r="E90" s="173"/>
      <c r="F90" s="173">
        <f>11813+10876</f>
        <v>22689</v>
      </c>
      <c r="G90" s="185"/>
      <c r="I90" s="959"/>
      <c r="K90" s="960"/>
    </row>
    <row r="91" spans="1:11" ht="19.5" customHeight="1">
      <c r="A91" s="175"/>
      <c r="B91" s="177" t="s">
        <v>76</v>
      </c>
      <c r="C91" s="171"/>
      <c r="D91" s="173"/>
      <c r="E91" s="173"/>
      <c r="F91" s="173">
        <f>F92+F93</f>
        <v>4580</v>
      </c>
      <c r="G91" s="185"/>
      <c r="I91" s="959"/>
      <c r="K91" s="960"/>
    </row>
    <row r="92" spans="1:11" ht="19.5" customHeight="1">
      <c r="A92" s="175"/>
      <c r="B92" s="176"/>
      <c r="C92" s="171" t="s">
        <v>75</v>
      </c>
      <c r="D92" s="173"/>
      <c r="E92" s="173"/>
      <c r="F92" s="173">
        <v>2580</v>
      </c>
      <c r="G92" s="185"/>
      <c r="I92" s="959"/>
      <c r="K92" s="960"/>
    </row>
    <row r="93" spans="1:11" ht="19.5" customHeight="1">
      <c r="A93" s="175"/>
      <c r="B93" s="176"/>
      <c r="C93" s="171" t="s">
        <v>130</v>
      </c>
      <c r="D93" s="173"/>
      <c r="E93" s="173"/>
      <c r="F93" s="173">
        <v>2000</v>
      </c>
      <c r="G93" s="185"/>
      <c r="I93" s="959"/>
      <c r="K93" s="960"/>
    </row>
    <row r="94" spans="1:11" ht="19.5" customHeight="1">
      <c r="A94" s="175"/>
      <c r="B94" s="171" t="s">
        <v>25</v>
      </c>
      <c r="C94" s="171" t="s">
        <v>32</v>
      </c>
      <c r="D94" s="173">
        <v>42742.4</v>
      </c>
      <c r="E94" s="173"/>
      <c r="F94" s="173"/>
      <c r="G94" s="185"/>
      <c r="I94" s="959"/>
      <c r="K94" s="960"/>
    </row>
    <row r="95" spans="1:11" ht="19.5" customHeight="1">
      <c r="A95" s="276"/>
      <c r="B95" s="172"/>
      <c r="C95" s="172"/>
      <c r="D95" s="173"/>
      <c r="E95" s="173"/>
      <c r="F95" s="173"/>
      <c r="G95" s="185"/>
      <c r="I95" s="959"/>
      <c r="K95" s="960"/>
    </row>
    <row r="96" spans="1:33" s="178" customFormat="1" ht="19.5" customHeight="1">
      <c r="A96" s="421" t="s">
        <v>70</v>
      </c>
      <c r="B96" s="166" t="s">
        <v>73</v>
      </c>
      <c r="C96" s="207" t="s">
        <v>74</v>
      </c>
      <c r="D96" s="167"/>
      <c r="E96" s="167"/>
      <c r="F96" s="167">
        <v>23040</v>
      </c>
      <c r="G96" s="183"/>
      <c r="H96" s="184"/>
      <c r="I96" s="949"/>
      <c r="J96" s="956"/>
      <c r="K96" s="948"/>
      <c r="L96" s="957"/>
      <c r="M96" s="957"/>
      <c r="N96" s="951"/>
      <c r="O96" s="951"/>
      <c r="P96" s="958"/>
      <c r="Q96" s="958"/>
      <c r="R96" s="958"/>
      <c r="S96" s="958"/>
      <c r="T96" s="958"/>
      <c r="U96" s="958"/>
      <c r="V96" s="958"/>
      <c r="W96" s="958"/>
      <c r="X96" s="958"/>
      <c r="Y96" s="958"/>
      <c r="Z96" s="958"/>
      <c r="AA96" s="958"/>
      <c r="AB96" s="958"/>
      <c r="AC96" s="958"/>
      <c r="AD96" s="958"/>
      <c r="AE96" s="958"/>
      <c r="AF96" s="958"/>
      <c r="AG96" s="958"/>
    </row>
    <row r="97" spans="1:33" s="178" customFormat="1" ht="19.5" customHeight="1">
      <c r="A97" s="166" t="s">
        <v>33</v>
      </c>
      <c r="B97" s="207" t="s">
        <v>34</v>
      </c>
      <c r="C97" s="169"/>
      <c r="D97" s="167">
        <f>SUM(D98:D100)</f>
        <v>456629.7199999999</v>
      </c>
      <c r="E97" s="167"/>
      <c r="F97" s="167">
        <f>SUM(F98:F100)</f>
        <v>33546.3</v>
      </c>
      <c r="G97" s="183"/>
      <c r="H97" s="184"/>
      <c r="I97" s="949"/>
      <c r="J97" s="956"/>
      <c r="K97" s="956"/>
      <c r="L97" s="957"/>
      <c r="M97" s="957"/>
      <c r="N97" s="951"/>
      <c r="O97" s="951"/>
      <c r="P97" s="958"/>
      <c r="Q97" s="958"/>
      <c r="R97" s="958"/>
      <c r="S97" s="958"/>
      <c r="T97" s="958"/>
      <c r="U97" s="958"/>
      <c r="V97" s="958"/>
      <c r="W97" s="958"/>
      <c r="X97" s="958"/>
      <c r="Y97" s="958"/>
      <c r="Z97" s="958"/>
      <c r="AA97" s="958"/>
      <c r="AB97" s="958"/>
      <c r="AC97" s="958"/>
      <c r="AD97" s="958"/>
      <c r="AE97" s="958"/>
      <c r="AF97" s="958"/>
      <c r="AG97" s="958"/>
    </row>
    <row r="98" spans="1:11" ht="19.5" customHeight="1">
      <c r="A98" s="174"/>
      <c r="B98" s="170"/>
      <c r="C98" s="176" t="s">
        <v>35</v>
      </c>
      <c r="D98" s="173">
        <f>29218.6+420570.3</f>
        <v>449788.89999999997</v>
      </c>
      <c r="E98" s="173"/>
      <c r="F98" s="173">
        <v>21035.2</v>
      </c>
      <c r="G98" s="185"/>
      <c r="H98" s="154"/>
      <c r="I98" s="959"/>
      <c r="K98" s="960"/>
    </row>
    <row r="99" spans="1:11" ht="19.5" customHeight="1">
      <c r="A99" s="174"/>
      <c r="B99" s="175"/>
      <c r="C99" s="171" t="s">
        <v>49</v>
      </c>
      <c r="D99" s="173">
        <v>5156.22</v>
      </c>
      <c r="E99" s="173"/>
      <c r="F99" s="173">
        <f>12511.1</f>
        <v>12511.1</v>
      </c>
      <c r="G99" s="185"/>
      <c r="H99" s="154"/>
      <c r="I99" s="959"/>
      <c r="K99" s="960"/>
    </row>
    <row r="100" spans="1:11" ht="19.5" customHeight="1">
      <c r="A100" s="174"/>
      <c r="B100" s="175"/>
      <c r="C100" s="171" t="s">
        <v>52</v>
      </c>
      <c r="D100" s="173">
        <v>1684.6</v>
      </c>
      <c r="E100" s="173"/>
      <c r="F100" s="173"/>
      <c r="G100" s="185"/>
      <c r="H100" s="154"/>
      <c r="I100" s="959"/>
      <c r="K100" s="960"/>
    </row>
    <row r="101" spans="1:33" s="178" customFormat="1" ht="19.5" customHeight="1">
      <c r="A101" s="274" t="s">
        <v>27</v>
      </c>
      <c r="B101" s="166" t="s">
        <v>28</v>
      </c>
      <c r="C101" s="169" t="s">
        <v>52</v>
      </c>
      <c r="D101" s="167"/>
      <c r="E101" s="167"/>
      <c r="F101" s="167">
        <v>530068.5</v>
      </c>
      <c r="G101" s="183"/>
      <c r="H101" s="820"/>
      <c r="I101" s="949"/>
      <c r="J101" s="956"/>
      <c r="K101" s="948"/>
      <c r="L101" s="957"/>
      <c r="M101" s="957"/>
      <c r="N101" s="951"/>
      <c r="O101" s="951"/>
      <c r="P101" s="958"/>
      <c r="Q101" s="958"/>
      <c r="R101" s="958"/>
      <c r="S101" s="958"/>
      <c r="T101" s="958"/>
      <c r="U101" s="958"/>
      <c r="V101" s="958"/>
      <c r="W101" s="958"/>
      <c r="X101" s="958"/>
      <c r="Y101" s="958"/>
      <c r="Z101" s="958"/>
      <c r="AA101" s="958"/>
      <c r="AB101" s="958"/>
      <c r="AC101" s="958"/>
      <c r="AD101" s="958"/>
      <c r="AE101" s="958"/>
      <c r="AF101" s="958"/>
      <c r="AG101" s="958"/>
    </row>
    <row r="102" spans="1:33" s="35" customFormat="1" ht="19.5" customHeight="1">
      <c r="A102" s="358" t="s">
        <v>329</v>
      </c>
      <c r="B102" s="360"/>
      <c r="C102" s="169"/>
      <c r="D102" s="187">
        <f>D76+D77+D78+D83+D86+D89+D96+D97+D101</f>
        <v>1577531.9</v>
      </c>
      <c r="E102" s="187">
        <f>E76+E77+E78+E83+E86+E89+E96+E97+E101</f>
        <v>0</v>
      </c>
      <c r="F102" s="187">
        <f>F76+F77+F78+F83+F86+F89+F96+F97+F101</f>
        <v>3222353.75</v>
      </c>
      <c r="G102" s="187">
        <f>G76+G77+G78+G83+G86+G89+G96+G97+G101</f>
        <v>0</v>
      </c>
      <c r="H102" s="181"/>
      <c r="I102" s="961"/>
      <c r="J102" s="962"/>
      <c r="K102" s="962"/>
      <c r="L102" s="963"/>
      <c r="M102" s="963"/>
      <c r="N102" s="964"/>
      <c r="O102" s="964"/>
      <c r="P102" s="965"/>
      <c r="Q102" s="965"/>
      <c r="R102" s="965"/>
      <c r="S102" s="965"/>
      <c r="T102" s="965"/>
      <c r="U102" s="965"/>
      <c r="V102" s="965"/>
      <c r="W102" s="965"/>
      <c r="X102" s="965"/>
      <c r="Y102" s="965"/>
      <c r="Z102" s="965"/>
      <c r="AA102" s="965"/>
      <c r="AB102" s="965"/>
      <c r="AC102" s="965"/>
      <c r="AD102" s="965"/>
      <c r="AE102" s="965"/>
      <c r="AF102" s="965"/>
      <c r="AG102" s="965"/>
    </row>
    <row r="103" spans="1:33" s="35" customFormat="1" ht="19.5" customHeight="1">
      <c r="A103" s="179"/>
      <c r="B103" s="180"/>
      <c r="C103" s="180"/>
      <c r="D103" s="181"/>
      <c r="E103" s="181"/>
      <c r="F103" s="181"/>
      <c r="G103" s="181"/>
      <c r="I103" s="961"/>
      <c r="J103" s="963"/>
      <c r="K103" s="962"/>
      <c r="L103" s="963"/>
      <c r="M103" s="963"/>
      <c r="N103" s="964"/>
      <c r="O103" s="964"/>
      <c r="P103" s="965"/>
      <c r="Q103" s="965"/>
      <c r="R103" s="965"/>
      <c r="S103" s="965"/>
      <c r="T103" s="965"/>
      <c r="U103" s="965"/>
      <c r="V103" s="965"/>
      <c r="W103" s="965"/>
      <c r="X103" s="965"/>
      <c r="Y103" s="965"/>
      <c r="Z103" s="965"/>
      <c r="AA103" s="965"/>
      <c r="AB103" s="965"/>
      <c r="AC103" s="965"/>
      <c r="AD103" s="965"/>
      <c r="AE103" s="965"/>
      <c r="AF103" s="965"/>
      <c r="AG103" s="965"/>
    </row>
    <row r="104" spans="1:33" s="35" customFormat="1" ht="19.5" customHeight="1">
      <c r="A104" s="179"/>
      <c r="B104" s="180"/>
      <c r="C104" s="180"/>
      <c r="D104" s="181"/>
      <c r="E104" s="181"/>
      <c r="F104" s="181"/>
      <c r="G104" s="181"/>
      <c r="I104" s="961"/>
      <c r="J104" s="963"/>
      <c r="K104" s="962"/>
      <c r="L104" s="963"/>
      <c r="M104" s="963"/>
      <c r="N104" s="964"/>
      <c r="O104" s="964"/>
      <c r="P104" s="965"/>
      <c r="Q104" s="965"/>
      <c r="R104" s="965"/>
      <c r="S104" s="965"/>
      <c r="T104" s="965"/>
      <c r="U104" s="965"/>
      <c r="V104" s="965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5"/>
      <c r="AG104" s="965"/>
    </row>
    <row r="105" spans="1:11" ht="19.5" customHeight="1">
      <c r="A105" s="149" t="s">
        <v>381</v>
      </c>
      <c r="B105" s="150"/>
      <c r="C105" s="151"/>
      <c r="D105" s="152"/>
      <c r="E105" s="152"/>
      <c r="F105" s="153"/>
      <c r="G105" s="153"/>
      <c r="H105" s="154"/>
      <c r="I105" s="949"/>
      <c r="K105" s="948"/>
    </row>
    <row r="106" spans="1:11" ht="19.5" customHeight="1">
      <c r="A106" s="149"/>
      <c r="B106" s="150"/>
      <c r="C106" s="151"/>
      <c r="D106" s="152"/>
      <c r="E106" s="152"/>
      <c r="F106" s="153"/>
      <c r="G106" s="153"/>
      <c r="H106" s="154"/>
      <c r="I106" s="949"/>
      <c r="K106" s="948"/>
    </row>
    <row r="107" spans="1:11" ht="19.5" customHeight="1">
      <c r="A107" s="158" t="s">
        <v>407</v>
      </c>
      <c r="B107" s="159"/>
      <c r="C107" s="160"/>
      <c r="D107" s="148"/>
      <c r="E107" s="148"/>
      <c r="F107" s="157"/>
      <c r="G107" s="157"/>
      <c r="I107" s="949"/>
      <c r="K107" s="948"/>
    </row>
    <row r="108" spans="1:11" ht="19.5" customHeight="1">
      <c r="A108" s="155"/>
      <c r="B108" s="155"/>
      <c r="C108" s="155"/>
      <c r="D108" s="148"/>
      <c r="E108" s="148"/>
      <c r="F108" s="157"/>
      <c r="G108" s="157"/>
      <c r="I108" s="949"/>
      <c r="K108" s="948"/>
    </row>
    <row r="109" spans="1:11" ht="19.5" customHeight="1">
      <c r="A109" s="161"/>
      <c r="B109" s="161"/>
      <c r="C109" s="162"/>
      <c r="D109" s="10" t="s">
        <v>379</v>
      </c>
      <c r="E109" s="11"/>
      <c r="F109" s="10" t="s">
        <v>380</v>
      </c>
      <c r="G109" s="11"/>
      <c r="I109" s="949"/>
      <c r="K109" s="948"/>
    </row>
    <row r="110" spans="1:11" ht="19.5" customHeight="1">
      <c r="A110" s="163"/>
      <c r="B110" s="163"/>
      <c r="C110" s="164"/>
      <c r="D110" s="12" t="s">
        <v>320</v>
      </c>
      <c r="E110" s="11" t="s">
        <v>319</v>
      </c>
      <c r="F110" s="12" t="s">
        <v>320</v>
      </c>
      <c r="G110" s="11" t="s">
        <v>319</v>
      </c>
      <c r="I110" s="949"/>
      <c r="K110" s="948"/>
    </row>
    <row r="111" spans="1:11" ht="19.5" customHeight="1">
      <c r="A111" s="165" t="s">
        <v>322</v>
      </c>
      <c r="B111" s="165" t="s">
        <v>328</v>
      </c>
      <c r="C111" s="165" t="s">
        <v>323</v>
      </c>
      <c r="D111" s="13" t="s">
        <v>324</v>
      </c>
      <c r="E111" s="14" t="s">
        <v>325</v>
      </c>
      <c r="F111" s="13" t="s">
        <v>324</v>
      </c>
      <c r="G111" s="14" t="s">
        <v>325</v>
      </c>
      <c r="I111" s="949"/>
      <c r="K111" s="948"/>
    </row>
    <row r="112" spans="1:33" s="178" customFormat="1" ht="19.5" customHeight="1">
      <c r="A112" s="166" t="s">
        <v>420</v>
      </c>
      <c r="B112" s="166" t="s">
        <v>25</v>
      </c>
      <c r="C112" s="166" t="s">
        <v>32</v>
      </c>
      <c r="D112" s="183">
        <v>184059.28</v>
      </c>
      <c r="E112" s="183"/>
      <c r="F112" s="183"/>
      <c r="G112" s="183"/>
      <c r="H112" s="184"/>
      <c r="I112" s="949"/>
      <c r="J112" s="956"/>
      <c r="K112" s="948"/>
      <c r="L112" s="957"/>
      <c r="M112" s="957"/>
      <c r="N112" s="951"/>
      <c r="O112" s="951"/>
      <c r="P112" s="958"/>
      <c r="Q112" s="958"/>
      <c r="R112" s="958"/>
      <c r="S112" s="958"/>
      <c r="T112" s="958"/>
      <c r="U112" s="958"/>
      <c r="V112" s="958"/>
      <c r="W112" s="958"/>
      <c r="X112" s="958"/>
      <c r="Y112" s="958"/>
      <c r="Z112" s="958"/>
      <c r="AA112" s="958"/>
      <c r="AB112" s="958"/>
      <c r="AC112" s="958"/>
      <c r="AD112" s="958"/>
      <c r="AE112" s="958"/>
      <c r="AF112" s="958"/>
      <c r="AG112" s="958"/>
    </row>
    <row r="113" spans="1:33" s="178" customFormat="1" ht="19.5" customHeight="1">
      <c r="A113" s="166" t="s">
        <v>70</v>
      </c>
      <c r="B113" s="166" t="s">
        <v>90</v>
      </c>
      <c r="C113" s="166" t="s">
        <v>91</v>
      </c>
      <c r="D113" s="183"/>
      <c r="E113" s="183"/>
      <c r="F113" s="183">
        <v>7000</v>
      </c>
      <c r="G113" s="183">
        <v>7000</v>
      </c>
      <c r="H113" s="184"/>
      <c r="I113" s="949"/>
      <c r="J113" s="956"/>
      <c r="K113" s="948"/>
      <c r="L113" s="957"/>
      <c r="M113" s="957"/>
      <c r="N113" s="951"/>
      <c r="O113" s="951"/>
      <c r="P113" s="958"/>
      <c r="Q113" s="958"/>
      <c r="R113" s="958"/>
      <c r="S113" s="958"/>
      <c r="T113" s="958"/>
      <c r="U113" s="958"/>
      <c r="V113" s="958"/>
      <c r="W113" s="958"/>
      <c r="X113" s="958"/>
      <c r="Y113" s="958"/>
      <c r="Z113" s="958"/>
      <c r="AA113" s="958"/>
      <c r="AB113" s="958"/>
      <c r="AC113" s="958"/>
      <c r="AD113" s="958"/>
      <c r="AE113" s="958"/>
      <c r="AF113" s="958"/>
      <c r="AG113" s="958"/>
    </row>
    <row r="114" spans="1:33" s="178" customFormat="1" ht="19.5" customHeight="1">
      <c r="A114" s="166" t="s">
        <v>80</v>
      </c>
      <c r="B114" s="166" t="s">
        <v>81</v>
      </c>
      <c r="C114" s="166" t="s">
        <v>82</v>
      </c>
      <c r="D114" s="183"/>
      <c r="E114" s="183"/>
      <c r="F114" s="183">
        <v>15000</v>
      </c>
      <c r="G114" s="183"/>
      <c r="H114" s="184"/>
      <c r="I114" s="949"/>
      <c r="J114" s="956"/>
      <c r="K114" s="948"/>
      <c r="L114" s="957"/>
      <c r="M114" s="957"/>
      <c r="N114" s="951"/>
      <c r="O114" s="951"/>
      <c r="P114" s="958"/>
      <c r="Q114" s="958"/>
      <c r="R114" s="958"/>
      <c r="S114" s="958"/>
      <c r="T114" s="958"/>
      <c r="U114" s="958"/>
      <c r="V114" s="958"/>
      <c r="W114" s="958"/>
      <c r="X114" s="958"/>
      <c r="Y114" s="958"/>
      <c r="Z114" s="958"/>
      <c r="AA114" s="958"/>
      <c r="AB114" s="958"/>
      <c r="AC114" s="958"/>
      <c r="AD114" s="958"/>
      <c r="AE114" s="958"/>
      <c r="AF114" s="958"/>
      <c r="AG114" s="958"/>
    </row>
    <row r="115" spans="1:33" s="178" customFormat="1" ht="19.5" customHeight="1">
      <c r="A115" s="168" t="s">
        <v>33</v>
      </c>
      <c r="B115" s="168" t="s">
        <v>34</v>
      </c>
      <c r="C115" s="166"/>
      <c r="D115" s="183">
        <f>SUM(D116:D117)</f>
        <v>64800</v>
      </c>
      <c r="E115" s="183"/>
      <c r="F115" s="183">
        <f>SUM(F116:F117)</f>
        <v>254.82</v>
      </c>
      <c r="G115" s="183"/>
      <c r="H115" s="184"/>
      <c r="I115" s="949"/>
      <c r="J115" s="956"/>
      <c r="K115" s="948"/>
      <c r="L115" s="957"/>
      <c r="M115" s="957"/>
      <c r="N115" s="951"/>
      <c r="O115" s="951"/>
      <c r="P115" s="958"/>
      <c r="Q115" s="958"/>
      <c r="R115" s="958"/>
      <c r="S115" s="958"/>
      <c r="T115" s="958"/>
      <c r="U115" s="958"/>
      <c r="V115" s="958"/>
      <c r="W115" s="958"/>
      <c r="X115" s="958"/>
      <c r="Y115" s="958"/>
      <c r="Z115" s="958"/>
      <c r="AA115" s="958"/>
      <c r="AB115" s="958"/>
      <c r="AC115" s="958"/>
      <c r="AD115" s="958"/>
      <c r="AE115" s="958"/>
      <c r="AF115" s="958"/>
      <c r="AG115" s="958"/>
    </row>
    <row r="116" spans="1:11" ht="19.5" customHeight="1">
      <c r="A116" s="701"/>
      <c r="B116" s="170"/>
      <c r="C116" s="172" t="s">
        <v>35</v>
      </c>
      <c r="D116" s="185">
        <v>64800</v>
      </c>
      <c r="E116" s="185"/>
      <c r="F116" s="185"/>
      <c r="G116" s="185"/>
      <c r="I116" s="959"/>
      <c r="K116" s="960"/>
    </row>
    <row r="117" spans="1:11" ht="19.5" customHeight="1">
      <c r="A117" s="359"/>
      <c r="B117" s="186"/>
      <c r="C117" s="172" t="s">
        <v>49</v>
      </c>
      <c r="D117" s="185"/>
      <c r="E117" s="185"/>
      <c r="F117" s="185">
        <v>254.82</v>
      </c>
      <c r="G117" s="185"/>
      <c r="I117" s="959"/>
      <c r="K117" s="960"/>
    </row>
    <row r="118" spans="1:33" s="35" customFormat="1" ht="19.5" customHeight="1">
      <c r="A118" s="272" t="s">
        <v>329</v>
      </c>
      <c r="B118" s="273"/>
      <c r="C118" s="169"/>
      <c r="D118" s="187">
        <f>D112+D113+D114+D115</f>
        <v>248859.28</v>
      </c>
      <c r="E118" s="187">
        <f>E112+E113+E114+E115</f>
        <v>0</v>
      </c>
      <c r="F118" s="187">
        <f>F112+F113+F114+F115</f>
        <v>22254.82</v>
      </c>
      <c r="G118" s="187">
        <f>G112+G113+G114+G115</f>
        <v>7000</v>
      </c>
      <c r="H118" s="181"/>
      <c r="I118" s="961"/>
      <c r="J118" s="962"/>
      <c r="K118" s="962"/>
      <c r="L118" s="963"/>
      <c r="M118" s="963"/>
      <c r="N118" s="964"/>
      <c r="O118" s="964"/>
      <c r="P118" s="965"/>
      <c r="Q118" s="965"/>
      <c r="R118" s="965"/>
      <c r="S118" s="965"/>
      <c r="T118" s="965"/>
      <c r="U118" s="965"/>
      <c r="V118" s="965"/>
      <c r="W118" s="965"/>
      <c r="X118" s="965"/>
      <c r="Y118" s="965"/>
      <c r="Z118" s="965"/>
      <c r="AA118" s="965"/>
      <c r="AB118" s="965"/>
      <c r="AC118" s="965"/>
      <c r="AD118" s="965"/>
      <c r="AE118" s="965"/>
      <c r="AF118" s="965"/>
      <c r="AG118" s="965"/>
    </row>
    <row r="119" spans="1:33" s="35" customFormat="1" ht="19.5" customHeight="1">
      <c r="A119" s="179"/>
      <c r="B119" s="180"/>
      <c r="C119" s="180"/>
      <c r="D119" s="181"/>
      <c r="E119" s="181"/>
      <c r="F119" s="181"/>
      <c r="G119" s="181"/>
      <c r="H119" s="181"/>
      <c r="I119" s="961"/>
      <c r="J119" s="962"/>
      <c r="K119" s="962"/>
      <c r="L119" s="963"/>
      <c r="M119" s="963"/>
      <c r="N119" s="964"/>
      <c r="O119" s="964"/>
      <c r="P119" s="965"/>
      <c r="Q119" s="965"/>
      <c r="R119" s="965"/>
      <c r="S119" s="965"/>
      <c r="T119" s="965"/>
      <c r="U119" s="965"/>
      <c r="V119" s="965"/>
      <c r="W119" s="965"/>
      <c r="X119" s="965"/>
      <c r="Y119" s="965"/>
      <c r="Z119" s="965"/>
      <c r="AA119" s="965"/>
      <c r="AB119" s="965"/>
      <c r="AC119" s="965"/>
      <c r="AD119" s="965"/>
      <c r="AE119" s="965"/>
      <c r="AF119" s="965"/>
      <c r="AG119" s="965"/>
    </row>
    <row r="120" spans="1:33" s="35" customFormat="1" ht="19.5" customHeight="1">
      <c r="A120" s="179"/>
      <c r="B120" s="180"/>
      <c r="C120" s="180"/>
      <c r="D120" s="181"/>
      <c r="E120" s="181"/>
      <c r="F120" s="181"/>
      <c r="G120" s="181"/>
      <c r="H120" s="181"/>
      <c r="I120" s="961"/>
      <c r="J120" s="962"/>
      <c r="K120" s="962"/>
      <c r="L120" s="963"/>
      <c r="M120" s="963"/>
      <c r="N120" s="964"/>
      <c r="O120" s="964"/>
      <c r="P120" s="965"/>
      <c r="Q120" s="965"/>
      <c r="R120" s="965"/>
      <c r="S120" s="965"/>
      <c r="T120" s="965"/>
      <c r="U120" s="965"/>
      <c r="V120" s="965"/>
      <c r="W120" s="965"/>
      <c r="X120" s="965"/>
      <c r="Y120" s="965"/>
      <c r="Z120" s="965"/>
      <c r="AA120" s="965"/>
      <c r="AB120" s="965"/>
      <c r="AC120" s="965"/>
      <c r="AD120" s="965"/>
      <c r="AE120" s="965"/>
      <c r="AF120" s="965"/>
      <c r="AG120" s="965"/>
    </row>
    <row r="121" spans="1:33" s="35" customFormat="1" ht="19.5" customHeight="1">
      <c r="A121" s="179"/>
      <c r="B121" s="180"/>
      <c r="C121" s="180"/>
      <c r="D121" s="181"/>
      <c r="E121" s="181"/>
      <c r="F121" s="181"/>
      <c r="G121" s="181"/>
      <c r="H121" s="181"/>
      <c r="I121" s="961"/>
      <c r="J121" s="962"/>
      <c r="K121" s="962"/>
      <c r="L121" s="963"/>
      <c r="M121" s="963"/>
      <c r="N121" s="964"/>
      <c r="O121" s="964"/>
      <c r="P121" s="965"/>
      <c r="Q121" s="965"/>
      <c r="R121" s="965"/>
      <c r="S121" s="965"/>
      <c r="T121" s="965"/>
      <c r="U121" s="965"/>
      <c r="V121" s="965"/>
      <c r="W121" s="965"/>
      <c r="X121" s="965"/>
      <c r="Y121" s="965"/>
      <c r="Z121" s="965"/>
      <c r="AA121" s="965"/>
      <c r="AB121" s="965"/>
      <c r="AC121" s="965"/>
      <c r="AD121" s="965"/>
      <c r="AE121" s="965"/>
      <c r="AF121" s="965"/>
      <c r="AG121" s="965"/>
    </row>
    <row r="122" spans="1:33" s="35" customFormat="1" ht="19.5" customHeight="1">
      <c r="A122" s="28" t="s">
        <v>264</v>
      </c>
      <c r="B122" s="28"/>
      <c r="C122" s="134"/>
      <c r="D122" s="2"/>
      <c r="E122" s="2"/>
      <c r="F122" s="2"/>
      <c r="G122" s="181"/>
      <c r="H122" s="181"/>
      <c r="I122" s="961"/>
      <c r="J122" s="962"/>
      <c r="K122" s="962"/>
      <c r="L122" s="963"/>
      <c r="M122" s="963"/>
      <c r="N122" s="964"/>
      <c r="O122" s="964"/>
      <c r="P122" s="965"/>
      <c r="Q122" s="965"/>
      <c r="R122" s="965"/>
      <c r="S122" s="965"/>
      <c r="T122" s="965"/>
      <c r="U122" s="965"/>
      <c r="V122" s="965"/>
      <c r="W122" s="965"/>
      <c r="X122" s="965"/>
      <c r="Y122" s="965"/>
      <c r="Z122" s="965"/>
      <c r="AA122" s="965"/>
      <c r="AB122" s="965"/>
      <c r="AC122" s="965"/>
      <c r="AD122" s="965"/>
      <c r="AE122" s="965"/>
      <c r="AF122" s="965"/>
      <c r="AG122" s="965"/>
    </row>
    <row r="123" spans="1:33" s="35" customFormat="1" ht="19.5" customHeight="1">
      <c r="A123" s="648" t="s">
        <v>265</v>
      </c>
      <c r="B123" s="28"/>
      <c r="C123" s="134"/>
      <c r="D123" s="2"/>
      <c r="E123" s="2"/>
      <c r="F123" s="2"/>
      <c r="G123" s="181"/>
      <c r="H123" s="181"/>
      <c r="I123" s="961"/>
      <c r="J123" s="962"/>
      <c r="K123" s="962"/>
      <c r="L123" s="963"/>
      <c r="M123" s="963"/>
      <c r="N123" s="964"/>
      <c r="O123" s="964"/>
      <c r="P123" s="965"/>
      <c r="Q123" s="965"/>
      <c r="R123" s="965"/>
      <c r="S123" s="965"/>
      <c r="T123" s="965"/>
      <c r="U123" s="965"/>
      <c r="V123" s="965"/>
      <c r="W123" s="965"/>
      <c r="X123" s="965"/>
      <c r="Y123" s="965"/>
      <c r="Z123" s="965"/>
      <c r="AA123" s="965"/>
      <c r="AB123" s="965"/>
      <c r="AC123" s="965"/>
      <c r="AD123" s="965"/>
      <c r="AE123" s="965"/>
      <c r="AF123" s="965"/>
      <c r="AG123" s="965"/>
    </row>
    <row r="124" spans="1:33" s="35" customFormat="1" ht="19.5" customHeight="1">
      <c r="A124" s="648" t="s">
        <v>267</v>
      </c>
      <c r="B124" s="28"/>
      <c r="C124" s="134"/>
      <c r="D124" s="2"/>
      <c r="E124" s="2"/>
      <c r="F124" s="2"/>
      <c r="G124" s="181"/>
      <c r="H124" s="181"/>
      <c r="I124" s="961"/>
      <c r="J124" s="962"/>
      <c r="K124" s="962"/>
      <c r="L124" s="963"/>
      <c r="M124" s="963"/>
      <c r="N124" s="964"/>
      <c r="O124" s="964"/>
      <c r="P124" s="965"/>
      <c r="Q124" s="965"/>
      <c r="R124" s="965"/>
      <c r="S124" s="965"/>
      <c r="T124" s="965"/>
      <c r="U124" s="965"/>
      <c r="V124" s="965"/>
      <c r="W124" s="965"/>
      <c r="X124" s="965"/>
      <c r="Y124" s="965"/>
      <c r="Z124" s="965"/>
      <c r="AA124" s="965"/>
      <c r="AB124" s="965"/>
      <c r="AC124" s="965"/>
      <c r="AD124" s="965"/>
      <c r="AE124" s="965"/>
      <c r="AF124" s="965"/>
      <c r="AG124" s="965"/>
    </row>
    <row r="125" spans="1:33" s="35" customFormat="1" ht="19.5" customHeight="1">
      <c r="A125" s="648"/>
      <c r="B125" s="28"/>
      <c r="C125" s="134"/>
      <c r="D125" s="2"/>
      <c r="E125" s="2"/>
      <c r="F125" s="2"/>
      <c r="G125" s="181"/>
      <c r="H125" s="181"/>
      <c r="I125" s="961"/>
      <c r="J125" s="962"/>
      <c r="K125" s="962"/>
      <c r="L125" s="963"/>
      <c r="M125" s="963"/>
      <c r="N125" s="964"/>
      <c r="O125" s="964"/>
      <c r="P125" s="965"/>
      <c r="Q125" s="965"/>
      <c r="R125" s="965"/>
      <c r="S125" s="965"/>
      <c r="T125" s="965"/>
      <c r="U125" s="965"/>
      <c r="V125" s="965"/>
      <c r="W125" s="965"/>
      <c r="X125" s="965"/>
      <c r="Y125" s="965"/>
      <c r="Z125" s="965"/>
      <c r="AA125" s="965"/>
      <c r="AB125" s="965"/>
      <c r="AC125" s="965"/>
      <c r="AD125" s="965"/>
      <c r="AE125" s="965"/>
      <c r="AF125" s="965"/>
      <c r="AG125" s="965"/>
    </row>
    <row r="126" spans="1:33" s="35" customFormat="1" ht="19.5" customHeight="1">
      <c r="A126" s="648"/>
      <c r="B126" s="28"/>
      <c r="C126" s="134"/>
      <c r="D126" s="2"/>
      <c r="E126" s="2"/>
      <c r="F126" s="2"/>
      <c r="G126" s="181"/>
      <c r="H126" s="181"/>
      <c r="I126" s="961"/>
      <c r="J126" s="962"/>
      <c r="K126" s="962"/>
      <c r="L126" s="963"/>
      <c r="M126" s="963"/>
      <c r="N126" s="964"/>
      <c r="O126" s="964"/>
      <c r="P126" s="965"/>
      <c r="Q126" s="965"/>
      <c r="R126" s="965"/>
      <c r="S126" s="965"/>
      <c r="T126" s="965"/>
      <c r="U126" s="965"/>
      <c r="V126" s="965"/>
      <c r="W126" s="965"/>
      <c r="X126" s="965"/>
      <c r="Y126" s="965"/>
      <c r="Z126" s="965"/>
      <c r="AA126" s="965"/>
      <c r="AB126" s="965"/>
      <c r="AC126" s="965"/>
      <c r="AD126" s="965"/>
      <c r="AE126" s="965"/>
      <c r="AF126" s="965"/>
      <c r="AG126" s="965"/>
    </row>
    <row r="127" spans="1:33" s="35" customFormat="1" ht="19.5" customHeight="1">
      <c r="A127" s="149" t="s">
        <v>389</v>
      </c>
      <c r="B127" s="28"/>
      <c r="C127" s="134"/>
      <c r="D127" s="2"/>
      <c r="E127" s="2"/>
      <c r="F127" s="2"/>
      <c r="G127" s="2"/>
      <c r="H127" s="24"/>
      <c r="I127" s="961"/>
      <c r="J127" s="962"/>
      <c r="K127" s="962"/>
      <c r="L127" s="963"/>
      <c r="M127" s="963"/>
      <c r="N127" s="964"/>
      <c r="O127" s="964"/>
      <c r="P127" s="965"/>
      <c r="Q127" s="965"/>
      <c r="R127" s="965"/>
      <c r="S127" s="965"/>
      <c r="T127" s="965"/>
      <c r="U127" s="965"/>
      <c r="V127" s="965"/>
      <c r="W127" s="965"/>
      <c r="X127" s="965"/>
      <c r="Y127" s="965"/>
      <c r="Z127" s="965"/>
      <c r="AA127" s="965"/>
      <c r="AB127" s="965"/>
      <c r="AC127" s="965"/>
      <c r="AD127" s="965"/>
      <c r="AE127" s="965"/>
      <c r="AF127" s="965"/>
      <c r="AG127" s="965"/>
    </row>
    <row r="128" spans="1:33" s="35" customFormat="1" ht="19.5" customHeight="1">
      <c r="A128" s="149"/>
      <c r="B128" s="28"/>
      <c r="C128" s="134"/>
      <c r="D128" s="2"/>
      <c r="E128" s="2"/>
      <c r="F128" s="2"/>
      <c r="G128" s="2"/>
      <c r="H128" s="24"/>
      <c r="I128" s="961"/>
      <c r="J128" s="962"/>
      <c r="K128" s="962"/>
      <c r="L128" s="963"/>
      <c r="M128" s="963"/>
      <c r="N128" s="964"/>
      <c r="O128" s="964"/>
      <c r="P128" s="965"/>
      <c r="Q128" s="965"/>
      <c r="R128" s="965"/>
      <c r="S128" s="965"/>
      <c r="T128" s="965"/>
      <c r="U128" s="965"/>
      <c r="V128" s="965"/>
      <c r="W128" s="965"/>
      <c r="X128" s="965"/>
      <c r="Y128" s="965"/>
      <c r="Z128" s="965"/>
      <c r="AA128" s="965"/>
      <c r="AB128" s="965"/>
      <c r="AC128" s="965"/>
      <c r="AD128" s="965"/>
      <c r="AE128" s="965"/>
      <c r="AF128" s="965"/>
      <c r="AG128" s="965"/>
    </row>
    <row r="129" spans="1:33" s="35" customFormat="1" ht="19.5" customHeight="1">
      <c r="A129" s="149"/>
      <c r="B129" s="28"/>
      <c r="C129" s="134"/>
      <c r="D129" s="2"/>
      <c r="E129" s="2"/>
      <c r="F129" s="2"/>
      <c r="G129" s="2"/>
      <c r="H129" s="24"/>
      <c r="I129" s="961"/>
      <c r="J129" s="962"/>
      <c r="K129" s="962"/>
      <c r="L129" s="963"/>
      <c r="M129" s="963"/>
      <c r="N129" s="964"/>
      <c r="O129" s="964"/>
      <c r="P129" s="965"/>
      <c r="Q129" s="965"/>
      <c r="R129" s="965"/>
      <c r="S129" s="965"/>
      <c r="T129" s="965"/>
      <c r="U129" s="965"/>
      <c r="V129" s="965"/>
      <c r="W129" s="965"/>
      <c r="X129" s="965"/>
      <c r="Y129" s="965"/>
      <c r="Z129" s="965"/>
      <c r="AA129" s="965"/>
      <c r="AB129" s="965"/>
      <c r="AC129" s="965"/>
      <c r="AD129" s="965"/>
      <c r="AE129" s="965"/>
      <c r="AF129" s="965"/>
      <c r="AG129" s="965"/>
    </row>
    <row r="130" spans="1:33" s="35" customFormat="1" ht="19.5" customHeight="1">
      <c r="A130" s="28" t="s">
        <v>266</v>
      </c>
      <c r="B130" s="28"/>
      <c r="C130" s="134"/>
      <c r="D130" s="2"/>
      <c r="E130" s="2"/>
      <c r="F130" s="2"/>
      <c r="G130" s="2"/>
      <c r="H130" s="141">
        <f>H132</f>
        <v>1427.95</v>
      </c>
      <c r="I130" s="961"/>
      <c r="J130" s="962"/>
      <c r="K130" s="962"/>
      <c r="L130" s="963"/>
      <c r="M130" s="963"/>
      <c r="N130" s="964"/>
      <c r="O130" s="964"/>
      <c r="P130" s="965"/>
      <c r="Q130" s="965"/>
      <c r="R130" s="965"/>
      <c r="S130" s="965"/>
      <c r="T130" s="965"/>
      <c r="U130" s="965"/>
      <c r="V130" s="965"/>
      <c r="W130" s="965"/>
      <c r="X130" s="965"/>
      <c r="Y130" s="965"/>
      <c r="Z130" s="965"/>
      <c r="AA130" s="965"/>
      <c r="AB130" s="965"/>
      <c r="AC130" s="965"/>
      <c r="AD130" s="965"/>
      <c r="AE130" s="965"/>
      <c r="AF130" s="965"/>
      <c r="AG130" s="965"/>
    </row>
    <row r="131" spans="1:33" s="35" customFormat="1" ht="19.5" customHeight="1">
      <c r="A131" s="28" t="s">
        <v>319</v>
      </c>
      <c r="B131" s="28"/>
      <c r="C131" s="134"/>
      <c r="D131" s="2"/>
      <c r="E131" s="2"/>
      <c r="F131" s="2"/>
      <c r="G131" s="2"/>
      <c r="H131" s="1"/>
      <c r="I131" s="961"/>
      <c r="J131" s="962"/>
      <c r="K131" s="962"/>
      <c r="L131" s="963"/>
      <c r="M131" s="963"/>
      <c r="N131" s="964"/>
      <c r="O131" s="964"/>
      <c r="P131" s="965"/>
      <c r="Q131" s="965"/>
      <c r="R131" s="965"/>
      <c r="S131" s="965"/>
      <c r="T131" s="965"/>
      <c r="U131" s="965"/>
      <c r="V131" s="965"/>
      <c r="W131" s="965"/>
      <c r="X131" s="965"/>
      <c r="Y131" s="965"/>
      <c r="Z131" s="965"/>
      <c r="AA131" s="965"/>
      <c r="AB131" s="965"/>
      <c r="AC131" s="965"/>
      <c r="AD131" s="965"/>
      <c r="AE131" s="965"/>
      <c r="AF131" s="965"/>
      <c r="AG131" s="965"/>
    </row>
    <row r="132" spans="1:33" s="35" customFormat="1" ht="19.5" customHeight="1">
      <c r="A132" s="28" t="s">
        <v>268</v>
      </c>
      <c r="B132" s="28"/>
      <c r="C132" s="134"/>
      <c r="D132" s="2"/>
      <c r="E132" s="2"/>
      <c r="F132" s="2"/>
      <c r="G132" s="2"/>
      <c r="H132" s="1">
        <v>1427.95</v>
      </c>
      <c r="I132" s="961"/>
      <c r="J132" s="962"/>
      <c r="K132" s="962"/>
      <c r="L132" s="963"/>
      <c r="M132" s="963"/>
      <c r="N132" s="964"/>
      <c r="O132" s="964"/>
      <c r="P132" s="965"/>
      <c r="Q132" s="965"/>
      <c r="R132" s="965"/>
      <c r="S132" s="965"/>
      <c r="T132" s="965"/>
      <c r="U132" s="965"/>
      <c r="V132" s="965"/>
      <c r="W132" s="965"/>
      <c r="X132" s="965"/>
      <c r="Y132" s="965"/>
      <c r="Z132" s="965"/>
      <c r="AA132" s="965"/>
      <c r="AB132" s="965"/>
      <c r="AC132" s="965"/>
      <c r="AD132" s="965"/>
      <c r="AE132" s="965"/>
      <c r="AF132" s="965"/>
      <c r="AG132" s="965"/>
    </row>
    <row r="133" spans="1:33" s="35" customFormat="1" ht="19.5" customHeight="1">
      <c r="A133" s="28"/>
      <c r="B133" s="28"/>
      <c r="C133" s="134"/>
      <c r="D133" s="2"/>
      <c r="E133" s="2"/>
      <c r="F133" s="2"/>
      <c r="G133" s="2"/>
      <c r="H133" s="1"/>
      <c r="I133" s="961"/>
      <c r="J133" s="962"/>
      <c r="K133" s="962"/>
      <c r="L133" s="963"/>
      <c r="M133" s="963"/>
      <c r="N133" s="964"/>
      <c r="O133" s="964"/>
      <c r="P133" s="965"/>
      <c r="Q133" s="965"/>
      <c r="R133" s="965"/>
      <c r="S133" s="965"/>
      <c r="T133" s="965"/>
      <c r="U133" s="965"/>
      <c r="V133" s="965"/>
      <c r="W133" s="965"/>
      <c r="X133" s="965"/>
      <c r="Y133" s="965"/>
      <c r="Z133" s="965"/>
      <c r="AA133" s="965"/>
      <c r="AB133" s="965"/>
      <c r="AC133" s="965"/>
      <c r="AD133" s="965"/>
      <c r="AE133" s="965"/>
      <c r="AF133" s="965"/>
      <c r="AG133" s="965"/>
    </row>
    <row r="134" spans="1:33" s="35" customFormat="1" ht="19.5" customHeight="1">
      <c r="A134" s="28"/>
      <c r="B134" s="28"/>
      <c r="C134" s="134"/>
      <c r="D134" s="2"/>
      <c r="E134" s="2"/>
      <c r="F134" s="2"/>
      <c r="G134" s="2"/>
      <c r="H134" s="1"/>
      <c r="I134" s="961"/>
      <c r="J134" s="962"/>
      <c r="K134" s="962"/>
      <c r="L134" s="963"/>
      <c r="M134" s="963"/>
      <c r="N134" s="964"/>
      <c r="O134" s="964"/>
      <c r="P134" s="965"/>
      <c r="Q134" s="965"/>
      <c r="R134" s="965"/>
      <c r="S134" s="965"/>
      <c r="T134" s="965"/>
      <c r="U134" s="965"/>
      <c r="V134" s="965"/>
      <c r="W134" s="965"/>
      <c r="X134" s="965"/>
      <c r="Y134" s="965"/>
      <c r="Z134" s="965"/>
      <c r="AA134" s="965"/>
      <c r="AB134" s="965"/>
      <c r="AC134" s="965"/>
      <c r="AD134" s="965"/>
      <c r="AE134" s="965"/>
      <c r="AF134" s="965"/>
      <c r="AG134" s="965"/>
    </row>
    <row r="135" spans="1:33" s="35" customFormat="1" ht="19.5" customHeight="1">
      <c r="A135" s="28" t="s">
        <v>360</v>
      </c>
      <c r="B135" s="28"/>
      <c r="C135" s="134"/>
      <c r="D135" s="2"/>
      <c r="E135" s="2"/>
      <c r="F135" s="2"/>
      <c r="G135" s="2"/>
      <c r="H135" s="141">
        <f>H137</f>
        <v>1427.95</v>
      </c>
      <c r="I135" s="961"/>
      <c r="J135" s="962"/>
      <c r="K135" s="962"/>
      <c r="L135" s="963"/>
      <c r="M135" s="963"/>
      <c r="N135" s="964"/>
      <c r="O135" s="964"/>
      <c r="P135" s="965"/>
      <c r="Q135" s="965"/>
      <c r="R135" s="965"/>
      <c r="S135" s="965"/>
      <c r="T135" s="965"/>
      <c r="U135" s="965"/>
      <c r="V135" s="965"/>
      <c r="W135" s="965"/>
      <c r="X135" s="965"/>
      <c r="Y135" s="965"/>
      <c r="Z135" s="965"/>
      <c r="AA135" s="965"/>
      <c r="AB135" s="965"/>
      <c r="AC135" s="965"/>
      <c r="AD135" s="965"/>
      <c r="AE135" s="965"/>
      <c r="AF135" s="965"/>
      <c r="AG135" s="965"/>
    </row>
    <row r="136" spans="1:33" s="35" customFormat="1" ht="19.5" customHeight="1">
      <c r="A136" s="28" t="s">
        <v>319</v>
      </c>
      <c r="B136" s="28"/>
      <c r="C136" s="134"/>
      <c r="D136" s="2"/>
      <c r="E136" s="2"/>
      <c r="F136" s="2"/>
      <c r="G136" s="2"/>
      <c r="H136" s="1"/>
      <c r="I136" s="961"/>
      <c r="J136" s="962"/>
      <c r="K136" s="962"/>
      <c r="L136" s="963"/>
      <c r="M136" s="963"/>
      <c r="N136" s="964"/>
      <c r="O136" s="964"/>
      <c r="P136" s="965"/>
      <c r="Q136" s="965"/>
      <c r="R136" s="965"/>
      <c r="S136" s="965"/>
      <c r="T136" s="965"/>
      <c r="U136" s="965"/>
      <c r="V136" s="965"/>
      <c r="W136" s="965"/>
      <c r="X136" s="965"/>
      <c r="Y136" s="965"/>
      <c r="Z136" s="965"/>
      <c r="AA136" s="965"/>
      <c r="AB136" s="965"/>
      <c r="AC136" s="965"/>
      <c r="AD136" s="965"/>
      <c r="AE136" s="965"/>
      <c r="AF136" s="965"/>
      <c r="AG136" s="965"/>
    </row>
    <row r="137" spans="1:33" s="35" customFormat="1" ht="19.5" customHeight="1">
      <c r="A137" s="28" t="s">
        <v>269</v>
      </c>
      <c r="B137" s="28"/>
      <c r="C137" s="134"/>
      <c r="D137" s="2"/>
      <c r="E137" s="2"/>
      <c r="F137" s="2"/>
      <c r="G137" s="2"/>
      <c r="H137" s="141">
        <v>1427.95</v>
      </c>
      <c r="I137" s="961"/>
      <c r="J137" s="962"/>
      <c r="K137" s="962"/>
      <c r="L137" s="963"/>
      <c r="M137" s="963"/>
      <c r="N137" s="964"/>
      <c r="O137" s="964"/>
      <c r="P137" s="965"/>
      <c r="Q137" s="965"/>
      <c r="R137" s="965"/>
      <c r="S137" s="965"/>
      <c r="T137" s="965"/>
      <c r="U137" s="965"/>
      <c r="V137" s="965"/>
      <c r="W137" s="965"/>
      <c r="X137" s="965"/>
      <c r="Y137" s="965"/>
      <c r="Z137" s="965"/>
      <c r="AA137" s="965"/>
      <c r="AB137" s="965"/>
      <c r="AC137" s="965"/>
      <c r="AD137" s="965"/>
      <c r="AE137" s="965"/>
      <c r="AF137" s="965"/>
      <c r="AG137" s="965"/>
    </row>
    <row r="138" spans="1:33" s="35" customFormat="1" ht="19.5" customHeight="1">
      <c r="A138" s="28"/>
      <c r="B138" s="28"/>
      <c r="C138" s="134"/>
      <c r="D138" s="2"/>
      <c r="E138" s="2"/>
      <c r="F138" s="2"/>
      <c r="G138" s="2"/>
      <c r="H138" s="141"/>
      <c r="I138" s="961"/>
      <c r="J138" s="962"/>
      <c r="K138" s="962"/>
      <c r="L138" s="963"/>
      <c r="M138" s="963"/>
      <c r="N138" s="964"/>
      <c r="O138" s="964"/>
      <c r="P138" s="965"/>
      <c r="Q138" s="965"/>
      <c r="R138" s="965"/>
      <c r="S138" s="965"/>
      <c r="T138" s="965"/>
      <c r="U138" s="965"/>
      <c r="V138" s="965"/>
      <c r="W138" s="965"/>
      <c r="X138" s="965"/>
      <c r="Y138" s="965"/>
      <c r="Z138" s="965"/>
      <c r="AA138" s="965"/>
      <c r="AB138" s="965"/>
      <c r="AC138" s="965"/>
      <c r="AD138" s="965"/>
      <c r="AE138" s="965"/>
      <c r="AF138" s="965"/>
      <c r="AG138" s="965"/>
    </row>
    <row r="139" spans="1:33" s="35" customFormat="1" ht="19.5" customHeight="1">
      <c r="A139" s="179"/>
      <c r="B139" s="180"/>
      <c r="C139" s="180"/>
      <c r="D139" s="181"/>
      <c r="E139" s="181"/>
      <c r="F139" s="181"/>
      <c r="G139" s="181"/>
      <c r="H139" s="181"/>
      <c r="I139" s="961"/>
      <c r="J139" s="962"/>
      <c r="K139" s="962"/>
      <c r="L139" s="963"/>
      <c r="M139" s="963"/>
      <c r="N139" s="964"/>
      <c r="O139" s="964"/>
      <c r="P139" s="965"/>
      <c r="Q139" s="965"/>
      <c r="R139" s="965"/>
      <c r="S139" s="965"/>
      <c r="T139" s="965"/>
      <c r="U139" s="965"/>
      <c r="V139" s="965"/>
      <c r="W139" s="965"/>
      <c r="X139" s="965"/>
      <c r="Y139" s="965"/>
      <c r="Z139" s="965"/>
      <c r="AA139" s="965"/>
      <c r="AB139" s="965"/>
      <c r="AC139" s="965"/>
      <c r="AD139" s="965"/>
      <c r="AE139" s="965"/>
      <c r="AF139" s="965"/>
      <c r="AG139" s="965"/>
    </row>
    <row r="140" spans="1:33" s="35" customFormat="1" ht="19.5" customHeight="1">
      <c r="A140" s="179"/>
      <c r="B140" s="180"/>
      <c r="C140" s="180"/>
      <c r="D140" s="181"/>
      <c r="E140" s="181"/>
      <c r="F140" s="181"/>
      <c r="G140" s="181"/>
      <c r="H140" s="181"/>
      <c r="I140" s="961"/>
      <c r="J140" s="962"/>
      <c r="K140" s="962"/>
      <c r="L140" s="963"/>
      <c r="M140" s="963"/>
      <c r="N140" s="964"/>
      <c r="O140" s="964"/>
      <c r="P140" s="965"/>
      <c r="Q140" s="965"/>
      <c r="R140" s="965"/>
      <c r="S140" s="965"/>
      <c r="T140" s="965"/>
      <c r="U140" s="965"/>
      <c r="V140" s="965"/>
      <c r="W140" s="965"/>
      <c r="X140" s="965"/>
      <c r="Y140" s="965"/>
      <c r="Z140" s="965"/>
      <c r="AA140" s="965"/>
      <c r="AB140" s="965"/>
      <c r="AC140" s="965"/>
      <c r="AD140" s="965"/>
      <c r="AE140" s="965"/>
      <c r="AF140" s="965"/>
      <c r="AG140" s="965"/>
    </row>
    <row r="141" spans="1:33" s="28" customFormat="1" ht="19.5" customHeight="1">
      <c r="A141" s="137" t="s">
        <v>280</v>
      </c>
      <c r="B141" s="189"/>
      <c r="C141" s="190"/>
      <c r="H141" s="1"/>
      <c r="I141" s="949"/>
      <c r="J141" s="934"/>
      <c r="K141" s="955"/>
      <c r="L141" s="934"/>
      <c r="M141" s="934"/>
      <c r="N141" s="943"/>
      <c r="O141" s="943"/>
      <c r="P141" s="944"/>
      <c r="Q141" s="944"/>
      <c r="R141" s="944"/>
      <c r="S141" s="944"/>
      <c r="T141" s="944"/>
      <c r="U141" s="944"/>
      <c r="V141" s="944"/>
      <c r="W141" s="944"/>
      <c r="X141" s="944"/>
      <c r="Y141" s="944"/>
      <c r="Z141" s="944"/>
      <c r="AA141" s="944"/>
      <c r="AB141" s="944"/>
      <c r="AC141" s="944"/>
      <c r="AD141" s="944"/>
      <c r="AE141" s="944"/>
      <c r="AF141" s="944"/>
      <c r="AG141" s="944"/>
    </row>
    <row r="142" spans="1:23" ht="19.5" customHeight="1">
      <c r="A142" s="188"/>
      <c r="B142" s="188"/>
      <c r="C142" s="188"/>
      <c r="D142" s="28"/>
      <c r="E142" s="28"/>
      <c r="F142" s="28"/>
      <c r="G142" s="28"/>
      <c r="H142" s="1"/>
      <c r="I142" s="966"/>
      <c r="J142" s="967"/>
      <c r="K142" s="968"/>
      <c r="L142" s="969"/>
      <c r="M142" s="969"/>
      <c r="N142" s="970"/>
      <c r="O142" s="970"/>
      <c r="P142" s="12"/>
      <c r="Q142" s="971"/>
      <c r="R142" s="971"/>
      <c r="S142" s="971"/>
      <c r="T142" s="971"/>
      <c r="U142" s="971"/>
      <c r="V142" s="971"/>
      <c r="W142" s="971"/>
    </row>
    <row r="143" spans="1:23" ht="19.5" customHeight="1">
      <c r="A143" s="137"/>
      <c r="B143" s="189"/>
      <c r="C143" s="190"/>
      <c r="D143" s="16"/>
      <c r="E143" s="16"/>
      <c r="F143" s="16"/>
      <c r="G143" s="16"/>
      <c r="H143" s="17"/>
      <c r="I143" s="972"/>
      <c r="J143" s="973"/>
      <c r="K143" s="968"/>
      <c r="L143" s="969"/>
      <c r="M143" s="969"/>
      <c r="N143" s="970"/>
      <c r="O143" s="970"/>
      <c r="P143" s="12"/>
      <c r="Q143" s="971"/>
      <c r="R143" s="971"/>
      <c r="S143" s="971"/>
      <c r="T143" s="971"/>
      <c r="U143" s="971"/>
      <c r="V143" s="971"/>
      <c r="W143" s="971"/>
    </row>
    <row r="144" spans="1:23" ht="19.5" customHeight="1">
      <c r="A144" s="137"/>
      <c r="B144" s="191" t="s">
        <v>382</v>
      </c>
      <c r="C144" s="192"/>
      <c r="D144" s="16"/>
      <c r="E144" s="16"/>
      <c r="F144" s="16"/>
      <c r="G144" s="16"/>
      <c r="H144" s="193">
        <f>H147+H164</f>
        <v>401856325.56000006</v>
      </c>
      <c r="I144" s="972"/>
      <c r="J144" s="973"/>
      <c r="K144" s="968"/>
      <c r="L144" s="969"/>
      <c r="M144" s="969"/>
      <c r="N144" s="970"/>
      <c r="O144" s="970"/>
      <c r="P144" s="12"/>
      <c r="Q144" s="971"/>
      <c r="R144" s="971"/>
      <c r="S144" s="971"/>
      <c r="T144" s="971"/>
      <c r="U144" s="971"/>
      <c r="V144" s="971"/>
      <c r="W144" s="971"/>
    </row>
    <row r="145" spans="1:23" ht="19.5" customHeight="1">
      <c r="A145" s="137"/>
      <c r="B145" s="191" t="s">
        <v>377</v>
      </c>
      <c r="C145" s="192"/>
      <c r="D145" s="16"/>
      <c r="E145" s="16"/>
      <c r="F145" s="16"/>
      <c r="G145" s="16"/>
      <c r="H145" s="193">
        <f>H148+H165</f>
        <v>418298642.95000005</v>
      </c>
      <c r="I145" s="974"/>
      <c r="J145" s="973"/>
      <c r="K145" s="968"/>
      <c r="L145" s="969"/>
      <c r="M145" s="969"/>
      <c r="N145" s="970"/>
      <c r="O145" s="970"/>
      <c r="P145" s="12"/>
      <c r="Q145" s="971"/>
      <c r="R145" s="971"/>
      <c r="S145" s="971"/>
      <c r="T145" s="971"/>
      <c r="U145" s="971"/>
      <c r="V145" s="971"/>
      <c r="W145" s="971"/>
    </row>
    <row r="146" spans="1:23" ht="19.5" customHeight="1">
      <c r="A146" s="137"/>
      <c r="B146" s="194" t="s">
        <v>375</v>
      </c>
      <c r="C146" s="190"/>
      <c r="D146" s="16"/>
      <c r="E146" s="16"/>
      <c r="F146" s="16"/>
      <c r="G146" s="16"/>
      <c r="H146" s="193"/>
      <c r="I146" s="974"/>
      <c r="J146" s="973"/>
      <c r="K146" s="968"/>
      <c r="L146" s="969"/>
      <c r="M146" s="969"/>
      <c r="N146" s="970"/>
      <c r="O146" s="970"/>
      <c r="P146" s="12"/>
      <c r="Q146" s="971"/>
      <c r="R146" s="971"/>
      <c r="S146" s="971"/>
      <c r="T146" s="971"/>
      <c r="U146" s="971"/>
      <c r="V146" s="971"/>
      <c r="W146" s="971"/>
    </row>
    <row r="147" spans="1:23" ht="19.5" customHeight="1">
      <c r="A147" s="196" t="s">
        <v>383</v>
      </c>
      <c r="B147" s="196"/>
      <c r="C147" s="196"/>
      <c r="D147" s="152"/>
      <c r="E147" s="148"/>
      <c r="F147" s="148"/>
      <c r="G147" s="16"/>
      <c r="H147" s="193">
        <f>H151+H160</f>
        <v>281138291.16</v>
      </c>
      <c r="I147" s="974"/>
      <c r="J147" s="973"/>
      <c r="K147" s="968"/>
      <c r="L147" s="969"/>
      <c r="M147" s="969"/>
      <c r="N147" s="970"/>
      <c r="O147" s="970"/>
      <c r="P147" s="12"/>
      <c r="Q147" s="971"/>
      <c r="R147" s="971"/>
      <c r="S147" s="971"/>
      <c r="T147" s="971"/>
      <c r="U147" s="971"/>
      <c r="V147" s="971"/>
      <c r="W147" s="971"/>
    </row>
    <row r="148" spans="1:23" ht="19.5" customHeight="1">
      <c r="A148" s="196"/>
      <c r="B148" s="197" t="s">
        <v>377</v>
      </c>
      <c r="C148" s="196"/>
      <c r="D148" s="152"/>
      <c r="E148" s="148"/>
      <c r="F148" s="148"/>
      <c r="G148" s="16"/>
      <c r="H148" s="193">
        <f>H147-D301+F301</f>
        <v>296249057.18</v>
      </c>
      <c r="I148" s="974"/>
      <c r="J148" s="973"/>
      <c r="K148" s="968"/>
      <c r="L148" s="969"/>
      <c r="M148" s="969"/>
      <c r="N148" s="970"/>
      <c r="O148" s="970"/>
      <c r="P148" s="12"/>
      <c r="Q148" s="971"/>
      <c r="R148" s="971"/>
      <c r="S148" s="971"/>
      <c r="T148" s="971"/>
      <c r="U148" s="971"/>
      <c r="V148" s="971"/>
      <c r="W148" s="971"/>
    </row>
    <row r="149" spans="1:23" ht="19.5" customHeight="1">
      <c r="A149" s="147" t="s">
        <v>320</v>
      </c>
      <c r="B149" s="147" t="s">
        <v>384</v>
      </c>
      <c r="C149" s="147"/>
      <c r="D149" s="148"/>
      <c r="E149" s="148"/>
      <c r="F149" s="148"/>
      <c r="G149" s="16"/>
      <c r="H149" s="193"/>
      <c r="I149" s="974"/>
      <c r="J149" s="973"/>
      <c r="K149" s="975"/>
      <c r="L149" s="975"/>
      <c r="M149" s="969"/>
      <c r="N149" s="970"/>
      <c r="O149" s="970"/>
      <c r="P149" s="12"/>
      <c r="Q149" s="971"/>
      <c r="R149" s="971"/>
      <c r="S149" s="971"/>
      <c r="T149" s="971"/>
      <c r="U149" s="971"/>
      <c r="V149" s="971"/>
      <c r="W149" s="971"/>
    </row>
    <row r="150" spans="1:23" ht="19.5" customHeight="1">
      <c r="A150" s="147"/>
      <c r="B150" s="147"/>
      <c r="C150" s="147"/>
      <c r="D150" s="148"/>
      <c r="E150" s="148"/>
      <c r="F150" s="148"/>
      <c r="G150" s="16"/>
      <c r="H150" s="193"/>
      <c r="I150" s="974"/>
      <c r="J150" s="973"/>
      <c r="K150" s="975"/>
      <c r="L150" s="975"/>
      <c r="M150" s="969"/>
      <c r="N150" s="970"/>
      <c r="O150" s="970"/>
      <c r="P150" s="12"/>
      <c r="Q150" s="971"/>
      <c r="R150" s="971"/>
      <c r="S150" s="971"/>
      <c r="T150" s="971"/>
      <c r="U150" s="971"/>
      <c r="V150" s="971"/>
      <c r="W150" s="971"/>
    </row>
    <row r="151" spans="1:23" ht="19.5" customHeight="1">
      <c r="A151" s="198" t="s">
        <v>385</v>
      </c>
      <c r="B151" s="198"/>
      <c r="C151" s="198"/>
      <c r="D151" s="199"/>
      <c r="E151" s="148"/>
      <c r="F151" s="148"/>
      <c r="G151" s="16"/>
      <c r="H151" s="193">
        <f>45895.48+252062195.8</f>
        <v>252108091.28</v>
      </c>
      <c r="I151" s="974"/>
      <c r="J151" s="973"/>
      <c r="K151" s="975"/>
      <c r="L151" s="975"/>
      <c r="M151" s="969"/>
      <c r="N151" s="970"/>
      <c r="O151" s="970"/>
      <c r="P151" s="12"/>
      <c r="Q151" s="971"/>
      <c r="R151" s="971"/>
      <c r="S151" s="971"/>
      <c r="T151" s="971"/>
      <c r="U151" s="971"/>
      <c r="V151" s="971"/>
      <c r="W151" s="971"/>
    </row>
    <row r="152" spans="1:23" ht="19.5" customHeight="1">
      <c r="A152" s="198"/>
      <c r="B152" s="200" t="s">
        <v>377</v>
      </c>
      <c r="C152" s="198"/>
      <c r="D152" s="199"/>
      <c r="E152" s="152"/>
      <c r="F152" s="199"/>
      <c r="G152" s="16"/>
      <c r="H152" s="193">
        <f>H151-D301+F301-F299-F298-F290-F286-F285-F281-F257-F235-F230-F221-F210-F209-F195-F194</f>
        <v>255029262.3</v>
      </c>
      <c r="I152" s="974"/>
      <c r="J152" s="973"/>
      <c r="K152" s="976"/>
      <c r="L152" s="976"/>
      <c r="M152" s="969"/>
      <c r="N152" s="970"/>
      <c r="O152" s="970"/>
      <c r="P152" s="12"/>
      <c r="Q152" s="971"/>
      <c r="R152" s="971"/>
      <c r="S152" s="971"/>
      <c r="T152" s="971"/>
      <c r="U152" s="971"/>
      <c r="V152" s="971"/>
      <c r="W152" s="971"/>
    </row>
    <row r="153" spans="1:23" ht="19.5" customHeight="1">
      <c r="A153" s="145"/>
      <c r="B153" s="146" t="s">
        <v>319</v>
      </c>
      <c r="C153" s="140"/>
      <c r="D153" s="26"/>
      <c r="E153" s="152"/>
      <c r="F153" s="199"/>
      <c r="G153" s="16"/>
      <c r="H153" s="193"/>
      <c r="I153" s="972"/>
      <c r="J153" s="973"/>
      <c r="K153" s="977"/>
      <c r="L153" s="978"/>
      <c r="M153" s="969"/>
      <c r="N153" s="970"/>
      <c r="O153" s="970"/>
      <c r="P153" s="12"/>
      <c r="Q153" s="971"/>
      <c r="R153" s="971"/>
      <c r="S153" s="971"/>
      <c r="T153" s="971"/>
      <c r="U153" s="971"/>
      <c r="V153" s="971"/>
      <c r="W153" s="971"/>
    </row>
    <row r="154" spans="1:23" ht="19.5" customHeight="1">
      <c r="A154" s="145"/>
      <c r="B154" s="694" t="s">
        <v>8</v>
      </c>
      <c r="C154" s="140"/>
      <c r="D154" s="26"/>
      <c r="E154" s="152"/>
      <c r="F154" s="199"/>
      <c r="G154" s="16"/>
      <c r="H154" s="193"/>
      <c r="I154" s="972"/>
      <c r="J154" s="973"/>
      <c r="K154" s="977"/>
      <c r="L154" s="979"/>
      <c r="M154" s="969"/>
      <c r="N154" s="970"/>
      <c r="O154" s="970"/>
      <c r="P154" s="12"/>
      <c r="Q154" s="971"/>
      <c r="R154" s="971"/>
      <c r="S154" s="971"/>
      <c r="T154" s="971"/>
      <c r="U154" s="971"/>
      <c r="V154" s="971"/>
      <c r="W154" s="971"/>
    </row>
    <row r="155" spans="1:23" ht="19.5" customHeight="1">
      <c r="A155" s="145"/>
      <c r="B155" s="146" t="s">
        <v>9</v>
      </c>
      <c r="C155" s="140"/>
      <c r="D155" s="26"/>
      <c r="E155" s="152"/>
      <c r="F155" s="199"/>
      <c r="G155" s="16"/>
      <c r="H155" s="193"/>
      <c r="I155" s="972"/>
      <c r="J155" s="973"/>
      <c r="K155" s="977"/>
      <c r="L155" s="978"/>
      <c r="M155" s="969"/>
      <c r="N155" s="970"/>
      <c r="O155" s="970"/>
      <c r="P155" s="12"/>
      <c r="Q155" s="971"/>
      <c r="R155" s="971"/>
      <c r="S155" s="971"/>
      <c r="T155" s="971"/>
      <c r="U155" s="971"/>
      <c r="V155" s="971"/>
      <c r="W155" s="971"/>
    </row>
    <row r="156" spans="1:23" ht="19.5" customHeight="1">
      <c r="A156" s="145"/>
      <c r="B156" s="146" t="s">
        <v>10</v>
      </c>
      <c r="C156" s="140"/>
      <c r="D156" s="26"/>
      <c r="E156" s="152"/>
      <c r="F156" s="199"/>
      <c r="G156" s="16"/>
      <c r="H156" s="195">
        <v>3900537.96</v>
      </c>
      <c r="I156" s="972"/>
      <c r="J156" s="973"/>
      <c r="K156" s="977"/>
      <c r="L156" s="978"/>
      <c r="M156" s="969"/>
      <c r="N156" s="970"/>
      <c r="O156" s="970"/>
      <c r="P156" s="12"/>
      <c r="Q156" s="971"/>
      <c r="R156" s="971"/>
      <c r="S156" s="971"/>
      <c r="T156" s="971"/>
      <c r="U156" s="971"/>
      <c r="V156" s="971"/>
      <c r="W156" s="971"/>
    </row>
    <row r="157" spans="1:23" ht="19.5" customHeight="1">
      <c r="A157" s="145"/>
      <c r="B157" s="146" t="s">
        <v>377</v>
      </c>
      <c r="C157" s="140"/>
      <c r="D157" s="26"/>
      <c r="E157" s="152"/>
      <c r="F157" s="199"/>
      <c r="G157" s="16"/>
      <c r="H157" s="195">
        <f>H156-D258+F243+F258</f>
        <v>3993963.31</v>
      </c>
      <c r="I157" s="972"/>
      <c r="J157" s="973"/>
      <c r="K157" s="977"/>
      <c r="L157" s="978"/>
      <c r="M157" s="969"/>
      <c r="N157" s="970"/>
      <c r="O157" s="970"/>
      <c r="P157" s="12"/>
      <c r="Q157" s="971"/>
      <c r="R157" s="971"/>
      <c r="S157" s="971"/>
      <c r="T157" s="971"/>
      <c r="U157" s="971"/>
      <c r="V157" s="971"/>
      <c r="W157" s="971"/>
    </row>
    <row r="158" spans="1:23" ht="19.5" customHeight="1">
      <c r="A158" s="145"/>
      <c r="B158" s="146"/>
      <c r="C158" s="140"/>
      <c r="D158" s="26"/>
      <c r="E158" s="152"/>
      <c r="F158" s="199"/>
      <c r="G158" s="16"/>
      <c r="H158" s="193"/>
      <c r="I158" s="972"/>
      <c r="J158" s="973"/>
      <c r="K158" s="968"/>
      <c r="L158" s="969"/>
      <c r="M158" s="969"/>
      <c r="N158" s="970"/>
      <c r="O158" s="970"/>
      <c r="P158" s="12"/>
      <c r="Q158" s="971"/>
      <c r="R158" s="971"/>
      <c r="S158" s="971"/>
      <c r="T158" s="971"/>
      <c r="U158" s="971"/>
      <c r="V158" s="971"/>
      <c r="W158" s="971"/>
    </row>
    <row r="159" spans="1:23" ht="19.5" customHeight="1">
      <c r="A159" s="145"/>
      <c r="B159" s="146"/>
      <c r="C159" s="140"/>
      <c r="D159" s="26"/>
      <c r="E159" s="152"/>
      <c r="F159" s="199"/>
      <c r="G159" s="16"/>
      <c r="H159" s="193"/>
      <c r="I159" s="972"/>
      <c r="J159" s="973"/>
      <c r="K159" s="968"/>
      <c r="L159" s="969"/>
      <c r="M159" s="969"/>
      <c r="N159" s="970"/>
      <c r="O159" s="970"/>
      <c r="P159" s="12"/>
      <c r="Q159" s="971"/>
      <c r="R159" s="971"/>
      <c r="S159" s="971"/>
      <c r="T159" s="971"/>
      <c r="U159" s="971"/>
      <c r="V159" s="971"/>
      <c r="W159" s="971"/>
    </row>
    <row r="160" spans="1:23" ht="19.5" customHeight="1">
      <c r="A160" s="198" t="s">
        <v>386</v>
      </c>
      <c r="B160" s="198"/>
      <c r="C160" s="196"/>
      <c r="D160" s="199"/>
      <c r="E160" s="152"/>
      <c r="F160" s="199"/>
      <c r="G160" s="16"/>
      <c r="H160" s="193">
        <v>29030199.88</v>
      </c>
      <c r="I160" s="972"/>
      <c r="J160" s="973"/>
      <c r="K160" s="968"/>
      <c r="L160" s="969"/>
      <c r="M160" s="969"/>
      <c r="N160" s="970"/>
      <c r="O160" s="970"/>
      <c r="P160" s="12"/>
      <c r="Q160" s="971"/>
      <c r="R160" s="971"/>
      <c r="S160" s="971"/>
      <c r="T160" s="971"/>
      <c r="U160" s="971"/>
      <c r="V160" s="971"/>
      <c r="W160" s="971"/>
    </row>
    <row r="161" spans="1:23" ht="19.5" customHeight="1">
      <c r="A161" s="198"/>
      <c r="B161" s="200" t="s">
        <v>377</v>
      </c>
      <c r="C161" s="196"/>
      <c r="D161" s="199"/>
      <c r="E161" s="152"/>
      <c r="F161" s="199"/>
      <c r="G161" s="16"/>
      <c r="H161" s="193">
        <f>H160+F194+F195+F209+F210+F221+F230+F235+F257+F281+F285+F286+F290+F298+F299</f>
        <v>41219794.879999995</v>
      </c>
      <c r="I161" s="974"/>
      <c r="J161" s="973"/>
      <c r="K161" s="968"/>
      <c r="L161" s="969"/>
      <c r="M161" s="969"/>
      <c r="N161" s="970"/>
      <c r="O161" s="970"/>
      <c r="P161" s="12"/>
      <c r="Q161" s="971"/>
      <c r="R161" s="971"/>
      <c r="S161" s="971"/>
      <c r="T161" s="971"/>
      <c r="U161" s="971"/>
      <c r="V161" s="971"/>
      <c r="W161" s="971"/>
    </row>
    <row r="162" spans="1:23" ht="19.5" customHeight="1">
      <c r="A162" s="145"/>
      <c r="B162" s="146"/>
      <c r="C162" s="140"/>
      <c r="D162" s="26"/>
      <c r="E162" s="152"/>
      <c r="F162" s="199"/>
      <c r="G162" s="16"/>
      <c r="H162" s="193"/>
      <c r="I162" s="974"/>
      <c r="J162" s="973"/>
      <c r="K162" s="968"/>
      <c r="L162" s="980"/>
      <c r="M162" s="969"/>
      <c r="N162" s="970"/>
      <c r="O162" s="970"/>
      <c r="P162" s="12"/>
      <c r="Q162" s="971"/>
      <c r="R162" s="971"/>
      <c r="S162" s="971"/>
      <c r="T162" s="971"/>
      <c r="U162" s="971"/>
      <c r="V162" s="971"/>
      <c r="W162" s="971"/>
    </row>
    <row r="163" spans="1:23" ht="19.5" customHeight="1">
      <c r="A163" s="198"/>
      <c r="B163" s="200"/>
      <c r="C163" s="196"/>
      <c r="D163" s="199"/>
      <c r="E163" s="152"/>
      <c r="F163" s="199"/>
      <c r="G163" s="16"/>
      <c r="H163" s="193"/>
      <c r="I163" s="974"/>
      <c r="J163" s="967"/>
      <c r="K163" s="968"/>
      <c r="L163" s="969"/>
      <c r="M163" s="969"/>
      <c r="N163" s="970"/>
      <c r="O163" s="970"/>
      <c r="P163" s="12"/>
      <c r="Q163" s="971"/>
      <c r="R163" s="971"/>
      <c r="S163" s="971"/>
      <c r="T163" s="971"/>
      <c r="U163" s="971"/>
      <c r="V163" s="971"/>
      <c r="W163" s="971"/>
    </row>
    <row r="164" spans="1:23" ht="19.5" customHeight="1">
      <c r="A164" s="196" t="s">
        <v>387</v>
      </c>
      <c r="B164" s="196"/>
      <c r="C164" s="196"/>
      <c r="D164" s="152"/>
      <c r="E164" s="152"/>
      <c r="F164" s="199"/>
      <c r="G164" s="16"/>
      <c r="H164" s="193">
        <f>H168+H177</f>
        <v>120718034.4</v>
      </c>
      <c r="I164" s="974"/>
      <c r="J164" s="967"/>
      <c r="K164" s="968"/>
      <c r="L164" s="969"/>
      <c r="M164" s="969"/>
      <c r="N164" s="970"/>
      <c r="O164" s="970"/>
      <c r="P164" s="12"/>
      <c r="Q164" s="971"/>
      <c r="R164" s="971"/>
      <c r="S164" s="971"/>
      <c r="T164" s="971"/>
      <c r="U164" s="971"/>
      <c r="V164" s="971"/>
      <c r="W164" s="971"/>
    </row>
    <row r="165" spans="1:11" ht="19.5" customHeight="1">
      <c r="A165" s="196"/>
      <c r="B165" s="197" t="s">
        <v>377</v>
      </c>
      <c r="C165" s="196"/>
      <c r="D165" s="152"/>
      <c r="E165" s="152"/>
      <c r="F165" s="199"/>
      <c r="H165" s="141">
        <f>H164-D372+F372</f>
        <v>122049585.77000001</v>
      </c>
      <c r="I165" s="949"/>
      <c r="K165" s="948"/>
    </row>
    <row r="166" spans="1:12" ht="19.5" customHeight="1">
      <c r="A166" s="147" t="s">
        <v>320</v>
      </c>
      <c r="B166" s="147" t="s">
        <v>384</v>
      </c>
      <c r="C166" s="147"/>
      <c r="D166" s="148"/>
      <c r="E166" s="152"/>
      <c r="F166" s="199"/>
      <c r="H166" s="141"/>
      <c r="I166" s="949"/>
      <c r="J166" s="955"/>
      <c r="K166" s="948"/>
      <c r="L166" s="948"/>
    </row>
    <row r="167" spans="1:12" ht="19.5" customHeight="1">
      <c r="A167" s="147"/>
      <c r="B167" s="147"/>
      <c r="C167" s="147"/>
      <c r="D167" s="148"/>
      <c r="E167" s="152"/>
      <c r="F167" s="199"/>
      <c r="H167" s="141"/>
      <c r="I167" s="949"/>
      <c r="K167" s="948"/>
      <c r="L167" s="948"/>
    </row>
    <row r="168" spans="1:23" ht="19.5" customHeight="1">
      <c r="A168" s="198" t="s">
        <v>385</v>
      </c>
      <c r="B168" s="198"/>
      <c r="C168" s="198"/>
      <c r="D168" s="199"/>
      <c r="E168" s="152"/>
      <c r="F168" s="199"/>
      <c r="G168" s="16"/>
      <c r="H168" s="193">
        <v>106744984.4</v>
      </c>
      <c r="I168" s="981"/>
      <c r="J168" s="982"/>
      <c r="K168" s="968"/>
      <c r="L168" s="968"/>
      <c r="M168" s="969"/>
      <c r="N168" s="970"/>
      <c r="O168" s="970"/>
      <c r="P168" s="12"/>
      <c r="Q168" s="971"/>
      <c r="R168" s="971"/>
      <c r="S168" s="971"/>
      <c r="T168" s="971"/>
      <c r="U168" s="971"/>
      <c r="V168" s="971"/>
      <c r="W168" s="971"/>
    </row>
    <row r="169" spans="1:23" ht="19.5" customHeight="1">
      <c r="A169" s="198"/>
      <c r="B169" s="200" t="s">
        <v>377</v>
      </c>
      <c r="C169" s="198"/>
      <c r="D169" s="199"/>
      <c r="E169" s="152"/>
      <c r="F169" s="199"/>
      <c r="G169" s="16"/>
      <c r="H169" s="193">
        <f>H168-D372+F372-F367-F315-F314</f>
        <v>107768735.77000001</v>
      </c>
      <c r="I169" s="974"/>
      <c r="J169" s="982"/>
      <c r="K169" s="968"/>
      <c r="L169" s="969"/>
      <c r="M169" s="969"/>
      <c r="N169" s="970"/>
      <c r="O169" s="970"/>
      <c r="P169" s="12"/>
      <c r="Q169" s="971"/>
      <c r="R169" s="971"/>
      <c r="S169" s="971"/>
      <c r="T169" s="971"/>
      <c r="U169" s="971"/>
      <c r="V169" s="971"/>
      <c r="W169" s="971"/>
    </row>
    <row r="170" spans="1:23" ht="19.5" customHeight="1">
      <c r="A170" s="198"/>
      <c r="B170" s="806" t="s">
        <v>319</v>
      </c>
      <c r="C170" s="198"/>
      <c r="D170" s="199"/>
      <c r="E170" s="152"/>
      <c r="F170" s="199"/>
      <c r="G170" s="16"/>
      <c r="H170" s="193"/>
      <c r="I170" s="974"/>
      <c r="J170" s="982"/>
      <c r="K170" s="968"/>
      <c r="L170" s="969"/>
      <c r="M170" s="969"/>
      <c r="N170" s="970"/>
      <c r="O170" s="970"/>
      <c r="P170" s="12"/>
      <c r="Q170" s="971"/>
      <c r="R170" s="971"/>
      <c r="S170" s="971"/>
      <c r="T170" s="971"/>
      <c r="U170" s="971"/>
      <c r="V170" s="971"/>
      <c r="W170" s="971"/>
    </row>
    <row r="171" spans="1:23" ht="19.5" customHeight="1">
      <c r="A171" s="145"/>
      <c r="B171" s="694" t="s">
        <v>8</v>
      </c>
      <c r="C171" s="140"/>
      <c r="D171" s="26"/>
      <c r="E171" s="152"/>
      <c r="F171" s="199"/>
      <c r="G171" s="16"/>
      <c r="H171" s="193"/>
      <c r="I171" s="974"/>
      <c r="J171" s="982"/>
      <c r="K171" s="968"/>
      <c r="L171" s="969"/>
      <c r="M171" s="969"/>
      <c r="N171" s="970"/>
      <c r="O171" s="970"/>
      <c r="P171" s="12"/>
      <c r="Q171" s="971"/>
      <c r="R171" s="971"/>
      <c r="S171" s="971"/>
      <c r="T171" s="971"/>
      <c r="U171" s="971"/>
      <c r="V171" s="971"/>
      <c r="W171" s="971"/>
    </row>
    <row r="172" spans="1:23" ht="19.5" customHeight="1">
      <c r="A172" s="145"/>
      <c r="B172" s="146" t="s">
        <v>9</v>
      </c>
      <c r="C172" s="140"/>
      <c r="D172" s="26"/>
      <c r="E172" s="152"/>
      <c r="F172" s="199"/>
      <c r="G172" s="16"/>
      <c r="H172" s="193"/>
      <c r="I172" s="974"/>
      <c r="J172" s="982"/>
      <c r="K172" s="968"/>
      <c r="L172" s="969"/>
      <c r="M172" s="969"/>
      <c r="N172" s="970"/>
      <c r="O172" s="970"/>
      <c r="P172" s="12"/>
      <c r="Q172" s="971"/>
      <c r="R172" s="971"/>
      <c r="S172" s="971"/>
      <c r="T172" s="971"/>
      <c r="U172" s="971"/>
      <c r="V172" s="971"/>
      <c r="W172" s="971"/>
    </row>
    <row r="173" spans="1:23" ht="19.5" customHeight="1">
      <c r="A173" s="145"/>
      <c r="B173" s="146" t="s">
        <v>10</v>
      </c>
      <c r="C173" s="140"/>
      <c r="D173" s="26"/>
      <c r="E173" s="152"/>
      <c r="F173" s="199"/>
      <c r="G173" s="16"/>
      <c r="H173" s="195">
        <v>472486.09</v>
      </c>
      <c r="I173" s="974"/>
      <c r="J173" s="982"/>
      <c r="K173" s="968"/>
      <c r="L173" s="969"/>
      <c r="M173" s="969"/>
      <c r="N173" s="970"/>
      <c r="O173" s="970"/>
      <c r="P173" s="12"/>
      <c r="Q173" s="971"/>
      <c r="R173" s="971"/>
      <c r="S173" s="971"/>
      <c r="T173" s="971"/>
      <c r="U173" s="971"/>
      <c r="V173" s="971"/>
      <c r="W173" s="971"/>
    </row>
    <row r="174" spans="1:23" ht="19.5" customHeight="1">
      <c r="A174" s="145"/>
      <c r="B174" s="146" t="s">
        <v>377</v>
      </c>
      <c r="C174" s="140"/>
      <c r="D174" s="26"/>
      <c r="E174" s="152"/>
      <c r="F174" s="199"/>
      <c r="G174" s="16"/>
      <c r="H174" s="195">
        <f>H173-D357+F347+F357</f>
        <v>479134.46</v>
      </c>
      <c r="I174" s="974"/>
      <c r="J174" s="982"/>
      <c r="K174" s="968"/>
      <c r="L174" s="969"/>
      <c r="M174" s="969"/>
      <c r="N174" s="970"/>
      <c r="O174" s="970"/>
      <c r="P174" s="12"/>
      <c r="Q174" s="971"/>
      <c r="R174" s="971"/>
      <c r="S174" s="971"/>
      <c r="T174" s="971"/>
      <c r="U174" s="971"/>
      <c r="V174" s="971"/>
      <c r="W174" s="971"/>
    </row>
    <row r="175" spans="1:23" ht="19.5" customHeight="1">
      <c r="A175" s="198"/>
      <c r="B175" s="200"/>
      <c r="C175" s="198"/>
      <c r="D175" s="199"/>
      <c r="E175" s="152"/>
      <c r="F175" s="199"/>
      <c r="G175" s="16"/>
      <c r="H175" s="193"/>
      <c r="I175" s="974"/>
      <c r="J175" s="982"/>
      <c r="K175" s="968"/>
      <c r="L175" s="969"/>
      <c r="M175" s="969"/>
      <c r="N175" s="970"/>
      <c r="O175" s="970"/>
      <c r="P175" s="12"/>
      <c r="Q175" s="971"/>
      <c r="R175" s="971"/>
      <c r="S175" s="971"/>
      <c r="T175" s="971"/>
      <c r="U175" s="971"/>
      <c r="V175" s="971"/>
      <c r="W175" s="971"/>
    </row>
    <row r="176" spans="1:23" ht="19.5" customHeight="1">
      <c r="A176" s="198"/>
      <c r="B176" s="200"/>
      <c r="C176" s="198"/>
      <c r="D176" s="199"/>
      <c r="E176" s="152"/>
      <c r="F176" s="199"/>
      <c r="G176" s="16"/>
      <c r="H176" s="193"/>
      <c r="I176" s="983"/>
      <c r="J176" s="973"/>
      <c r="K176" s="968"/>
      <c r="L176" s="969"/>
      <c r="M176" s="969"/>
      <c r="N176" s="970"/>
      <c r="O176" s="970"/>
      <c r="P176" s="12"/>
      <c r="Q176" s="971"/>
      <c r="R176" s="971"/>
      <c r="S176" s="971"/>
      <c r="T176" s="971"/>
      <c r="U176" s="971"/>
      <c r="V176" s="971"/>
      <c r="W176" s="971"/>
    </row>
    <row r="177" spans="1:23" ht="19.5" customHeight="1">
      <c r="A177" s="198" t="s">
        <v>386</v>
      </c>
      <c r="B177" s="198"/>
      <c r="C177" s="196"/>
      <c r="D177" s="199"/>
      <c r="E177" s="152"/>
      <c r="F177" s="199"/>
      <c r="G177" s="16"/>
      <c r="H177" s="193">
        <v>13973050</v>
      </c>
      <c r="I177" s="983"/>
      <c r="J177" s="973"/>
      <c r="K177" s="968"/>
      <c r="L177" s="969"/>
      <c r="M177" s="969"/>
      <c r="N177" s="970"/>
      <c r="O177" s="970"/>
      <c r="P177" s="12"/>
      <c r="Q177" s="971"/>
      <c r="R177" s="971"/>
      <c r="S177" s="971"/>
      <c r="T177" s="971"/>
      <c r="U177" s="971"/>
      <c r="V177" s="971"/>
      <c r="W177" s="971"/>
    </row>
    <row r="178" spans="1:23" ht="19.5" customHeight="1">
      <c r="A178" s="198"/>
      <c r="B178" s="200" t="s">
        <v>377</v>
      </c>
      <c r="C178" s="196"/>
      <c r="D178" s="199"/>
      <c r="E178" s="152"/>
      <c r="F178" s="199"/>
      <c r="G178" s="16"/>
      <c r="H178" s="193">
        <f>H177+F314+F315+F367</f>
        <v>14280850</v>
      </c>
      <c r="I178" s="984"/>
      <c r="J178" s="973"/>
      <c r="K178" s="968"/>
      <c r="L178" s="969"/>
      <c r="M178" s="969"/>
      <c r="N178" s="970"/>
      <c r="O178" s="970"/>
      <c r="P178" s="12"/>
      <c r="Q178" s="971"/>
      <c r="R178" s="971"/>
      <c r="S178" s="971"/>
      <c r="T178" s="971"/>
      <c r="U178" s="971"/>
      <c r="V178" s="971"/>
      <c r="W178" s="971"/>
    </row>
    <row r="179" spans="1:23" ht="19.5" customHeight="1">
      <c r="A179" s="198"/>
      <c r="B179" s="200"/>
      <c r="C179" s="198"/>
      <c r="D179" s="199"/>
      <c r="E179" s="152"/>
      <c r="F179" s="199"/>
      <c r="G179" s="16"/>
      <c r="H179" s="193"/>
      <c r="I179" s="983"/>
      <c r="J179" s="973"/>
      <c r="K179" s="968"/>
      <c r="L179" s="969"/>
      <c r="M179" s="969"/>
      <c r="N179" s="970"/>
      <c r="O179" s="970"/>
      <c r="P179" s="12"/>
      <c r="Q179" s="971"/>
      <c r="R179" s="971"/>
      <c r="S179" s="971"/>
      <c r="T179" s="971"/>
      <c r="U179" s="971"/>
      <c r="V179" s="971"/>
      <c r="W179" s="971"/>
    </row>
    <row r="180" spans="1:23" ht="19.5" customHeight="1">
      <c r="A180" s="198"/>
      <c r="B180" s="200"/>
      <c r="C180" s="198"/>
      <c r="D180" s="199"/>
      <c r="E180" s="152"/>
      <c r="F180" s="199"/>
      <c r="G180" s="16"/>
      <c r="H180" s="193"/>
      <c r="I180" s="983"/>
      <c r="J180" s="973"/>
      <c r="K180" s="968"/>
      <c r="L180" s="969"/>
      <c r="M180" s="969"/>
      <c r="N180" s="970"/>
      <c r="O180" s="970"/>
      <c r="P180" s="12"/>
      <c r="Q180" s="971"/>
      <c r="R180" s="971"/>
      <c r="S180" s="971"/>
      <c r="T180" s="971"/>
      <c r="U180" s="971"/>
      <c r="V180" s="971"/>
      <c r="W180" s="971"/>
    </row>
    <row r="181" spans="1:23" ht="19.5" customHeight="1">
      <c r="A181" s="202" t="s">
        <v>368</v>
      </c>
      <c r="B181" s="203"/>
      <c r="C181" s="204"/>
      <c r="D181" s="18"/>
      <c r="E181" s="18"/>
      <c r="F181" s="18"/>
      <c r="G181" s="18"/>
      <c r="H181" s="21"/>
      <c r="I181" s="974"/>
      <c r="J181" s="984"/>
      <c r="K181" s="985"/>
      <c r="L181" s="984"/>
      <c r="M181" s="969"/>
      <c r="N181" s="970"/>
      <c r="O181" s="970"/>
      <c r="P181" s="12"/>
      <c r="Q181" s="12"/>
      <c r="R181" s="12"/>
      <c r="S181" s="12"/>
      <c r="T181" s="12"/>
      <c r="U181" s="12"/>
      <c r="V181" s="12"/>
      <c r="W181" s="12"/>
    </row>
    <row r="182" spans="1:23" ht="19.5" customHeight="1">
      <c r="A182" s="202"/>
      <c r="B182" s="203"/>
      <c r="C182" s="204"/>
      <c r="D182" s="18"/>
      <c r="E182" s="18"/>
      <c r="F182" s="18"/>
      <c r="G182" s="18"/>
      <c r="H182" s="21"/>
      <c r="I182" s="974"/>
      <c r="J182" s="984"/>
      <c r="K182" s="985"/>
      <c r="L182" s="984"/>
      <c r="M182" s="969"/>
      <c r="N182" s="970"/>
      <c r="O182" s="970"/>
      <c r="P182" s="12"/>
      <c r="Q182" s="12"/>
      <c r="R182" s="12"/>
      <c r="S182" s="12"/>
      <c r="T182" s="12"/>
      <c r="U182" s="12"/>
      <c r="V182" s="12"/>
      <c r="W182" s="12"/>
    </row>
    <row r="183" spans="1:23" ht="19.5" customHeight="1">
      <c r="A183" s="202"/>
      <c r="B183" s="203"/>
      <c r="C183" s="204"/>
      <c r="D183" s="18"/>
      <c r="E183" s="18"/>
      <c r="F183" s="18"/>
      <c r="G183" s="18"/>
      <c r="H183" s="21"/>
      <c r="I183" s="974"/>
      <c r="J183" s="984"/>
      <c r="K183" s="985"/>
      <c r="L183" s="979"/>
      <c r="M183" s="969"/>
      <c r="N183" s="970"/>
      <c r="O183" s="970"/>
      <c r="P183" s="12"/>
      <c r="Q183" s="12"/>
      <c r="R183" s="12"/>
      <c r="S183" s="12"/>
      <c r="T183" s="12"/>
      <c r="U183" s="12"/>
      <c r="V183" s="12"/>
      <c r="W183" s="12"/>
    </row>
    <row r="184" spans="1:23" ht="19.5" customHeight="1">
      <c r="A184" s="205" t="s">
        <v>427</v>
      </c>
      <c r="B184" s="205"/>
      <c r="C184" s="206"/>
      <c r="D184" s="19"/>
      <c r="E184" s="19"/>
      <c r="F184" s="19"/>
      <c r="G184" s="19"/>
      <c r="H184" s="17"/>
      <c r="I184" s="974"/>
      <c r="J184" s="967"/>
      <c r="K184" s="968"/>
      <c r="L184" s="986"/>
      <c r="M184" s="987"/>
      <c r="N184" s="970"/>
      <c r="O184" s="970"/>
      <c r="P184" s="12"/>
      <c r="Q184" s="12"/>
      <c r="R184" s="12"/>
      <c r="S184" s="12"/>
      <c r="T184" s="12"/>
      <c r="U184" s="12"/>
      <c r="V184" s="12"/>
      <c r="W184" s="12"/>
    </row>
    <row r="185" spans="1:23" ht="19.5" customHeight="1">
      <c r="A185" s="205"/>
      <c r="B185" s="205"/>
      <c r="C185" s="206"/>
      <c r="D185" s="19"/>
      <c r="E185" s="19"/>
      <c r="F185" s="19"/>
      <c r="G185" s="19"/>
      <c r="H185" s="17"/>
      <c r="I185" s="974"/>
      <c r="J185" s="967"/>
      <c r="K185" s="968"/>
      <c r="L185" s="986"/>
      <c r="M185" s="987"/>
      <c r="N185" s="970"/>
      <c r="O185" s="970"/>
      <c r="P185" s="12"/>
      <c r="Q185" s="12"/>
      <c r="R185" s="12"/>
      <c r="S185" s="12"/>
      <c r="T185" s="12"/>
      <c r="U185" s="12"/>
      <c r="V185" s="12"/>
      <c r="W185" s="12"/>
    </row>
    <row r="186" spans="1:23" ht="19.5" customHeight="1">
      <c r="A186" s="205"/>
      <c r="B186" s="205"/>
      <c r="C186" s="206"/>
      <c r="D186" s="19"/>
      <c r="E186" s="19"/>
      <c r="F186" s="19"/>
      <c r="G186" s="19"/>
      <c r="H186" s="17"/>
      <c r="I186" s="974"/>
      <c r="J186" s="967"/>
      <c r="K186" s="968"/>
      <c r="L186" s="977"/>
      <c r="M186" s="968"/>
      <c r="N186" s="970"/>
      <c r="O186" s="970"/>
      <c r="P186" s="12"/>
      <c r="Q186" s="12"/>
      <c r="R186" s="12"/>
      <c r="S186" s="12"/>
      <c r="T186" s="12"/>
      <c r="U186" s="12"/>
      <c r="V186" s="12"/>
      <c r="W186" s="12"/>
    </row>
    <row r="187" spans="1:23" ht="19.5" customHeight="1">
      <c r="A187" s="161"/>
      <c r="B187" s="161"/>
      <c r="C187" s="162"/>
      <c r="D187" s="10" t="s">
        <v>317</v>
      </c>
      <c r="E187" s="11"/>
      <c r="F187" s="10" t="s">
        <v>318</v>
      </c>
      <c r="G187" s="11"/>
      <c r="H187" s="17"/>
      <c r="I187" s="974"/>
      <c r="J187" s="967"/>
      <c r="K187" s="968"/>
      <c r="L187" s="969"/>
      <c r="M187" s="969"/>
      <c r="N187" s="970"/>
      <c r="O187" s="970"/>
      <c r="P187" s="12"/>
      <c r="Q187" s="12"/>
      <c r="R187" s="12"/>
      <c r="S187" s="12"/>
      <c r="T187" s="12"/>
      <c r="U187" s="12"/>
      <c r="V187" s="12"/>
      <c r="W187" s="12"/>
    </row>
    <row r="188" spans="1:23" ht="19.5" customHeight="1">
      <c r="A188" s="163"/>
      <c r="B188" s="163"/>
      <c r="C188" s="164"/>
      <c r="D188" s="12" t="s">
        <v>320</v>
      </c>
      <c r="E188" s="11" t="s">
        <v>319</v>
      </c>
      <c r="F188" s="12" t="s">
        <v>320</v>
      </c>
      <c r="G188" s="11" t="s">
        <v>319</v>
      </c>
      <c r="H188" s="17"/>
      <c r="I188" s="974"/>
      <c r="J188" s="967"/>
      <c r="K188" s="968"/>
      <c r="L188" s="969"/>
      <c r="M188" s="969"/>
      <c r="N188" s="970"/>
      <c r="O188" s="970"/>
      <c r="P188" s="12"/>
      <c r="Q188" s="12"/>
      <c r="R188" s="12"/>
      <c r="S188" s="12"/>
      <c r="T188" s="12"/>
      <c r="U188" s="12"/>
      <c r="V188" s="12"/>
      <c r="W188" s="12"/>
    </row>
    <row r="189" spans="1:23" ht="19.5" customHeight="1">
      <c r="A189" s="165" t="s">
        <v>322</v>
      </c>
      <c r="B189" s="165" t="s">
        <v>328</v>
      </c>
      <c r="C189" s="165" t="s">
        <v>323</v>
      </c>
      <c r="D189" s="13" t="s">
        <v>324</v>
      </c>
      <c r="E189" s="14" t="s">
        <v>325</v>
      </c>
      <c r="F189" s="13" t="s">
        <v>324</v>
      </c>
      <c r="G189" s="14" t="s">
        <v>325</v>
      </c>
      <c r="H189" s="17"/>
      <c r="I189" s="985"/>
      <c r="J189" s="967"/>
      <c r="K189" s="968"/>
      <c r="L189" s="969"/>
      <c r="M189" s="969"/>
      <c r="N189" s="970"/>
      <c r="O189" s="970"/>
      <c r="P189" s="12"/>
      <c r="Q189" s="12"/>
      <c r="R189" s="12"/>
      <c r="S189" s="12"/>
      <c r="T189" s="12"/>
      <c r="U189" s="12"/>
      <c r="V189" s="12"/>
      <c r="W189" s="12"/>
    </row>
    <row r="190" spans="1:33" s="29" customFormat="1" ht="19.5" customHeight="1">
      <c r="A190" s="168" t="s">
        <v>83</v>
      </c>
      <c r="B190" s="207"/>
      <c r="C190" s="277"/>
      <c r="D190" s="167">
        <f>D191+D194</f>
        <v>0</v>
      </c>
      <c r="E190" s="167"/>
      <c r="F190" s="167">
        <f>F191+F192</f>
        <v>4060993.95</v>
      </c>
      <c r="G190" s="167"/>
      <c r="H190" s="193"/>
      <c r="I190" s="973"/>
      <c r="J190" s="984"/>
      <c r="K190" s="973"/>
      <c r="L190" s="984"/>
      <c r="M190" s="984"/>
      <c r="N190" s="983"/>
      <c r="O190" s="983"/>
      <c r="P190" s="988"/>
      <c r="Q190" s="988"/>
      <c r="R190" s="988"/>
      <c r="S190" s="988"/>
      <c r="T190" s="988"/>
      <c r="U190" s="988"/>
      <c r="V190" s="988"/>
      <c r="W190" s="988"/>
      <c r="X190" s="989"/>
      <c r="Y190" s="989"/>
      <c r="Z190" s="989"/>
      <c r="AA190" s="989"/>
      <c r="AB190" s="989"/>
      <c r="AC190" s="989"/>
      <c r="AD190" s="989"/>
      <c r="AE190" s="989"/>
      <c r="AF190" s="989"/>
      <c r="AG190" s="989"/>
    </row>
    <row r="191" spans="1:33" s="28" customFormat="1" ht="19.5" customHeight="1">
      <c r="A191" s="170"/>
      <c r="B191" s="171" t="s">
        <v>84</v>
      </c>
      <c r="C191" s="177" t="s">
        <v>85</v>
      </c>
      <c r="D191" s="173"/>
      <c r="E191" s="173"/>
      <c r="F191" s="173">
        <v>1427.95</v>
      </c>
      <c r="G191" s="173"/>
      <c r="H191" s="195"/>
      <c r="I191" s="982"/>
      <c r="J191" s="967"/>
      <c r="K191" s="982"/>
      <c r="L191" s="967"/>
      <c r="M191" s="967"/>
      <c r="N191" s="990"/>
      <c r="O191" s="990"/>
      <c r="P191" s="991"/>
      <c r="Q191" s="991"/>
      <c r="R191" s="991"/>
      <c r="S191" s="991"/>
      <c r="T191" s="991"/>
      <c r="U191" s="991"/>
      <c r="V191" s="991"/>
      <c r="W191" s="991"/>
      <c r="X191" s="944"/>
      <c r="Y191" s="944"/>
      <c r="Z191" s="944"/>
      <c r="AA191" s="944"/>
      <c r="AB191" s="944"/>
      <c r="AC191" s="944"/>
      <c r="AD191" s="944"/>
      <c r="AE191" s="944"/>
      <c r="AF191" s="944"/>
      <c r="AG191" s="944"/>
    </row>
    <row r="192" spans="1:33" s="28" customFormat="1" ht="19.5" customHeight="1">
      <c r="A192" s="175"/>
      <c r="B192" s="171" t="s">
        <v>113</v>
      </c>
      <c r="C192" s="176"/>
      <c r="D192" s="173">
        <f>SUM(D193:D194)</f>
        <v>0</v>
      </c>
      <c r="E192" s="173"/>
      <c r="F192" s="173">
        <f>SUM(F193:F194)</f>
        <v>4059566</v>
      </c>
      <c r="G192" s="173"/>
      <c r="H192" s="195"/>
      <c r="I192" s="982"/>
      <c r="J192" s="967"/>
      <c r="K192" s="982"/>
      <c r="L192" s="967"/>
      <c r="M192" s="967"/>
      <c r="N192" s="990"/>
      <c r="O192" s="990"/>
      <c r="P192" s="991"/>
      <c r="Q192" s="991"/>
      <c r="R192" s="991"/>
      <c r="S192" s="991"/>
      <c r="T192" s="991"/>
      <c r="U192" s="991"/>
      <c r="V192" s="991"/>
      <c r="W192" s="991"/>
      <c r="X192" s="944"/>
      <c r="Y192" s="944"/>
      <c r="Z192" s="944"/>
      <c r="AA192" s="944"/>
      <c r="AB192" s="944"/>
      <c r="AC192" s="944"/>
      <c r="AD192" s="944"/>
      <c r="AE192" s="944"/>
      <c r="AF192" s="944"/>
      <c r="AG192" s="944"/>
    </row>
    <row r="193" spans="1:33" s="28" customFormat="1" ht="19.5" customHeight="1">
      <c r="A193" s="174"/>
      <c r="B193" s="170"/>
      <c r="C193" s="276" t="s">
        <v>29</v>
      </c>
      <c r="D193" s="173"/>
      <c r="E193" s="173"/>
      <c r="F193" s="173">
        <f>50000+775000-10000</f>
        <v>815000</v>
      </c>
      <c r="G193" s="173"/>
      <c r="H193" s="195"/>
      <c r="I193" s="982"/>
      <c r="J193" s="967"/>
      <c r="K193" s="982"/>
      <c r="L193" s="967"/>
      <c r="M193" s="967"/>
      <c r="N193" s="990"/>
      <c r="O193" s="990"/>
      <c r="P193" s="991"/>
      <c r="Q193" s="991"/>
      <c r="R193" s="991"/>
      <c r="S193" s="991"/>
      <c r="T193" s="991"/>
      <c r="U193" s="991"/>
      <c r="V193" s="991"/>
      <c r="W193" s="991"/>
      <c r="X193" s="944"/>
      <c r="Y193" s="944"/>
      <c r="Z193" s="944"/>
      <c r="AA193" s="944"/>
      <c r="AB193" s="944"/>
      <c r="AC193" s="944"/>
      <c r="AD193" s="944"/>
      <c r="AE193" s="944"/>
      <c r="AF193" s="944"/>
      <c r="AG193" s="944"/>
    </row>
    <row r="194" spans="1:33" s="28" customFormat="1" ht="19.5" customHeight="1">
      <c r="A194" s="174"/>
      <c r="B194" s="186"/>
      <c r="C194" s="176" t="s">
        <v>108</v>
      </c>
      <c r="D194" s="173"/>
      <c r="E194" s="173"/>
      <c r="F194" s="173">
        <f>32121+18995+23450+2500000+220000+300000+70000+60000+20000</f>
        <v>3244566</v>
      </c>
      <c r="G194" s="173"/>
      <c r="H194" s="195"/>
      <c r="I194" s="982"/>
      <c r="J194" s="967"/>
      <c r="K194" s="982"/>
      <c r="L194" s="967"/>
      <c r="M194" s="967"/>
      <c r="N194" s="990"/>
      <c r="O194" s="990"/>
      <c r="P194" s="991"/>
      <c r="Q194" s="991"/>
      <c r="R194" s="991"/>
      <c r="S194" s="991"/>
      <c r="T194" s="991"/>
      <c r="U194" s="991"/>
      <c r="V194" s="991"/>
      <c r="W194" s="991"/>
      <c r="X194" s="944"/>
      <c r="Y194" s="944"/>
      <c r="Z194" s="944"/>
      <c r="AA194" s="944"/>
      <c r="AB194" s="944"/>
      <c r="AC194" s="944"/>
      <c r="AD194" s="944"/>
      <c r="AE194" s="944"/>
      <c r="AF194" s="944"/>
      <c r="AG194" s="944"/>
    </row>
    <row r="195" spans="1:33" s="29" customFormat="1" ht="19.5" customHeight="1">
      <c r="A195" s="166" t="s">
        <v>143</v>
      </c>
      <c r="B195" s="277" t="s">
        <v>164</v>
      </c>
      <c r="C195" s="169" t="s">
        <v>108</v>
      </c>
      <c r="D195" s="167"/>
      <c r="E195" s="167"/>
      <c r="F195" s="167">
        <v>60000</v>
      </c>
      <c r="G195" s="167"/>
      <c r="H195" s="193"/>
      <c r="I195" s="973"/>
      <c r="J195" s="984"/>
      <c r="K195" s="973"/>
      <c r="L195" s="984"/>
      <c r="M195" s="984"/>
      <c r="N195" s="983"/>
      <c r="O195" s="983"/>
      <c r="P195" s="988"/>
      <c r="Q195" s="988"/>
      <c r="R195" s="988"/>
      <c r="S195" s="988"/>
      <c r="T195" s="988"/>
      <c r="U195" s="988"/>
      <c r="V195" s="988"/>
      <c r="W195" s="988"/>
      <c r="X195" s="989"/>
      <c r="Y195" s="989"/>
      <c r="Z195" s="989"/>
      <c r="AA195" s="989"/>
      <c r="AB195" s="989"/>
      <c r="AC195" s="989"/>
      <c r="AD195" s="989"/>
      <c r="AE195" s="989"/>
      <c r="AF195" s="989"/>
      <c r="AG195" s="989"/>
    </row>
    <row r="196" spans="1:33" s="29" customFormat="1" ht="19.5" customHeight="1">
      <c r="A196" s="168" t="s">
        <v>101</v>
      </c>
      <c r="B196" s="166"/>
      <c r="C196" s="169"/>
      <c r="D196" s="167">
        <f>D197+D198+D211</f>
        <v>2583</v>
      </c>
      <c r="E196" s="167"/>
      <c r="F196" s="167">
        <f>F197+F198+F211</f>
        <v>1129500</v>
      </c>
      <c r="G196" s="167"/>
      <c r="H196" s="193"/>
      <c r="I196" s="973"/>
      <c r="J196" s="984"/>
      <c r="K196" s="973"/>
      <c r="L196" s="984"/>
      <c r="M196" s="984"/>
      <c r="N196" s="983"/>
      <c r="O196" s="983"/>
      <c r="P196" s="988"/>
      <c r="Q196" s="988"/>
      <c r="R196" s="988"/>
      <c r="S196" s="988"/>
      <c r="T196" s="988"/>
      <c r="U196" s="988"/>
      <c r="V196" s="988"/>
      <c r="W196" s="988"/>
      <c r="X196" s="989"/>
      <c r="Y196" s="989"/>
      <c r="Z196" s="989"/>
      <c r="AA196" s="989"/>
      <c r="AB196" s="989"/>
      <c r="AC196" s="989"/>
      <c r="AD196" s="989"/>
      <c r="AE196" s="989"/>
      <c r="AF196" s="989"/>
      <c r="AG196" s="989"/>
    </row>
    <row r="197" spans="1:33" s="28" customFormat="1" ht="19.5" customHeight="1">
      <c r="A197" s="170"/>
      <c r="B197" s="176" t="s">
        <v>163</v>
      </c>
      <c r="C197" s="172" t="s">
        <v>426</v>
      </c>
      <c r="D197" s="173">
        <v>2583</v>
      </c>
      <c r="E197" s="173"/>
      <c r="F197" s="173"/>
      <c r="G197" s="173"/>
      <c r="H197" s="195"/>
      <c r="I197" s="982"/>
      <c r="J197" s="967"/>
      <c r="K197" s="982"/>
      <c r="L197" s="967"/>
      <c r="M197" s="967"/>
      <c r="N197" s="990"/>
      <c r="O197" s="990"/>
      <c r="P197" s="991"/>
      <c r="Q197" s="991"/>
      <c r="R197" s="991"/>
      <c r="S197" s="991"/>
      <c r="T197" s="991"/>
      <c r="U197" s="991"/>
      <c r="V197" s="991"/>
      <c r="W197" s="991"/>
      <c r="X197" s="944"/>
      <c r="Y197" s="944"/>
      <c r="Z197" s="944"/>
      <c r="AA197" s="944"/>
      <c r="AB197" s="944"/>
      <c r="AC197" s="944"/>
      <c r="AD197" s="944"/>
      <c r="AE197" s="944"/>
      <c r="AF197" s="944"/>
      <c r="AG197" s="944"/>
    </row>
    <row r="198" spans="1:33" s="28" customFormat="1" ht="19.5" customHeight="1">
      <c r="A198" s="175"/>
      <c r="B198" s="171" t="s">
        <v>102</v>
      </c>
      <c r="C198" s="172"/>
      <c r="D198" s="173">
        <f>SUM(D199:D210)</f>
        <v>0</v>
      </c>
      <c r="E198" s="173"/>
      <c r="F198" s="173">
        <f>SUM(F199:F210)</f>
        <v>1021500</v>
      </c>
      <c r="G198" s="173"/>
      <c r="H198" s="195"/>
      <c r="I198" s="982"/>
      <c r="J198" s="967"/>
      <c r="K198" s="982"/>
      <c r="L198" s="967"/>
      <c r="M198" s="967"/>
      <c r="N198" s="990"/>
      <c r="O198" s="990"/>
      <c r="P198" s="991"/>
      <c r="Q198" s="991"/>
      <c r="R198" s="991"/>
      <c r="S198" s="991"/>
      <c r="T198" s="991"/>
      <c r="U198" s="991"/>
      <c r="V198" s="991"/>
      <c r="W198" s="991"/>
      <c r="X198" s="944"/>
      <c r="Y198" s="944"/>
      <c r="Z198" s="944"/>
      <c r="AA198" s="944"/>
      <c r="AB198" s="944"/>
      <c r="AC198" s="944"/>
      <c r="AD198" s="944"/>
      <c r="AE198" s="944"/>
      <c r="AF198" s="944"/>
      <c r="AG198" s="944"/>
    </row>
    <row r="199" spans="1:33" s="28" customFormat="1" ht="19.5" customHeight="1">
      <c r="A199" s="175"/>
      <c r="B199" s="171"/>
      <c r="C199" s="172" t="s">
        <v>78</v>
      </c>
      <c r="D199" s="173"/>
      <c r="E199" s="173"/>
      <c r="F199" s="173">
        <v>50000</v>
      </c>
      <c r="G199" s="173"/>
      <c r="H199" s="195"/>
      <c r="I199" s="982"/>
      <c r="J199" s="967"/>
      <c r="K199" s="982"/>
      <c r="L199" s="967"/>
      <c r="M199" s="967"/>
      <c r="N199" s="990"/>
      <c r="O199" s="990"/>
      <c r="P199" s="991"/>
      <c r="Q199" s="991"/>
      <c r="R199" s="991"/>
      <c r="S199" s="991"/>
      <c r="T199" s="991"/>
      <c r="U199" s="991"/>
      <c r="V199" s="991"/>
      <c r="W199" s="991"/>
      <c r="X199" s="944"/>
      <c r="Y199" s="944"/>
      <c r="Z199" s="944"/>
      <c r="AA199" s="944"/>
      <c r="AB199" s="944"/>
      <c r="AC199" s="944"/>
      <c r="AD199" s="944"/>
      <c r="AE199" s="944"/>
      <c r="AF199" s="944"/>
      <c r="AG199" s="944"/>
    </row>
    <row r="200" spans="1:33" s="28" customFormat="1" ht="19.5" customHeight="1">
      <c r="A200" s="175"/>
      <c r="B200" s="176"/>
      <c r="C200" s="172" t="s">
        <v>79</v>
      </c>
      <c r="D200" s="173"/>
      <c r="E200" s="173"/>
      <c r="F200" s="173">
        <v>8595</v>
      </c>
      <c r="G200" s="173"/>
      <c r="H200" s="195"/>
      <c r="I200" s="982"/>
      <c r="J200" s="967"/>
      <c r="K200" s="982"/>
      <c r="L200" s="967"/>
      <c r="M200" s="967"/>
      <c r="N200" s="990"/>
      <c r="O200" s="990"/>
      <c r="P200" s="991"/>
      <c r="Q200" s="991"/>
      <c r="R200" s="991"/>
      <c r="S200" s="991"/>
      <c r="T200" s="991"/>
      <c r="U200" s="991"/>
      <c r="V200" s="991"/>
      <c r="W200" s="991"/>
      <c r="X200" s="944"/>
      <c r="Y200" s="944"/>
      <c r="Z200" s="944"/>
      <c r="AA200" s="944"/>
      <c r="AB200" s="944"/>
      <c r="AC200" s="944"/>
      <c r="AD200" s="944"/>
      <c r="AE200" s="944"/>
      <c r="AF200" s="944"/>
      <c r="AG200" s="944"/>
    </row>
    <row r="201" spans="1:33" s="28" customFormat="1" ht="19.5" customHeight="1">
      <c r="A201" s="175"/>
      <c r="B201" s="176"/>
      <c r="C201" s="172" t="s">
        <v>103</v>
      </c>
      <c r="D201" s="173"/>
      <c r="E201" s="173"/>
      <c r="F201" s="173">
        <v>1225</v>
      </c>
      <c r="G201" s="173"/>
      <c r="H201" s="195"/>
      <c r="I201" s="982"/>
      <c r="J201" s="967"/>
      <c r="K201" s="982"/>
      <c r="L201" s="967"/>
      <c r="M201" s="967"/>
      <c r="N201" s="990"/>
      <c r="O201" s="990"/>
      <c r="P201" s="991"/>
      <c r="Q201" s="991"/>
      <c r="R201" s="991"/>
      <c r="S201" s="991"/>
      <c r="T201" s="991"/>
      <c r="U201" s="991"/>
      <c r="V201" s="991"/>
      <c r="W201" s="991"/>
      <c r="X201" s="944"/>
      <c r="Y201" s="944"/>
      <c r="Z201" s="944"/>
      <c r="AA201" s="944"/>
      <c r="AB201" s="944"/>
      <c r="AC201" s="944"/>
      <c r="AD201" s="944"/>
      <c r="AE201" s="944"/>
      <c r="AF201" s="944"/>
      <c r="AG201" s="944"/>
    </row>
    <row r="202" spans="1:33" s="28" customFormat="1" ht="19.5" customHeight="1">
      <c r="A202" s="175"/>
      <c r="B202" s="176"/>
      <c r="C202" s="172" t="s">
        <v>421</v>
      </c>
      <c r="D202" s="173"/>
      <c r="E202" s="173"/>
      <c r="F202" s="173">
        <v>66180</v>
      </c>
      <c r="G202" s="173"/>
      <c r="H202" s="195"/>
      <c r="I202" s="982"/>
      <c r="J202" s="967"/>
      <c r="K202" s="982"/>
      <c r="L202" s="967"/>
      <c r="M202" s="967"/>
      <c r="N202" s="990"/>
      <c r="O202" s="990"/>
      <c r="P202" s="991"/>
      <c r="Q202" s="991"/>
      <c r="R202" s="991"/>
      <c r="S202" s="991"/>
      <c r="T202" s="991"/>
      <c r="U202" s="991"/>
      <c r="V202" s="991"/>
      <c r="W202" s="991"/>
      <c r="X202" s="944"/>
      <c r="Y202" s="944"/>
      <c r="Z202" s="944"/>
      <c r="AA202" s="944"/>
      <c r="AB202" s="944"/>
      <c r="AC202" s="944"/>
      <c r="AD202" s="944"/>
      <c r="AE202" s="944"/>
      <c r="AF202" s="944"/>
      <c r="AG202" s="944"/>
    </row>
    <row r="203" spans="1:33" s="28" customFormat="1" ht="19.5" customHeight="1">
      <c r="A203" s="175"/>
      <c r="B203" s="176"/>
      <c r="C203" s="172" t="s">
        <v>104</v>
      </c>
      <c r="D203" s="173"/>
      <c r="E203" s="173"/>
      <c r="F203" s="173">
        <v>324000</v>
      </c>
      <c r="G203" s="173"/>
      <c r="H203" s="195"/>
      <c r="I203" s="982"/>
      <c r="J203" s="967"/>
      <c r="K203" s="982"/>
      <c r="L203" s="967"/>
      <c r="M203" s="967"/>
      <c r="N203" s="990"/>
      <c r="O203" s="990"/>
      <c r="P203" s="991"/>
      <c r="Q203" s="991"/>
      <c r="R203" s="991"/>
      <c r="S203" s="991"/>
      <c r="T203" s="991"/>
      <c r="U203" s="991"/>
      <c r="V203" s="991"/>
      <c r="W203" s="991"/>
      <c r="X203" s="944"/>
      <c r="Y203" s="944"/>
      <c r="Z203" s="944"/>
      <c r="AA203" s="944"/>
      <c r="AB203" s="944"/>
      <c r="AC203" s="944"/>
      <c r="AD203" s="944"/>
      <c r="AE203" s="944"/>
      <c r="AF203" s="944"/>
      <c r="AG203" s="944"/>
    </row>
    <row r="204" spans="1:33" s="28" customFormat="1" ht="19.5" customHeight="1">
      <c r="A204" s="175"/>
      <c r="B204" s="176"/>
      <c r="C204" s="172" t="s">
        <v>29</v>
      </c>
      <c r="D204" s="173"/>
      <c r="E204" s="173"/>
      <c r="F204" s="173">
        <v>30000</v>
      </c>
      <c r="G204" s="173"/>
      <c r="H204" s="195"/>
      <c r="I204" s="982"/>
      <c r="J204" s="967"/>
      <c r="K204" s="982"/>
      <c r="L204" s="967"/>
      <c r="M204" s="967"/>
      <c r="N204" s="990"/>
      <c r="O204" s="990"/>
      <c r="P204" s="991"/>
      <c r="Q204" s="991"/>
      <c r="R204" s="991"/>
      <c r="S204" s="991"/>
      <c r="T204" s="991"/>
      <c r="U204" s="991"/>
      <c r="V204" s="991"/>
      <c r="W204" s="991"/>
      <c r="X204" s="944"/>
      <c r="Y204" s="944"/>
      <c r="Z204" s="944"/>
      <c r="AA204" s="944"/>
      <c r="AB204" s="944"/>
      <c r="AC204" s="944"/>
      <c r="AD204" s="944"/>
      <c r="AE204" s="944"/>
      <c r="AF204" s="944"/>
      <c r="AG204" s="944"/>
    </row>
    <row r="205" spans="1:33" s="28" customFormat="1" ht="19.5" customHeight="1">
      <c r="A205" s="175"/>
      <c r="B205" s="176"/>
      <c r="C205" s="172" t="s">
        <v>426</v>
      </c>
      <c r="D205" s="173"/>
      <c r="E205" s="173"/>
      <c r="F205" s="173">
        <f>30000+31000+127000+500</f>
        <v>188500</v>
      </c>
      <c r="G205" s="173"/>
      <c r="H205" s="195"/>
      <c r="I205" s="982"/>
      <c r="J205" s="967"/>
      <c r="K205" s="982"/>
      <c r="L205" s="967"/>
      <c r="M205" s="967"/>
      <c r="N205" s="990"/>
      <c r="O205" s="990"/>
      <c r="P205" s="991"/>
      <c r="Q205" s="991"/>
      <c r="R205" s="991"/>
      <c r="S205" s="991"/>
      <c r="T205" s="991"/>
      <c r="U205" s="991"/>
      <c r="V205" s="991"/>
      <c r="W205" s="991"/>
      <c r="X205" s="944"/>
      <c r="Y205" s="944"/>
      <c r="Z205" s="944"/>
      <c r="AA205" s="944"/>
      <c r="AB205" s="944"/>
      <c r="AC205" s="944"/>
      <c r="AD205" s="944"/>
      <c r="AE205" s="944"/>
      <c r="AF205" s="944"/>
      <c r="AG205" s="944"/>
    </row>
    <row r="206" spans="1:33" s="28" customFormat="1" ht="19.5" customHeight="1">
      <c r="A206" s="175"/>
      <c r="B206" s="176"/>
      <c r="C206" s="172" t="s">
        <v>105</v>
      </c>
      <c r="D206" s="173"/>
      <c r="E206" s="173"/>
      <c r="F206" s="173">
        <v>10000</v>
      </c>
      <c r="G206" s="173"/>
      <c r="H206" s="195"/>
      <c r="I206" s="982"/>
      <c r="J206" s="967"/>
      <c r="K206" s="982"/>
      <c r="L206" s="967"/>
      <c r="M206" s="967"/>
      <c r="N206" s="990"/>
      <c r="O206" s="990"/>
      <c r="P206" s="991"/>
      <c r="Q206" s="991"/>
      <c r="R206" s="991"/>
      <c r="S206" s="991"/>
      <c r="T206" s="991"/>
      <c r="U206" s="991"/>
      <c r="V206" s="991"/>
      <c r="W206" s="991"/>
      <c r="X206" s="944"/>
      <c r="Y206" s="944"/>
      <c r="Z206" s="944"/>
      <c r="AA206" s="944"/>
      <c r="AB206" s="944"/>
      <c r="AC206" s="944"/>
      <c r="AD206" s="944"/>
      <c r="AE206" s="944"/>
      <c r="AF206" s="944"/>
      <c r="AG206" s="944"/>
    </row>
    <row r="207" spans="1:33" s="28" customFormat="1" ht="19.5" customHeight="1">
      <c r="A207" s="175"/>
      <c r="B207" s="176"/>
      <c r="C207" s="172" t="s">
        <v>106</v>
      </c>
      <c r="D207" s="173"/>
      <c r="E207" s="173"/>
      <c r="F207" s="173">
        <v>15000</v>
      </c>
      <c r="G207" s="173"/>
      <c r="H207" s="195"/>
      <c r="I207" s="982"/>
      <c r="J207" s="967"/>
      <c r="K207" s="982"/>
      <c r="L207" s="967"/>
      <c r="M207" s="967"/>
      <c r="N207" s="990"/>
      <c r="O207" s="990"/>
      <c r="P207" s="991"/>
      <c r="Q207" s="991"/>
      <c r="R207" s="991"/>
      <c r="S207" s="991"/>
      <c r="T207" s="991"/>
      <c r="U207" s="991"/>
      <c r="V207" s="991"/>
      <c r="W207" s="991"/>
      <c r="X207" s="944"/>
      <c r="Y207" s="944"/>
      <c r="Z207" s="944"/>
      <c r="AA207" s="944"/>
      <c r="AB207" s="944"/>
      <c r="AC207" s="944"/>
      <c r="AD207" s="944"/>
      <c r="AE207" s="944"/>
      <c r="AF207" s="944"/>
      <c r="AG207" s="944"/>
    </row>
    <row r="208" spans="1:33" s="28" customFormat="1" ht="19.5" customHeight="1">
      <c r="A208" s="175"/>
      <c r="B208" s="176"/>
      <c r="C208" s="172" t="s">
        <v>107</v>
      </c>
      <c r="D208" s="173"/>
      <c r="E208" s="173"/>
      <c r="F208" s="173">
        <v>10000</v>
      </c>
      <c r="G208" s="173"/>
      <c r="H208" s="195"/>
      <c r="I208" s="982"/>
      <c r="J208" s="967"/>
      <c r="K208" s="982"/>
      <c r="L208" s="967"/>
      <c r="M208" s="967"/>
      <c r="N208" s="990"/>
      <c r="O208" s="990"/>
      <c r="P208" s="991"/>
      <c r="Q208" s="991"/>
      <c r="R208" s="991"/>
      <c r="S208" s="991"/>
      <c r="T208" s="991"/>
      <c r="U208" s="991"/>
      <c r="V208" s="991"/>
      <c r="W208" s="991"/>
      <c r="X208" s="944"/>
      <c r="Y208" s="944"/>
      <c r="Z208" s="944"/>
      <c r="AA208" s="944"/>
      <c r="AB208" s="944"/>
      <c r="AC208" s="944"/>
      <c r="AD208" s="944"/>
      <c r="AE208" s="944"/>
      <c r="AF208" s="944"/>
      <c r="AG208" s="944"/>
    </row>
    <row r="209" spans="1:33" s="28" customFormat="1" ht="19.5" customHeight="1">
      <c r="A209" s="175"/>
      <c r="B209" s="176"/>
      <c r="C209" s="172" t="s">
        <v>108</v>
      </c>
      <c r="D209" s="173"/>
      <c r="E209" s="173"/>
      <c r="F209" s="173">
        <v>18000</v>
      </c>
      <c r="G209" s="173"/>
      <c r="H209" s="195"/>
      <c r="I209" s="982"/>
      <c r="J209" s="967"/>
      <c r="K209" s="982"/>
      <c r="L209" s="967"/>
      <c r="M209" s="967"/>
      <c r="N209" s="990"/>
      <c r="O209" s="990"/>
      <c r="P209" s="991"/>
      <c r="Q209" s="991"/>
      <c r="R209" s="991"/>
      <c r="S209" s="991"/>
      <c r="T209" s="991"/>
      <c r="U209" s="991"/>
      <c r="V209" s="991"/>
      <c r="W209" s="991"/>
      <c r="X209" s="944"/>
      <c r="Y209" s="944"/>
      <c r="Z209" s="944"/>
      <c r="AA209" s="944"/>
      <c r="AB209" s="944"/>
      <c r="AC209" s="944"/>
      <c r="AD209" s="944"/>
      <c r="AE209" s="944"/>
      <c r="AF209" s="944"/>
      <c r="AG209" s="944"/>
    </row>
    <row r="210" spans="1:33" s="28" customFormat="1" ht="19.5" customHeight="1">
      <c r="A210" s="175"/>
      <c r="B210" s="177"/>
      <c r="C210" s="172" t="s">
        <v>109</v>
      </c>
      <c r="D210" s="173"/>
      <c r="E210" s="173"/>
      <c r="F210" s="173">
        <v>300000</v>
      </c>
      <c r="G210" s="173"/>
      <c r="H210" s="195"/>
      <c r="I210" s="982"/>
      <c r="J210" s="967"/>
      <c r="K210" s="982"/>
      <c r="L210" s="967"/>
      <c r="M210" s="967"/>
      <c r="N210" s="990"/>
      <c r="O210" s="990"/>
      <c r="P210" s="991"/>
      <c r="Q210" s="991"/>
      <c r="R210" s="991"/>
      <c r="S210" s="991"/>
      <c r="T210" s="991"/>
      <c r="U210" s="991"/>
      <c r="V210" s="991"/>
      <c r="W210" s="991"/>
      <c r="X210" s="944"/>
      <c r="Y210" s="944"/>
      <c r="Z210" s="944"/>
      <c r="AA210" s="944"/>
      <c r="AB210" s="944"/>
      <c r="AC210" s="944"/>
      <c r="AD210" s="944"/>
      <c r="AE210" s="944"/>
      <c r="AF210" s="944"/>
      <c r="AG210" s="944"/>
    </row>
    <row r="211" spans="1:33" s="28" customFormat="1" ht="19.5" customHeight="1">
      <c r="A211" s="186"/>
      <c r="B211" s="172" t="s">
        <v>129</v>
      </c>
      <c r="C211" s="172" t="s">
        <v>426</v>
      </c>
      <c r="D211" s="173"/>
      <c r="E211" s="173"/>
      <c r="F211" s="173">
        <f>97000-4000+15000</f>
        <v>108000</v>
      </c>
      <c r="G211" s="173"/>
      <c r="H211" s="195"/>
      <c r="I211" s="982"/>
      <c r="J211" s="967"/>
      <c r="K211" s="982"/>
      <c r="L211" s="967"/>
      <c r="M211" s="967"/>
      <c r="N211" s="990"/>
      <c r="O211" s="990"/>
      <c r="P211" s="991"/>
      <c r="Q211" s="991"/>
      <c r="R211" s="991"/>
      <c r="S211" s="991"/>
      <c r="T211" s="991"/>
      <c r="U211" s="991"/>
      <c r="V211" s="991"/>
      <c r="W211" s="991"/>
      <c r="X211" s="944"/>
      <c r="Y211" s="944"/>
      <c r="Z211" s="944"/>
      <c r="AA211" s="944"/>
      <c r="AB211" s="944"/>
      <c r="AC211" s="944"/>
      <c r="AD211" s="944"/>
      <c r="AE211" s="944"/>
      <c r="AF211" s="944"/>
      <c r="AG211" s="944"/>
    </row>
    <row r="212" spans="1:33" s="28" customFormat="1" ht="19.5" customHeight="1">
      <c r="A212" s="401" t="s">
        <v>120</v>
      </c>
      <c r="B212" s="166" t="s">
        <v>121</v>
      </c>
      <c r="C212" s="169" t="s">
        <v>426</v>
      </c>
      <c r="D212" s="167"/>
      <c r="E212" s="167"/>
      <c r="F212" s="167">
        <v>100000</v>
      </c>
      <c r="G212" s="173"/>
      <c r="H212" s="195"/>
      <c r="I212" s="982"/>
      <c r="J212" s="967"/>
      <c r="K212" s="982"/>
      <c r="L212" s="967"/>
      <c r="M212" s="967"/>
      <c r="N212" s="990"/>
      <c r="O212" s="990"/>
      <c r="P212" s="991"/>
      <c r="Q212" s="991"/>
      <c r="R212" s="991"/>
      <c r="S212" s="991"/>
      <c r="T212" s="991"/>
      <c r="U212" s="991"/>
      <c r="V212" s="991"/>
      <c r="W212" s="991"/>
      <c r="X212" s="944"/>
      <c r="Y212" s="944"/>
      <c r="Z212" s="944"/>
      <c r="AA212" s="944"/>
      <c r="AB212" s="944"/>
      <c r="AC212" s="944"/>
      <c r="AD212" s="944"/>
      <c r="AE212" s="944"/>
      <c r="AF212" s="944"/>
      <c r="AG212" s="944"/>
    </row>
    <row r="213" spans="1:33" s="28" customFormat="1" ht="19.5" customHeight="1">
      <c r="A213" s="825" t="s">
        <v>149</v>
      </c>
      <c r="B213" s="166" t="s">
        <v>150</v>
      </c>
      <c r="C213" s="169"/>
      <c r="D213" s="167"/>
      <c r="E213" s="167"/>
      <c r="F213" s="167">
        <f>F214+F215</f>
        <v>250000</v>
      </c>
      <c r="G213" s="173"/>
      <c r="H213" s="195"/>
      <c r="I213" s="982"/>
      <c r="J213" s="967"/>
      <c r="K213" s="982"/>
      <c r="L213" s="967"/>
      <c r="M213" s="967"/>
      <c r="N213" s="990"/>
      <c r="O213" s="990"/>
      <c r="P213" s="991"/>
      <c r="Q213" s="991"/>
      <c r="R213" s="991"/>
      <c r="S213" s="991"/>
      <c r="T213" s="991"/>
      <c r="U213" s="991"/>
      <c r="V213" s="991"/>
      <c r="W213" s="991"/>
      <c r="X213" s="944"/>
      <c r="Y213" s="944"/>
      <c r="Z213" s="944"/>
      <c r="AA213" s="944"/>
      <c r="AB213" s="944"/>
      <c r="AC213" s="944"/>
      <c r="AD213" s="944"/>
      <c r="AE213" s="944"/>
      <c r="AF213" s="944"/>
      <c r="AG213" s="944"/>
    </row>
    <row r="214" spans="1:33" s="28" customFormat="1" ht="19.5" customHeight="1">
      <c r="A214" s="170"/>
      <c r="B214" s="176"/>
      <c r="C214" s="177" t="s">
        <v>426</v>
      </c>
      <c r="D214" s="173"/>
      <c r="E214" s="173"/>
      <c r="F214" s="173">
        <v>150000</v>
      </c>
      <c r="G214" s="173"/>
      <c r="H214" s="195"/>
      <c r="I214" s="982"/>
      <c r="J214" s="967"/>
      <c r="K214" s="982"/>
      <c r="L214" s="967"/>
      <c r="M214" s="967"/>
      <c r="N214" s="990"/>
      <c r="O214" s="990"/>
      <c r="P214" s="991"/>
      <c r="Q214" s="991"/>
      <c r="R214" s="991"/>
      <c r="S214" s="991"/>
      <c r="T214" s="991"/>
      <c r="U214" s="991"/>
      <c r="V214" s="991"/>
      <c r="W214" s="991"/>
      <c r="X214" s="944"/>
      <c r="Y214" s="944"/>
      <c r="Z214" s="944"/>
      <c r="AA214" s="944"/>
      <c r="AB214" s="944"/>
      <c r="AC214" s="944"/>
      <c r="AD214" s="944"/>
      <c r="AE214" s="944"/>
      <c r="AF214" s="944"/>
      <c r="AG214" s="944"/>
    </row>
    <row r="215" spans="1:33" s="28" customFormat="1" ht="19.5" customHeight="1">
      <c r="A215" s="186"/>
      <c r="B215" s="176"/>
      <c r="C215" s="172" t="s">
        <v>151</v>
      </c>
      <c r="D215" s="173"/>
      <c r="E215" s="173"/>
      <c r="F215" s="173">
        <v>100000</v>
      </c>
      <c r="G215" s="173"/>
      <c r="H215" s="195"/>
      <c r="I215" s="982"/>
      <c r="J215" s="967"/>
      <c r="K215" s="982"/>
      <c r="L215" s="967"/>
      <c r="M215" s="967"/>
      <c r="N215" s="990"/>
      <c r="O215" s="990"/>
      <c r="P215" s="991"/>
      <c r="Q215" s="991"/>
      <c r="R215" s="991"/>
      <c r="S215" s="991"/>
      <c r="T215" s="991"/>
      <c r="U215" s="991"/>
      <c r="V215" s="991"/>
      <c r="W215" s="991"/>
      <c r="X215" s="944"/>
      <c r="Y215" s="944"/>
      <c r="Z215" s="944"/>
      <c r="AA215" s="944"/>
      <c r="AB215" s="944"/>
      <c r="AC215" s="944"/>
      <c r="AD215" s="944"/>
      <c r="AE215" s="944"/>
      <c r="AF215" s="944"/>
      <c r="AG215" s="944"/>
    </row>
    <row r="216" spans="1:33" s="29" customFormat="1" ht="19.5" customHeight="1">
      <c r="A216" s="401" t="s">
        <v>423</v>
      </c>
      <c r="B216" s="166" t="s">
        <v>424</v>
      </c>
      <c r="C216" s="277" t="s">
        <v>425</v>
      </c>
      <c r="D216" s="167">
        <f>1810+7600</f>
        <v>9410</v>
      </c>
      <c r="E216" s="167"/>
      <c r="F216" s="167"/>
      <c r="G216" s="167"/>
      <c r="H216" s="193"/>
      <c r="I216" s="973"/>
      <c r="J216" s="984"/>
      <c r="K216" s="973"/>
      <c r="L216" s="984"/>
      <c r="M216" s="984"/>
      <c r="N216" s="983"/>
      <c r="O216" s="983"/>
      <c r="P216" s="988"/>
      <c r="Q216" s="988"/>
      <c r="R216" s="988"/>
      <c r="S216" s="988"/>
      <c r="T216" s="988"/>
      <c r="U216" s="988"/>
      <c r="V216" s="988"/>
      <c r="W216" s="988"/>
      <c r="X216" s="989"/>
      <c r="Y216" s="989"/>
      <c r="Z216" s="989"/>
      <c r="AA216" s="989"/>
      <c r="AB216" s="989"/>
      <c r="AC216" s="989"/>
      <c r="AD216" s="989"/>
      <c r="AE216" s="989"/>
      <c r="AF216" s="989"/>
      <c r="AG216" s="989"/>
    </row>
    <row r="217" spans="1:33" s="29" customFormat="1" ht="19.5" customHeight="1">
      <c r="A217" s="274" t="s">
        <v>420</v>
      </c>
      <c r="B217" s="182"/>
      <c r="C217" s="169"/>
      <c r="D217" s="419">
        <f>D218+D222+D223+D231+D236+D239</f>
        <v>187970.28</v>
      </c>
      <c r="E217" s="419"/>
      <c r="F217" s="419">
        <f>F218+F222+F223+F231+F236+F239</f>
        <v>513923.16</v>
      </c>
      <c r="G217" s="419"/>
      <c r="H217" s="193"/>
      <c r="I217" s="973"/>
      <c r="J217" s="984"/>
      <c r="K217" s="973"/>
      <c r="L217" s="984"/>
      <c r="M217" s="984"/>
      <c r="N217" s="983"/>
      <c r="O217" s="983"/>
      <c r="P217" s="988"/>
      <c r="Q217" s="988"/>
      <c r="R217" s="988"/>
      <c r="S217" s="988"/>
      <c r="T217" s="988"/>
      <c r="U217" s="988"/>
      <c r="V217" s="988"/>
      <c r="W217" s="988"/>
      <c r="X217" s="989"/>
      <c r="Y217" s="989"/>
      <c r="Z217" s="989"/>
      <c r="AA217" s="989"/>
      <c r="AB217" s="989"/>
      <c r="AC217" s="989"/>
      <c r="AD217" s="989"/>
      <c r="AE217" s="989"/>
      <c r="AF217" s="989"/>
      <c r="AG217" s="989"/>
    </row>
    <row r="218" spans="1:33" s="28" customFormat="1" ht="19.5" customHeight="1">
      <c r="A218" s="174"/>
      <c r="B218" s="175" t="s">
        <v>179</v>
      </c>
      <c r="C218" s="177"/>
      <c r="D218" s="173">
        <f>SUM(D219:D221)</f>
        <v>0</v>
      </c>
      <c r="E218" s="173"/>
      <c r="F218" s="173">
        <f>SUM(F219:F221)</f>
        <v>130000</v>
      </c>
      <c r="G218" s="173"/>
      <c r="H218" s="195"/>
      <c r="I218" s="982"/>
      <c r="J218" s="967"/>
      <c r="K218" s="982"/>
      <c r="L218" s="967"/>
      <c r="M218" s="967"/>
      <c r="N218" s="990"/>
      <c r="O218" s="990"/>
      <c r="P218" s="991"/>
      <c r="Q218" s="991"/>
      <c r="R218" s="991"/>
      <c r="S218" s="991"/>
      <c r="T218" s="991"/>
      <c r="U218" s="991"/>
      <c r="V218" s="991"/>
      <c r="W218" s="991"/>
      <c r="X218" s="944"/>
      <c r="Y218" s="944"/>
      <c r="Z218" s="944"/>
      <c r="AA218" s="944"/>
      <c r="AB218" s="944"/>
      <c r="AC218" s="944"/>
      <c r="AD218" s="944"/>
      <c r="AE218" s="944"/>
      <c r="AF218" s="944"/>
      <c r="AG218" s="944"/>
    </row>
    <row r="219" spans="1:33" s="28" customFormat="1" ht="19.5" customHeight="1">
      <c r="A219" s="174"/>
      <c r="B219" s="170"/>
      <c r="C219" s="177" t="s">
        <v>421</v>
      </c>
      <c r="D219" s="173"/>
      <c r="E219" s="173"/>
      <c r="F219" s="173">
        <v>20000</v>
      </c>
      <c r="G219" s="173"/>
      <c r="H219" s="195"/>
      <c r="I219" s="982"/>
      <c r="J219" s="967"/>
      <c r="K219" s="982"/>
      <c r="L219" s="967"/>
      <c r="M219" s="967"/>
      <c r="N219" s="990"/>
      <c r="O219" s="990"/>
      <c r="P219" s="991"/>
      <c r="Q219" s="991"/>
      <c r="R219" s="991"/>
      <c r="S219" s="991"/>
      <c r="T219" s="991"/>
      <c r="U219" s="991"/>
      <c r="V219" s="991"/>
      <c r="W219" s="991"/>
      <c r="X219" s="944"/>
      <c r="Y219" s="944"/>
      <c r="Z219" s="944"/>
      <c r="AA219" s="944"/>
      <c r="AB219" s="944"/>
      <c r="AC219" s="944"/>
      <c r="AD219" s="944"/>
      <c r="AE219" s="944"/>
      <c r="AF219" s="944"/>
      <c r="AG219" s="944"/>
    </row>
    <row r="220" spans="1:33" s="28" customFormat="1" ht="19.5" customHeight="1">
      <c r="A220" s="174"/>
      <c r="B220" s="175"/>
      <c r="C220" s="177" t="s">
        <v>29</v>
      </c>
      <c r="D220" s="173"/>
      <c r="E220" s="173"/>
      <c r="F220" s="173">
        <v>50000</v>
      </c>
      <c r="G220" s="173"/>
      <c r="H220" s="195"/>
      <c r="I220" s="982"/>
      <c r="J220" s="967"/>
      <c r="K220" s="982"/>
      <c r="L220" s="967"/>
      <c r="M220" s="967"/>
      <c r="N220" s="990"/>
      <c r="O220" s="990"/>
      <c r="P220" s="991"/>
      <c r="Q220" s="991"/>
      <c r="R220" s="991"/>
      <c r="S220" s="991"/>
      <c r="T220" s="991"/>
      <c r="U220" s="991"/>
      <c r="V220" s="991"/>
      <c r="W220" s="991"/>
      <c r="X220" s="944"/>
      <c r="Y220" s="944"/>
      <c r="Z220" s="944"/>
      <c r="AA220" s="944"/>
      <c r="AB220" s="944"/>
      <c r="AC220" s="944"/>
      <c r="AD220" s="944"/>
      <c r="AE220" s="944"/>
      <c r="AF220" s="944"/>
      <c r="AG220" s="944"/>
    </row>
    <row r="221" spans="1:33" s="28" customFormat="1" ht="19.5" customHeight="1">
      <c r="A221" s="174"/>
      <c r="B221" s="186"/>
      <c r="C221" s="177" t="s">
        <v>108</v>
      </c>
      <c r="D221" s="173"/>
      <c r="E221" s="173"/>
      <c r="F221" s="173">
        <v>60000</v>
      </c>
      <c r="G221" s="173"/>
      <c r="H221" s="195"/>
      <c r="I221" s="982"/>
      <c r="J221" s="967"/>
      <c r="K221" s="982"/>
      <c r="L221" s="967"/>
      <c r="M221" s="967"/>
      <c r="N221" s="990"/>
      <c r="O221" s="990"/>
      <c r="P221" s="991"/>
      <c r="Q221" s="991"/>
      <c r="R221" s="991"/>
      <c r="S221" s="991"/>
      <c r="T221" s="991"/>
      <c r="U221" s="991"/>
      <c r="V221" s="991"/>
      <c r="W221" s="991"/>
      <c r="X221" s="944"/>
      <c r="Y221" s="944"/>
      <c r="Z221" s="944"/>
      <c r="AA221" s="944"/>
      <c r="AB221" s="944"/>
      <c r="AC221" s="944"/>
      <c r="AD221" s="944"/>
      <c r="AE221" s="944"/>
      <c r="AF221" s="944"/>
      <c r="AG221" s="944"/>
    </row>
    <row r="222" spans="1:33" s="28" customFormat="1" ht="19.5" customHeight="1">
      <c r="A222" s="174"/>
      <c r="B222" s="186" t="s">
        <v>94</v>
      </c>
      <c r="C222" s="177" t="s">
        <v>78</v>
      </c>
      <c r="D222" s="173">
        <v>57000</v>
      </c>
      <c r="E222" s="173"/>
      <c r="F222" s="173"/>
      <c r="G222" s="173"/>
      <c r="H222" s="195"/>
      <c r="I222" s="982"/>
      <c r="J222" s="967"/>
      <c r="K222" s="982"/>
      <c r="L222" s="967"/>
      <c r="M222" s="967"/>
      <c r="N222" s="990"/>
      <c r="O222" s="990"/>
      <c r="P222" s="991"/>
      <c r="Q222" s="991"/>
      <c r="R222" s="991"/>
      <c r="S222" s="991"/>
      <c r="T222" s="991"/>
      <c r="U222" s="991"/>
      <c r="V222" s="991"/>
      <c r="W222" s="991"/>
      <c r="X222" s="944"/>
      <c r="Y222" s="944"/>
      <c r="Z222" s="944"/>
      <c r="AA222" s="944"/>
      <c r="AB222" s="944"/>
      <c r="AC222" s="944"/>
      <c r="AD222" s="944"/>
      <c r="AE222" s="944"/>
      <c r="AF222" s="944"/>
      <c r="AG222" s="944"/>
    </row>
    <row r="223" spans="1:33" s="28" customFormat="1" ht="19.5" customHeight="1">
      <c r="A223" s="174"/>
      <c r="B223" s="276" t="s">
        <v>77</v>
      </c>
      <c r="C223" s="172"/>
      <c r="D223" s="173">
        <f>SUM(D224:D230)</f>
        <v>130970.28</v>
      </c>
      <c r="E223" s="173"/>
      <c r="F223" s="173">
        <f>SUM(F224:F230)</f>
        <v>88906</v>
      </c>
      <c r="G223" s="173"/>
      <c r="H223" s="195"/>
      <c r="I223" s="982"/>
      <c r="J223" s="967"/>
      <c r="K223" s="982"/>
      <c r="L223" s="967"/>
      <c r="M223" s="967"/>
      <c r="N223" s="990"/>
      <c r="O223" s="990"/>
      <c r="P223" s="991"/>
      <c r="Q223" s="991"/>
      <c r="R223" s="991"/>
      <c r="S223" s="991"/>
      <c r="T223" s="991"/>
      <c r="U223" s="991"/>
      <c r="V223" s="991"/>
      <c r="W223" s="991"/>
      <c r="X223" s="944"/>
      <c r="Y223" s="944"/>
      <c r="Z223" s="944"/>
      <c r="AA223" s="944"/>
      <c r="AB223" s="944"/>
      <c r="AC223" s="944"/>
      <c r="AD223" s="944"/>
      <c r="AE223" s="944"/>
      <c r="AF223" s="944"/>
      <c r="AG223" s="944"/>
    </row>
    <row r="224" spans="1:33" s="28" customFormat="1" ht="19.5" customHeight="1">
      <c r="A224" s="174"/>
      <c r="B224" s="175"/>
      <c r="C224" s="177" t="s">
        <v>78</v>
      </c>
      <c r="D224" s="173">
        <f>53.28+120000</f>
        <v>120053.28</v>
      </c>
      <c r="E224" s="173"/>
      <c r="F224" s="173">
        <f>10080+9240</f>
        <v>19320</v>
      </c>
      <c r="G224" s="173"/>
      <c r="H224" s="195"/>
      <c r="I224" s="982"/>
      <c r="J224" s="967"/>
      <c r="K224" s="982"/>
      <c r="L224" s="967"/>
      <c r="M224" s="967"/>
      <c r="N224" s="990"/>
      <c r="O224" s="990"/>
      <c r="P224" s="991"/>
      <c r="Q224" s="991"/>
      <c r="R224" s="991"/>
      <c r="S224" s="991"/>
      <c r="T224" s="991"/>
      <c r="U224" s="991"/>
      <c r="V224" s="991"/>
      <c r="W224" s="991"/>
      <c r="X224" s="944"/>
      <c r="Y224" s="944"/>
      <c r="Z224" s="944"/>
      <c r="AA224" s="944"/>
      <c r="AB224" s="944"/>
      <c r="AC224" s="944"/>
      <c r="AD224" s="944"/>
      <c r="AE224" s="944"/>
      <c r="AF224" s="944"/>
      <c r="AG224" s="944"/>
    </row>
    <row r="225" spans="1:33" s="28" customFormat="1" ht="19.5" customHeight="1">
      <c r="A225" s="174"/>
      <c r="B225" s="175"/>
      <c r="C225" s="177" t="s">
        <v>79</v>
      </c>
      <c r="D225" s="173"/>
      <c r="E225" s="173"/>
      <c r="F225" s="173">
        <f>1733+1636</f>
        <v>3369</v>
      </c>
      <c r="G225" s="173"/>
      <c r="H225" s="195"/>
      <c r="I225" s="982"/>
      <c r="J225" s="967"/>
      <c r="K225" s="982"/>
      <c r="L225" s="967"/>
      <c r="M225" s="967"/>
      <c r="N225" s="990"/>
      <c r="O225" s="990"/>
      <c r="P225" s="991"/>
      <c r="Q225" s="991"/>
      <c r="R225" s="991"/>
      <c r="S225" s="991"/>
      <c r="T225" s="991"/>
      <c r="U225" s="991"/>
      <c r="V225" s="991"/>
      <c r="W225" s="991"/>
      <c r="X225" s="944"/>
      <c r="Y225" s="944"/>
      <c r="Z225" s="944"/>
      <c r="AA225" s="944"/>
      <c r="AB225" s="944"/>
      <c r="AC225" s="944"/>
      <c r="AD225" s="944"/>
      <c r="AE225" s="944"/>
      <c r="AF225" s="944"/>
      <c r="AG225" s="944"/>
    </row>
    <row r="226" spans="1:33" s="28" customFormat="1" ht="19.5" customHeight="1">
      <c r="A226" s="174"/>
      <c r="B226" s="175"/>
      <c r="C226" s="177" t="s">
        <v>421</v>
      </c>
      <c r="D226" s="173"/>
      <c r="E226" s="173"/>
      <c r="F226" s="173">
        <v>5896</v>
      </c>
      <c r="G226" s="173"/>
      <c r="H226" s="195"/>
      <c r="I226" s="982"/>
      <c r="J226" s="967"/>
      <c r="K226" s="982"/>
      <c r="L226" s="967"/>
      <c r="M226" s="967"/>
      <c r="N226" s="990"/>
      <c r="O226" s="990"/>
      <c r="P226" s="991"/>
      <c r="Q226" s="991"/>
      <c r="R226" s="991"/>
      <c r="S226" s="991"/>
      <c r="T226" s="991"/>
      <c r="U226" s="991"/>
      <c r="V226" s="991"/>
      <c r="W226" s="991"/>
      <c r="X226" s="944"/>
      <c r="Y226" s="944"/>
      <c r="Z226" s="944"/>
      <c r="AA226" s="944"/>
      <c r="AB226" s="944"/>
      <c r="AC226" s="944"/>
      <c r="AD226" s="944"/>
      <c r="AE226" s="944"/>
      <c r="AF226" s="944"/>
      <c r="AG226" s="944"/>
    </row>
    <row r="227" spans="1:33" s="28" customFormat="1" ht="19.5" customHeight="1">
      <c r="A227" s="174"/>
      <c r="B227" s="175"/>
      <c r="C227" s="177" t="s">
        <v>29</v>
      </c>
      <c r="D227" s="173"/>
      <c r="E227" s="173"/>
      <c r="F227" s="173">
        <v>15300</v>
      </c>
      <c r="G227" s="173"/>
      <c r="H227" s="195"/>
      <c r="I227" s="982"/>
      <c r="J227" s="967"/>
      <c r="K227" s="982"/>
      <c r="L227" s="967"/>
      <c r="M227" s="967"/>
      <c r="N227" s="990"/>
      <c r="O227" s="990"/>
      <c r="P227" s="991"/>
      <c r="Q227" s="991"/>
      <c r="R227" s="991"/>
      <c r="S227" s="991"/>
      <c r="T227" s="991"/>
      <c r="U227" s="991"/>
      <c r="V227" s="991"/>
      <c r="W227" s="991"/>
      <c r="X227" s="944"/>
      <c r="Y227" s="944"/>
      <c r="Z227" s="944"/>
      <c r="AA227" s="944"/>
      <c r="AB227" s="944"/>
      <c r="AC227" s="944"/>
      <c r="AD227" s="944"/>
      <c r="AE227" s="944"/>
      <c r="AF227" s="944"/>
      <c r="AG227" s="944"/>
    </row>
    <row r="228" spans="1:33" s="28" customFormat="1" ht="19.5" customHeight="1">
      <c r="A228" s="174"/>
      <c r="B228" s="175"/>
      <c r="C228" s="177" t="s">
        <v>152</v>
      </c>
      <c r="D228" s="173">
        <v>10917</v>
      </c>
      <c r="E228" s="173"/>
      <c r="F228" s="173"/>
      <c r="G228" s="173"/>
      <c r="H228" s="195"/>
      <c r="I228" s="982"/>
      <c r="J228" s="967"/>
      <c r="K228" s="982"/>
      <c r="L228" s="967"/>
      <c r="M228" s="967"/>
      <c r="N228" s="990"/>
      <c r="O228" s="990"/>
      <c r="P228" s="991"/>
      <c r="Q228" s="991"/>
      <c r="R228" s="991"/>
      <c r="S228" s="991"/>
      <c r="T228" s="991"/>
      <c r="U228" s="991"/>
      <c r="V228" s="991"/>
      <c r="W228" s="991"/>
      <c r="X228" s="944"/>
      <c r="Y228" s="944"/>
      <c r="Z228" s="944"/>
      <c r="AA228" s="944"/>
      <c r="AB228" s="944"/>
      <c r="AC228" s="944"/>
      <c r="AD228" s="944"/>
      <c r="AE228" s="944"/>
      <c r="AF228" s="944"/>
      <c r="AG228" s="944"/>
    </row>
    <row r="229" spans="1:33" s="28" customFormat="1" ht="19.5" customHeight="1">
      <c r="A229" s="174"/>
      <c r="B229" s="175"/>
      <c r="C229" s="177" t="s">
        <v>153</v>
      </c>
      <c r="D229" s="173"/>
      <c r="E229" s="173"/>
      <c r="F229" s="173">
        <v>21</v>
      </c>
      <c r="G229" s="173"/>
      <c r="H229" s="195"/>
      <c r="I229" s="982"/>
      <c r="J229" s="967"/>
      <c r="K229" s="982"/>
      <c r="L229" s="967"/>
      <c r="M229" s="967"/>
      <c r="N229" s="990"/>
      <c r="O229" s="990"/>
      <c r="P229" s="991"/>
      <c r="Q229" s="991"/>
      <c r="R229" s="991"/>
      <c r="S229" s="991"/>
      <c r="T229" s="991"/>
      <c r="U229" s="991"/>
      <c r="V229" s="991"/>
      <c r="W229" s="991"/>
      <c r="X229" s="944"/>
      <c r="Y229" s="944"/>
      <c r="Z229" s="944"/>
      <c r="AA229" s="944"/>
      <c r="AB229" s="944"/>
      <c r="AC229" s="944"/>
      <c r="AD229" s="944"/>
      <c r="AE229" s="944"/>
      <c r="AF229" s="944"/>
      <c r="AG229" s="944"/>
    </row>
    <row r="230" spans="1:33" s="28" customFormat="1" ht="19.5" customHeight="1">
      <c r="A230" s="174"/>
      <c r="B230" s="175"/>
      <c r="C230" s="177" t="s">
        <v>109</v>
      </c>
      <c r="D230" s="173"/>
      <c r="E230" s="173"/>
      <c r="F230" s="173">
        <f>40000+5000</f>
        <v>45000</v>
      </c>
      <c r="G230" s="173"/>
      <c r="H230" s="195"/>
      <c r="I230" s="982"/>
      <c r="J230" s="967"/>
      <c r="K230" s="982"/>
      <c r="L230" s="967"/>
      <c r="M230" s="967"/>
      <c r="N230" s="990"/>
      <c r="O230" s="990"/>
      <c r="P230" s="991"/>
      <c r="Q230" s="991"/>
      <c r="R230" s="991"/>
      <c r="S230" s="991"/>
      <c r="T230" s="991"/>
      <c r="U230" s="991"/>
      <c r="V230" s="991"/>
      <c r="W230" s="991"/>
      <c r="X230" s="944"/>
      <c r="Y230" s="944"/>
      <c r="Z230" s="944"/>
      <c r="AA230" s="944"/>
      <c r="AB230" s="944"/>
      <c r="AC230" s="944"/>
      <c r="AD230" s="944"/>
      <c r="AE230" s="944"/>
      <c r="AF230" s="944"/>
      <c r="AG230" s="944"/>
    </row>
    <row r="231" spans="1:33" s="28" customFormat="1" ht="19.5" customHeight="1">
      <c r="A231" s="174"/>
      <c r="B231" s="276" t="s">
        <v>76</v>
      </c>
      <c r="C231" s="177"/>
      <c r="D231" s="173"/>
      <c r="E231" s="173"/>
      <c r="F231" s="173">
        <f>SUM(F232:F235)</f>
        <v>268603</v>
      </c>
      <c r="G231" s="173"/>
      <c r="H231" s="195"/>
      <c r="I231" s="982"/>
      <c r="J231" s="967"/>
      <c r="K231" s="982"/>
      <c r="L231" s="967"/>
      <c r="M231" s="967"/>
      <c r="N231" s="990"/>
      <c r="O231" s="990"/>
      <c r="P231" s="991"/>
      <c r="Q231" s="991"/>
      <c r="R231" s="991"/>
      <c r="S231" s="991"/>
      <c r="T231" s="991"/>
      <c r="U231" s="991"/>
      <c r="V231" s="991"/>
      <c r="W231" s="991"/>
      <c r="X231" s="944"/>
      <c r="Y231" s="944"/>
      <c r="Z231" s="944"/>
      <c r="AA231" s="944"/>
      <c r="AB231" s="944"/>
      <c r="AC231" s="944"/>
      <c r="AD231" s="944"/>
      <c r="AE231" s="944"/>
      <c r="AF231" s="944"/>
      <c r="AG231" s="944"/>
    </row>
    <row r="232" spans="1:33" s="28" customFormat="1" ht="19.5" customHeight="1">
      <c r="A232" s="174"/>
      <c r="B232" s="175"/>
      <c r="C232" s="177" t="s">
        <v>78</v>
      </c>
      <c r="D232" s="173"/>
      <c r="E232" s="173"/>
      <c r="F232" s="173">
        <v>39410</v>
      </c>
      <c r="G232" s="173"/>
      <c r="H232" s="195"/>
      <c r="I232" s="982"/>
      <c r="J232" s="967"/>
      <c r="K232" s="982"/>
      <c r="L232" s="967"/>
      <c r="M232" s="967"/>
      <c r="N232" s="990"/>
      <c r="O232" s="990"/>
      <c r="P232" s="991"/>
      <c r="Q232" s="991"/>
      <c r="R232" s="991"/>
      <c r="S232" s="991"/>
      <c r="T232" s="991"/>
      <c r="U232" s="991"/>
      <c r="V232" s="991"/>
      <c r="W232" s="991"/>
      <c r="X232" s="944"/>
      <c r="Y232" s="944"/>
      <c r="Z232" s="944"/>
      <c r="AA232" s="944"/>
      <c r="AB232" s="944"/>
      <c r="AC232" s="944"/>
      <c r="AD232" s="944"/>
      <c r="AE232" s="944"/>
      <c r="AF232" s="944"/>
      <c r="AG232" s="944"/>
    </row>
    <row r="233" spans="1:33" s="28" customFormat="1" ht="19.5" customHeight="1">
      <c r="A233" s="174"/>
      <c r="B233" s="175"/>
      <c r="C233" s="177" t="s">
        <v>421</v>
      </c>
      <c r="D233" s="173"/>
      <c r="E233" s="173"/>
      <c r="F233" s="173">
        <f>2580+2000</f>
        <v>4580</v>
      </c>
      <c r="G233" s="173"/>
      <c r="H233" s="195"/>
      <c r="I233" s="982"/>
      <c r="J233" s="967"/>
      <c r="K233" s="982"/>
      <c r="L233" s="967"/>
      <c r="M233" s="967"/>
      <c r="N233" s="990"/>
      <c r="O233" s="990"/>
      <c r="P233" s="991"/>
      <c r="Q233" s="991"/>
      <c r="R233" s="991"/>
      <c r="S233" s="991"/>
      <c r="T233" s="991"/>
      <c r="U233" s="991"/>
      <c r="V233" s="991"/>
      <c r="W233" s="991"/>
      <c r="X233" s="944"/>
      <c r="Y233" s="944"/>
      <c r="Z233" s="944"/>
      <c r="AA233" s="944"/>
      <c r="AB233" s="944"/>
      <c r="AC233" s="944"/>
      <c r="AD233" s="944"/>
      <c r="AE233" s="944"/>
      <c r="AF233" s="944"/>
      <c r="AG233" s="944"/>
    </row>
    <row r="234" spans="1:33" s="28" customFormat="1" ht="19.5" customHeight="1">
      <c r="A234" s="174"/>
      <c r="B234" s="175"/>
      <c r="C234" s="177" t="s">
        <v>426</v>
      </c>
      <c r="D234" s="173"/>
      <c r="E234" s="173"/>
      <c r="F234" s="173">
        <f>4613</f>
        <v>4613</v>
      </c>
      <c r="G234" s="173"/>
      <c r="H234" s="195"/>
      <c r="I234" s="982"/>
      <c r="J234" s="967"/>
      <c r="K234" s="982"/>
      <c r="L234" s="967"/>
      <c r="M234" s="967"/>
      <c r="N234" s="990"/>
      <c r="O234" s="990"/>
      <c r="P234" s="991"/>
      <c r="Q234" s="991"/>
      <c r="R234" s="991"/>
      <c r="S234" s="991"/>
      <c r="T234" s="991"/>
      <c r="U234" s="991"/>
      <c r="V234" s="991"/>
      <c r="W234" s="991"/>
      <c r="X234" s="944"/>
      <c r="Y234" s="944"/>
      <c r="Z234" s="944"/>
      <c r="AA234" s="944"/>
      <c r="AB234" s="944"/>
      <c r="AC234" s="944"/>
      <c r="AD234" s="944"/>
      <c r="AE234" s="944"/>
      <c r="AF234" s="944"/>
      <c r="AG234" s="944"/>
    </row>
    <row r="235" spans="1:33" s="28" customFormat="1" ht="19.5" customHeight="1">
      <c r="A235" s="174"/>
      <c r="B235" s="175"/>
      <c r="C235" s="177" t="s">
        <v>108</v>
      </c>
      <c r="D235" s="173"/>
      <c r="E235" s="173"/>
      <c r="F235" s="173">
        <v>220000</v>
      </c>
      <c r="G235" s="173"/>
      <c r="H235" s="195"/>
      <c r="I235" s="982"/>
      <c r="J235" s="967"/>
      <c r="K235" s="982"/>
      <c r="L235" s="967"/>
      <c r="M235" s="967"/>
      <c r="N235" s="990"/>
      <c r="O235" s="990"/>
      <c r="P235" s="991"/>
      <c r="Q235" s="991"/>
      <c r="R235" s="991"/>
      <c r="S235" s="991"/>
      <c r="T235" s="991"/>
      <c r="U235" s="991"/>
      <c r="V235" s="991"/>
      <c r="W235" s="991"/>
      <c r="X235" s="944"/>
      <c r="Y235" s="944"/>
      <c r="Z235" s="944"/>
      <c r="AA235" s="944"/>
      <c r="AB235" s="944"/>
      <c r="AC235" s="944"/>
      <c r="AD235" s="944"/>
      <c r="AE235" s="944"/>
      <c r="AF235" s="944"/>
      <c r="AG235" s="944"/>
    </row>
    <row r="236" spans="1:33" s="28" customFormat="1" ht="19.5" customHeight="1">
      <c r="A236" s="174"/>
      <c r="B236" s="170" t="s">
        <v>95</v>
      </c>
      <c r="C236" s="177"/>
      <c r="D236" s="173"/>
      <c r="E236" s="173"/>
      <c r="F236" s="173">
        <f>SUM(F237:F238)</f>
        <v>3822</v>
      </c>
      <c r="G236" s="173"/>
      <c r="H236" s="195"/>
      <c r="I236" s="982"/>
      <c r="J236" s="967"/>
      <c r="K236" s="982"/>
      <c r="L236" s="967"/>
      <c r="M236" s="967"/>
      <c r="N236" s="990"/>
      <c r="O236" s="990"/>
      <c r="P236" s="991"/>
      <c r="Q236" s="991"/>
      <c r="R236" s="991"/>
      <c r="S236" s="991"/>
      <c r="T236" s="991"/>
      <c r="U236" s="991"/>
      <c r="V236" s="991"/>
      <c r="W236" s="991"/>
      <c r="X236" s="944"/>
      <c r="Y236" s="944"/>
      <c r="Z236" s="944"/>
      <c r="AA236" s="944"/>
      <c r="AB236" s="944"/>
      <c r="AC236" s="944"/>
      <c r="AD236" s="944"/>
      <c r="AE236" s="944"/>
      <c r="AF236" s="944"/>
      <c r="AG236" s="944"/>
    </row>
    <row r="237" spans="1:33" s="28" customFormat="1" ht="19.5" customHeight="1">
      <c r="A237" s="174"/>
      <c r="B237" s="170"/>
      <c r="C237" s="177" t="s">
        <v>78</v>
      </c>
      <c r="D237" s="173"/>
      <c r="E237" s="173"/>
      <c r="F237" s="173">
        <v>3590</v>
      </c>
      <c r="G237" s="173"/>
      <c r="H237" s="195"/>
      <c r="I237" s="982"/>
      <c r="J237" s="967"/>
      <c r="K237" s="982"/>
      <c r="L237" s="967"/>
      <c r="M237" s="967"/>
      <c r="N237" s="990"/>
      <c r="O237" s="990"/>
      <c r="P237" s="991"/>
      <c r="Q237" s="991"/>
      <c r="R237" s="991"/>
      <c r="S237" s="991"/>
      <c r="T237" s="991"/>
      <c r="U237" s="991"/>
      <c r="V237" s="991"/>
      <c r="W237" s="991"/>
      <c r="X237" s="944"/>
      <c r="Y237" s="944"/>
      <c r="Z237" s="944"/>
      <c r="AA237" s="944"/>
      <c r="AB237" s="944"/>
      <c r="AC237" s="944"/>
      <c r="AD237" s="944"/>
      <c r="AE237" s="944"/>
      <c r="AF237" s="944"/>
      <c r="AG237" s="944"/>
    </row>
    <row r="238" spans="1:33" s="28" customFormat="1" ht="19.5" customHeight="1">
      <c r="A238" s="174"/>
      <c r="B238" s="186"/>
      <c r="C238" s="177" t="s">
        <v>97</v>
      </c>
      <c r="D238" s="173"/>
      <c r="E238" s="173"/>
      <c r="F238" s="173">
        <v>232</v>
      </c>
      <c r="G238" s="173"/>
      <c r="H238" s="195"/>
      <c r="I238" s="982"/>
      <c r="J238" s="967"/>
      <c r="K238" s="982"/>
      <c r="L238" s="967"/>
      <c r="M238" s="967"/>
      <c r="N238" s="990"/>
      <c r="O238" s="990"/>
      <c r="P238" s="991"/>
      <c r="Q238" s="991"/>
      <c r="R238" s="991"/>
      <c r="S238" s="991"/>
      <c r="T238" s="991"/>
      <c r="U238" s="991"/>
      <c r="V238" s="991"/>
      <c r="W238" s="991"/>
      <c r="X238" s="944"/>
      <c r="Y238" s="944"/>
      <c r="Z238" s="944"/>
      <c r="AA238" s="944"/>
      <c r="AB238" s="944"/>
      <c r="AC238" s="944"/>
      <c r="AD238" s="944"/>
      <c r="AE238" s="944"/>
      <c r="AF238" s="944"/>
      <c r="AG238" s="944"/>
    </row>
    <row r="239" spans="1:33" s="28" customFormat="1" ht="19.5" customHeight="1">
      <c r="A239" s="174"/>
      <c r="B239" s="175" t="s">
        <v>25</v>
      </c>
      <c r="C239" s="177"/>
      <c r="D239" s="173"/>
      <c r="E239" s="173"/>
      <c r="F239" s="173">
        <f>SUM(F240:F243)</f>
        <v>22592.16</v>
      </c>
      <c r="G239" s="173"/>
      <c r="H239" s="195"/>
      <c r="I239" s="982"/>
      <c r="J239" s="967"/>
      <c r="K239" s="982"/>
      <c r="L239" s="967"/>
      <c r="M239" s="967"/>
      <c r="N239" s="990"/>
      <c r="O239" s="990"/>
      <c r="P239" s="991"/>
      <c r="Q239" s="991"/>
      <c r="R239" s="991"/>
      <c r="S239" s="991"/>
      <c r="T239" s="991"/>
      <c r="U239" s="991"/>
      <c r="V239" s="991"/>
      <c r="W239" s="991"/>
      <c r="X239" s="944"/>
      <c r="Y239" s="944"/>
      <c r="Z239" s="944"/>
      <c r="AA239" s="944"/>
      <c r="AB239" s="944"/>
      <c r="AC239" s="944"/>
      <c r="AD239" s="944"/>
      <c r="AE239" s="944"/>
      <c r="AF239" s="944"/>
      <c r="AG239" s="944"/>
    </row>
    <row r="240" spans="1:33" s="28" customFormat="1" ht="19.5" customHeight="1">
      <c r="A240" s="174"/>
      <c r="B240" s="170"/>
      <c r="C240" s="177" t="s">
        <v>421</v>
      </c>
      <c r="D240" s="173"/>
      <c r="E240" s="173"/>
      <c r="F240" s="173">
        <v>600</v>
      </c>
      <c r="G240" s="173"/>
      <c r="H240" s="195"/>
      <c r="I240" s="982"/>
      <c r="J240" s="967"/>
      <c r="K240" s="982"/>
      <c r="L240" s="967"/>
      <c r="M240" s="967"/>
      <c r="N240" s="990"/>
      <c r="O240" s="990"/>
      <c r="P240" s="991"/>
      <c r="Q240" s="991"/>
      <c r="R240" s="991"/>
      <c r="S240" s="991"/>
      <c r="T240" s="991"/>
      <c r="U240" s="991"/>
      <c r="V240" s="991"/>
      <c r="W240" s="991"/>
      <c r="X240" s="944"/>
      <c r="Y240" s="944"/>
      <c r="Z240" s="944"/>
      <c r="AA240" s="944"/>
      <c r="AB240" s="944"/>
      <c r="AC240" s="944"/>
      <c r="AD240" s="944"/>
      <c r="AE240" s="944"/>
      <c r="AF240" s="944"/>
      <c r="AG240" s="944"/>
    </row>
    <row r="241" spans="1:33" s="28" customFormat="1" ht="19.5" customHeight="1">
      <c r="A241" s="174"/>
      <c r="B241" s="175"/>
      <c r="C241" s="177" t="s">
        <v>26</v>
      </c>
      <c r="D241" s="173"/>
      <c r="E241" s="173"/>
      <c r="F241" s="173">
        <v>2500</v>
      </c>
      <c r="G241" s="173"/>
      <c r="H241" s="195"/>
      <c r="I241" s="982"/>
      <c r="J241" s="967"/>
      <c r="K241" s="982"/>
      <c r="L241" s="967"/>
      <c r="M241" s="967"/>
      <c r="N241" s="990"/>
      <c r="O241" s="990"/>
      <c r="P241" s="991"/>
      <c r="Q241" s="991"/>
      <c r="R241" s="991"/>
      <c r="S241" s="991"/>
      <c r="T241" s="991"/>
      <c r="U241" s="991"/>
      <c r="V241" s="991"/>
      <c r="W241" s="991"/>
      <c r="X241" s="944"/>
      <c r="Y241" s="944"/>
      <c r="Z241" s="944"/>
      <c r="AA241" s="944"/>
      <c r="AB241" s="944"/>
      <c r="AC241" s="944"/>
      <c r="AD241" s="944"/>
      <c r="AE241" s="944"/>
      <c r="AF241" s="944"/>
      <c r="AG241" s="944"/>
    </row>
    <row r="242" spans="1:33" s="28" customFormat="1" ht="19.5" customHeight="1">
      <c r="A242" s="174"/>
      <c r="B242" s="175"/>
      <c r="C242" s="176" t="s">
        <v>426</v>
      </c>
      <c r="D242" s="173"/>
      <c r="E242" s="173"/>
      <c r="F242" s="173">
        <f>1810+4500</f>
        <v>6310</v>
      </c>
      <c r="G242" s="173"/>
      <c r="H242" s="195"/>
      <c r="I242" s="982"/>
      <c r="J242" s="967"/>
      <c r="K242" s="982"/>
      <c r="L242" s="967"/>
      <c r="M242" s="967"/>
      <c r="N242" s="990"/>
      <c r="O242" s="990"/>
      <c r="P242" s="991"/>
      <c r="Q242" s="991"/>
      <c r="R242" s="991"/>
      <c r="S242" s="991"/>
      <c r="T242" s="991"/>
      <c r="U242" s="991"/>
      <c r="V242" s="991"/>
      <c r="W242" s="991"/>
      <c r="X242" s="944"/>
      <c r="Y242" s="944"/>
      <c r="Z242" s="944"/>
      <c r="AA242" s="944"/>
      <c r="AB242" s="944"/>
      <c r="AC242" s="944"/>
      <c r="AD242" s="944"/>
      <c r="AE242" s="944"/>
      <c r="AF242" s="944"/>
      <c r="AG242" s="944"/>
    </row>
    <row r="243" spans="1:33" s="28" customFormat="1" ht="19.5" customHeight="1">
      <c r="A243" s="174"/>
      <c r="B243" s="175"/>
      <c r="C243" s="276" t="s">
        <v>42</v>
      </c>
      <c r="D243" s="173"/>
      <c r="E243" s="173"/>
      <c r="F243" s="173">
        <v>13182.16</v>
      </c>
      <c r="G243" s="173"/>
      <c r="H243" s="195"/>
      <c r="I243" s="982"/>
      <c r="J243" s="967"/>
      <c r="K243" s="982"/>
      <c r="L243" s="967"/>
      <c r="M243" s="967"/>
      <c r="N243" s="990"/>
      <c r="O243" s="990"/>
      <c r="P243" s="991"/>
      <c r="Q243" s="991"/>
      <c r="R243" s="991"/>
      <c r="S243" s="991"/>
      <c r="T243" s="991"/>
      <c r="U243" s="991"/>
      <c r="V243" s="991"/>
      <c r="W243" s="991"/>
      <c r="X243" s="944"/>
      <c r="Y243" s="944"/>
      <c r="Z243" s="944"/>
      <c r="AA243" s="944"/>
      <c r="AB243" s="944"/>
      <c r="AC243" s="944"/>
      <c r="AD243" s="944"/>
      <c r="AE243" s="944"/>
      <c r="AF243" s="944"/>
      <c r="AG243" s="944"/>
    </row>
    <row r="244" spans="1:33" s="29" customFormat="1" ht="19.5" customHeight="1">
      <c r="A244" s="274" t="s">
        <v>70</v>
      </c>
      <c r="B244" s="166"/>
      <c r="C244" s="169"/>
      <c r="D244" s="167">
        <f>D245+D248+D249+D254+D255</f>
        <v>330000</v>
      </c>
      <c r="E244" s="167"/>
      <c r="F244" s="167">
        <f>F245+F248+F249+F254+F255</f>
        <v>410352</v>
      </c>
      <c r="G244" s="167"/>
      <c r="H244" s="193"/>
      <c r="I244" s="973"/>
      <c r="J244" s="984"/>
      <c r="K244" s="973"/>
      <c r="L244" s="984"/>
      <c r="M244" s="984"/>
      <c r="N244" s="983"/>
      <c r="O244" s="983"/>
      <c r="P244" s="988"/>
      <c r="Q244" s="988"/>
      <c r="R244" s="988"/>
      <c r="S244" s="988"/>
      <c r="T244" s="988"/>
      <c r="U244" s="988"/>
      <c r="V244" s="988"/>
      <c r="W244" s="988"/>
      <c r="X244" s="989"/>
      <c r="Y244" s="989"/>
      <c r="Z244" s="989"/>
      <c r="AA244" s="989"/>
      <c r="AB244" s="989"/>
      <c r="AC244" s="989"/>
      <c r="AD244" s="989"/>
      <c r="AE244" s="989"/>
      <c r="AF244" s="989"/>
      <c r="AG244" s="989"/>
    </row>
    <row r="245" spans="1:33" s="29" customFormat="1" ht="19.5" customHeight="1">
      <c r="A245" s="402"/>
      <c r="B245" s="781">
        <v>85202</v>
      </c>
      <c r="C245" s="781"/>
      <c r="D245" s="782"/>
      <c r="E245" s="782"/>
      <c r="F245" s="782">
        <f>SUM(F246:F247)</f>
        <v>150000</v>
      </c>
      <c r="G245" s="167"/>
      <c r="H245" s="193"/>
      <c r="I245" s="973"/>
      <c r="J245" s="984"/>
      <c r="K245" s="973"/>
      <c r="L245" s="984"/>
      <c r="M245" s="984"/>
      <c r="N245" s="983"/>
      <c r="O245" s="983"/>
      <c r="P245" s="988"/>
      <c r="Q245" s="988"/>
      <c r="R245" s="988"/>
      <c r="S245" s="988"/>
      <c r="T245" s="988"/>
      <c r="U245" s="988"/>
      <c r="V245" s="988"/>
      <c r="W245" s="988"/>
      <c r="X245" s="989"/>
      <c r="Y245" s="989"/>
      <c r="Z245" s="989"/>
      <c r="AA245" s="989"/>
      <c r="AB245" s="989"/>
      <c r="AC245" s="989"/>
      <c r="AD245" s="989"/>
      <c r="AE245" s="989"/>
      <c r="AF245" s="989"/>
      <c r="AG245" s="989"/>
    </row>
    <row r="246" spans="1:33" s="29" customFormat="1" ht="19.5" customHeight="1">
      <c r="A246" s="402"/>
      <c r="B246" s="784"/>
      <c r="C246" s="780">
        <v>4300</v>
      </c>
      <c r="D246" s="783"/>
      <c r="E246" s="783"/>
      <c r="F246" s="782">
        <v>70000</v>
      </c>
      <c r="G246" s="167"/>
      <c r="H246" s="193"/>
      <c r="I246" s="973"/>
      <c r="J246" s="984"/>
      <c r="K246" s="973"/>
      <c r="L246" s="984"/>
      <c r="M246" s="984"/>
      <c r="N246" s="983"/>
      <c r="O246" s="983"/>
      <c r="P246" s="988"/>
      <c r="Q246" s="988"/>
      <c r="R246" s="988"/>
      <c r="S246" s="988"/>
      <c r="T246" s="988"/>
      <c r="U246" s="988"/>
      <c r="V246" s="988"/>
      <c r="W246" s="988"/>
      <c r="X246" s="989"/>
      <c r="Y246" s="989"/>
      <c r="Z246" s="989"/>
      <c r="AA246" s="989"/>
      <c r="AB246" s="989"/>
      <c r="AC246" s="989"/>
      <c r="AD246" s="989"/>
      <c r="AE246" s="989"/>
      <c r="AF246" s="989"/>
      <c r="AG246" s="989"/>
    </row>
    <row r="247" spans="1:33" s="29" customFormat="1" ht="19.5" customHeight="1">
      <c r="A247" s="402"/>
      <c r="B247" s="785"/>
      <c r="C247" s="780">
        <v>4330</v>
      </c>
      <c r="D247" s="783"/>
      <c r="E247" s="783"/>
      <c r="F247" s="782">
        <v>80000</v>
      </c>
      <c r="G247" s="167"/>
      <c r="H247" s="193"/>
      <c r="I247" s="973"/>
      <c r="J247" s="984"/>
      <c r="K247" s="973"/>
      <c r="L247" s="984"/>
      <c r="M247" s="984"/>
      <c r="N247" s="983"/>
      <c r="O247" s="983"/>
      <c r="P247" s="988"/>
      <c r="Q247" s="988"/>
      <c r="R247" s="988"/>
      <c r="S247" s="988"/>
      <c r="T247" s="988"/>
      <c r="U247" s="988"/>
      <c r="V247" s="988"/>
      <c r="W247" s="988"/>
      <c r="X247" s="989"/>
      <c r="Y247" s="989"/>
      <c r="Z247" s="989"/>
      <c r="AA247" s="989"/>
      <c r="AB247" s="989"/>
      <c r="AC247" s="989"/>
      <c r="AD247" s="989"/>
      <c r="AE247" s="989"/>
      <c r="AF247" s="989"/>
      <c r="AG247" s="989"/>
    </row>
    <row r="248" spans="1:33" s="28" customFormat="1" ht="19.5" customHeight="1">
      <c r="A248" s="174"/>
      <c r="B248" s="276" t="s">
        <v>71</v>
      </c>
      <c r="C248" s="276" t="s">
        <v>72</v>
      </c>
      <c r="D248" s="173">
        <v>330000</v>
      </c>
      <c r="E248" s="173"/>
      <c r="F248" s="173"/>
      <c r="G248" s="173"/>
      <c r="H248" s="195"/>
      <c r="I248" s="982"/>
      <c r="J248" s="967"/>
      <c r="K248" s="982"/>
      <c r="L248" s="967"/>
      <c r="M248" s="967"/>
      <c r="N248" s="990"/>
      <c r="O248" s="990"/>
      <c r="P248" s="991"/>
      <c r="Q248" s="991"/>
      <c r="R248" s="991"/>
      <c r="S248" s="991"/>
      <c r="T248" s="991"/>
      <c r="U248" s="991"/>
      <c r="V248" s="991"/>
      <c r="W248" s="991"/>
      <c r="X248" s="944"/>
      <c r="Y248" s="944"/>
      <c r="Z248" s="944"/>
      <c r="AA248" s="944"/>
      <c r="AB248" s="944"/>
      <c r="AC248" s="944"/>
      <c r="AD248" s="944"/>
      <c r="AE248" s="944"/>
      <c r="AF248" s="944"/>
      <c r="AG248" s="944"/>
    </row>
    <row r="249" spans="1:33" s="28" customFormat="1" ht="19.5" customHeight="1">
      <c r="A249" s="174"/>
      <c r="B249" s="520">
        <v>85219</v>
      </c>
      <c r="C249" s="520"/>
      <c r="D249" s="775"/>
      <c r="E249" s="775"/>
      <c r="F249" s="775">
        <f>SUM(F250:F253)</f>
        <v>81312</v>
      </c>
      <c r="G249" s="775">
        <f>SUM(G250:G253)</f>
        <v>0</v>
      </c>
      <c r="H249" s="195"/>
      <c r="I249" s="982"/>
      <c r="J249" s="967"/>
      <c r="K249" s="982"/>
      <c r="L249" s="967"/>
      <c r="M249" s="967"/>
      <c r="N249" s="990"/>
      <c r="O249" s="990"/>
      <c r="P249" s="991"/>
      <c r="Q249" s="991"/>
      <c r="R249" s="991"/>
      <c r="S249" s="991"/>
      <c r="T249" s="991"/>
      <c r="U249" s="991"/>
      <c r="V249" s="991"/>
      <c r="W249" s="991"/>
      <c r="X249" s="944"/>
      <c r="Y249" s="944"/>
      <c r="Z249" s="944"/>
      <c r="AA249" s="944"/>
      <c r="AB249" s="944"/>
      <c r="AC249" s="944"/>
      <c r="AD249" s="944"/>
      <c r="AE249" s="944"/>
      <c r="AF249" s="944"/>
      <c r="AG249" s="944"/>
    </row>
    <row r="250" spans="1:33" s="28" customFormat="1" ht="19.5" customHeight="1">
      <c r="A250" s="174"/>
      <c r="B250" s="524"/>
      <c r="C250" s="412">
        <v>4010</v>
      </c>
      <c r="D250" s="775"/>
      <c r="E250" s="775"/>
      <c r="F250" s="775">
        <v>66000</v>
      </c>
      <c r="G250" s="775"/>
      <c r="H250" s="195"/>
      <c r="I250" s="982"/>
      <c r="J250" s="967"/>
      <c r="K250" s="982"/>
      <c r="L250" s="967"/>
      <c r="M250" s="967"/>
      <c r="N250" s="990"/>
      <c r="O250" s="990"/>
      <c r="P250" s="991"/>
      <c r="Q250" s="991"/>
      <c r="R250" s="991"/>
      <c r="S250" s="991"/>
      <c r="T250" s="991"/>
      <c r="U250" s="991"/>
      <c r="V250" s="991"/>
      <c r="W250" s="991"/>
      <c r="X250" s="944"/>
      <c r="Y250" s="944"/>
      <c r="Z250" s="944"/>
      <c r="AA250" s="944"/>
      <c r="AB250" s="944"/>
      <c r="AC250" s="944"/>
      <c r="AD250" s="944"/>
      <c r="AE250" s="944"/>
      <c r="AF250" s="944"/>
      <c r="AG250" s="944"/>
    </row>
    <row r="251" spans="1:33" s="28" customFormat="1" ht="19.5" customHeight="1">
      <c r="A251" s="174"/>
      <c r="B251" s="524"/>
      <c r="C251" s="412">
        <v>4110</v>
      </c>
      <c r="D251" s="775"/>
      <c r="E251" s="775"/>
      <c r="F251" s="775">
        <v>11520</v>
      </c>
      <c r="G251" s="775"/>
      <c r="H251" s="195"/>
      <c r="I251" s="982"/>
      <c r="J251" s="967"/>
      <c r="K251" s="982"/>
      <c r="L251" s="967"/>
      <c r="M251" s="967"/>
      <c r="N251" s="990"/>
      <c r="O251" s="990"/>
      <c r="P251" s="991"/>
      <c r="Q251" s="991"/>
      <c r="R251" s="991"/>
      <c r="S251" s="991"/>
      <c r="T251" s="991"/>
      <c r="U251" s="991"/>
      <c r="V251" s="991"/>
      <c r="W251" s="991"/>
      <c r="X251" s="944"/>
      <c r="Y251" s="944"/>
      <c r="Z251" s="944"/>
      <c r="AA251" s="944"/>
      <c r="AB251" s="944"/>
      <c r="AC251" s="944"/>
      <c r="AD251" s="944"/>
      <c r="AE251" s="944"/>
      <c r="AF251" s="944"/>
      <c r="AG251" s="944"/>
    </row>
    <row r="252" spans="1:33" s="28" customFormat="1" ht="19.5" customHeight="1">
      <c r="A252" s="174"/>
      <c r="B252" s="524"/>
      <c r="C252" s="412">
        <v>4120</v>
      </c>
      <c r="D252" s="775"/>
      <c r="E252" s="775"/>
      <c r="F252" s="775">
        <v>1608</v>
      </c>
      <c r="G252" s="775"/>
      <c r="H252" s="195"/>
      <c r="I252" s="982"/>
      <c r="J252" s="967"/>
      <c r="K252" s="982"/>
      <c r="L252" s="967"/>
      <c r="M252" s="967"/>
      <c r="N252" s="990"/>
      <c r="O252" s="990"/>
      <c r="P252" s="991"/>
      <c r="Q252" s="991"/>
      <c r="R252" s="991"/>
      <c r="S252" s="991"/>
      <c r="T252" s="991"/>
      <c r="U252" s="991"/>
      <c r="V252" s="991"/>
      <c r="W252" s="991"/>
      <c r="X252" s="944"/>
      <c r="Y252" s="944"/>
      <c r="Z252" s="944"/>
      <c r="AA252" s="944"/>
      <c r="AB252" s="944"/>
      <c r="AC252" s="944"/>
      <c r="AD252" s="944"/>
      <c r="AE252" s="944"/>
      <c r="AF252" s="944"/>
      <c r="AG252" s="944"/>
    </row>
    <row r="253" spans="1:33" s="28" customFormat="1" ht="19.5" customHeight="1">
      <c r="A253" s="174"/>
      <c r="B253" s="524"/>
      <c r="C253" s="412">
        <v>4440</v>
      </c>
      <c r="D253" s="775"/>
      <c r="E253" s="775"/>
      <c r="F253" s="775">
        <v>2184</v>
      </c>
      <c r="G253" s="775"/>
      <c r="H253" s="195"/>
      <c r="I253" s="982"/>
      <c r="J253" s="967"/>
      <c r="K253" s="982"/>
      <c r="L253" s="967"/>
      <c r="M253" s="967"/>
      <c r="N253" s="990"/>
      <c r="O253" s="990"/>
      <c r="P253" s="991"/>
      <c r="Q253" s="991"/>
      <c r="R253" s="991"/>
      <c r="S253" s="991"/>
      <c r="T253" s="991"/>
      <c r="U253" s="991"/>
      <c r="V253" s="991"/>
      <c r="W253" s="991"/>
      <c r="X253" s="944"/>
      <c r="Y253" s="944"/>
      <c r="Z253" s="944"/>
      <c r="AA253" s="944"/>
      <c r="AB253" s="944"/>
      <c r="AC253" s="944"/>
      <c r="AD253" s="944"/>
      <c r="AE253" s="944"/>
      <c r="AF253" s="944"/>
      <c r="AG253" s="944"/>
    </row>
    <row r="254" spans="1:33" s="28" customFormat="1" ht="19.5" customHeight="1">
      <c r="A254" s="174"/>
      <c r="B254" s="520">
        <v>85228</v>
      </c>
      <c r="C254" s="379">
        <v>2360</v>
      </c>
      <c r="D254" s="775"/>
      <c r="E254" s="775"/>
      <c r="F254" s="775">
        <v>156000</v>
      </c>
      <c r="G254" s="775"/>
      <c r="H254" s="195"/>
      <c r="I254" s="982"/>
      <c r="J254" s="967"/>
      <c r="K254" s="982"/>
      <c r="L254" s="967"/>
      <c r="M254" s="967"/>
      <c r="N254" s="990"/>
      <c r="O254" s="990"/>
      <c r="P254" s="991"/>
      <c r="Q254" s="991"/>
      <c r="R254" s="991"/>
      <c r="S254" s="991"/>
      <c r="T254" s="991"/>
      <c r="U254" s="991"/>
      <c r="V254" s="991"/>
      <c r="W254" s="991"/>
      <c r="X254" s="944"/>
      <c r="Y254" s="944"/>
      <c r="Z254" s="944"/>
      <c r="AA254" s="944"/>
      <c r="AB254" s="944"/>
      <c r="AC254" s="944"/>
      <c r="AD254" s="944"/>
      <c r="AE254" s="944"/>
      <c r="AF254" s="944"/>
      <c r="AG254" s="944"/>
    </row>
    <row r="255" spans="1:33" s="28" customFormat="1" ht="19.5" customHeight="1">
      <c r="A255" s="174"/>
      <c r="B255" s="175" t="s">
        <v>73</v>
      </c>
      <c r="C255" s="176" t="s">
        <v>72</v>
      </c>
      <c r="D255" s="173"/>
      <c r="E255" s="173"/>
      <c r="F255" s="173">
        <v>23040</v>
      </c>
      <c r="G255" s="173"/>
      <c r="H255" s="195"/>
      <c r="I255" s="982"/>
      <c r="J255" s="967"/>
      <c r="K255" s="982"/>
      <c r="L255" s="967"/>
      <c r="M255" s="967"/>
      <c r="N255" s="990"/>
      <c r="O255" s="990"/>
      <c r="P255" s="991"/>
      <c r="Q255" s="991"/>
      <c r="R255" s="991"/>
      <c r="S255" s="991"/>
      <c r="T255" s="991"/>
      <c r="U255" s="991"/>
      <c r="V255" s="991"/>
      <c r="W255" s="991"/>
      <c r="X255" s="944"/>
      <c r="Y255" s="944"/>
      <c r="Z255" s="944"/>
      <c r="AA255" s="944"/>
      <c r="AB255" s="944"/>
      <c r="AC255" s="944"/>
      <c r="AD255" s="944"/>
      <c r="AE255" s="944"/>
      <c r="AF255" s="944"/>
      <c r="AG255" s="944"/>
    </row>
    <row r="256" spans="1:33" s="29" customFormat="1" ht="19.5" customHeight="1">
      <c r="A256" s="274" t="s">
        <v>33</v>
      </c>
      <c r="B256" s="166"/>
      <c r="C256" s="169"/>
      <c r="D256" s="167">
        <f>D257+D258</f>
        <v>34374.82000000001</v>
      </c>
      <c r="E256" s="167"/>
      <c r="F256" s="167">
        <f>F257+F258</f>
        <v>181171.01</v>
      </c>
      <c r="G256" s="167"/>
      <c r="H256" s="193"/>
      <c r="I256" s="973"/>
      <c r="J256" s="984"/>
      <c r="K256" s="973"/>
      <c r="L256" s="984"/>
      <c r="M256" s="984"/>
      <c r="N256" s="983"/>
      <c r="O256" s="983"/>
      <c r="P256" s="988"/>
      <c r="Q256" s="988"/>
      <c r="R256" s="988"/>
      <c r="S256" s="988"/>
      <c r="T256" s="988"/>
      <c r="U256" s="988"/>
      <c r="V256" s="988"/>
      <c r="W256" s="988"/>
      <c r="X256" s="989"/>
      <c r="Y256" s="989"/>
      <c r="Z256" s="989"/>
      <c r="AA256" s="989"/>
      <c r="AB256" s="989"/>
      <c r="AC256" s="989"/>
      <c r="AD256" s="989"/>
      <c r="AE256" s="989"/>
      <c r="AF256" s="989"/>
      <c r="AG256" s="989"/>
    </row>
    <row r="257" spans="1:33" s="28" customFormat="1" ht="19.5" customHeight="1">
      <c r="A257" s="175"/>
      <c r="B257" s="176" t="s">
        <v>154</v>
      </c>
      <c r="C257" s="176" t="s">
        <v>108</v>
      </c>
      <c r="D257" s="173"/>
      <c r="E257" s="173"/>
      <c r="F257" s="173">
        <v>66553</v>
      </c>
      <c r="G257" s="173"/>
      <c r="H257" s="195"/>
      <c r="I257" s="982"/>
      <c r="J257" s="967"/>
      <c r="K257" s="982"/>
      <c r="L257" s="967"/>
      <c r="M257" s="967"/>
      <c r="N257" s="990"/>
      <c r="O257" s="990"/>
      <c r="P257" s="991"/>
      <c r="Q257" s="991"/>
      <c r="R257" s="991"/>
      <c r="S257" s="991"/>
      <c r="T257" s="991"/>
      <c r="U257" s="991"/>
      <c r="V257" s="991"/>
      <c r="W257" s="991"/>
      <c r="X257" s="944"/>
      <c r="Y257" s="944"/>
      <c r="Z257" s="944"/>
      <c r="AA257" s="944"/>
      <c r="AB257" s="944"/>
      <c r="AC257" s="944"/>
      <c r="AD257" s="944"/>
      <c r="AE257" s="944"/>
      <c r="AF257" s="944"/>
      <c r="AG257" s="944"/>
    </row>
    <row r="258" spans="1:33" s="28" customFormat="1" ht="19.5" customHeight="1">
      <c r="A258" s="175"/>
      <c r="B258" s="171" t="s">
        <v>34</v>
      </c>
      <c r="C258" s="172"/>
      <c r="D258" s="173">
        <f>SUM(D259:D274)</f>
        <v>34374.82000000001</v>
      </c>
      <c r="E258" s="173"/>
      <c r="F258" s="173">
        <f>SUM(F259:F274)</f>
        <v>114618.01</v>
      </c>
      <c r="G258" s="173"/>
      <c r="H258" s="195"/>
      <c r="I258" s="982"/>
      <c r="J258" s="967"/>
      <c r="K258" s="982"/>
      <c r="L258" s="967"/>
      <c r="M258" s="967"/>
      <c r="N258" s="990"/>
      <c r="O258" s="990"/>
      <c r="P258" s="991"/>
      <c r="Q258" s="991"/>
      <c r="R258" s="991"/>
      <c r="S258" s="991"/>
      <c r="T258" s="991"/>
      <c r="U258" s="991"/>
      <c r="V258" s="991"/>
      <c r="W258" s="991"/>
      <c r="X258" s="944"/>
      <c r="Y258" s="944"/>
      <c r="Z258" s="944"/>
      <c r="AA258" s="944"/>
      <c r="AB258" s="944"/>
      <c r="AC258" s="944"/>
      <c r="AD258" s="944"/>
      <c r="AE258" s="944"/>
      <c r="AF258" s="944"/>
      <c r="AG258" s="944"/>
    </row>
    <row r="259" spans="1:33" s="28" customFormat="1" ht="19.5" customHeight="1">
      <c r="A259" s="175"/>
      <c r="B259" s="171"/>
      <c r="C259" s="177" t="s">
        <v>87</v>
      </c>
      <c r="D259" s="173">
        <v>4365.6</v>
      </c>
      <c r="E259" s="173"/>
      <c r="F259" s="173"/>
      <c r="G259" s="173"/>
      <c r="H259" s="195"/>
      <c r="I259" s="982"/>
      <c r="J259" s="967"/>
      <c r="K259" s="982"/>
      <c r="L259" s="967"/>
      <c r="M259" s="967"/>
      <c r="N259" s="990"/>
      <c r="O259" s="990"/>
      <c r="P259" s="991"/>
      <c r="Q259" s="991"/>
      <c r="R259" s="991"/>
      <c r="S259" s="991"/>
      <c r="T259" s="991"/>
      <c r="U259" s="991"/>
      <c r="V259" s="991"/>
      <c r="W259" s="991"/>
      <c r="X259" s="944"/>
      <c r="Y259" s="944"/>
      <c r="Z259" s="944"/>
      <c r="AA259" s="944"/>
      <c r="AB259" s="944"/>
      <c r="AC259" s="944"/>
      <c r="AD259" s="944"/>
      <c r="AE259" s="944"/>
      <c r="AF259" s="944"/>
      <c r="AG259" s="944"/>
    </row>
    <row r="260" spans="1:33" s="28" customFormat="1" ht="19.5" customHeight="1">
      <c r="A260" s="175"/>
      <c r="B260" s="176"/>
      <c r="C260" s="177" t="s">
        <v>88</v>
      </c>
      <c r="D260" s="173">
        <v>770.4</v>
      </c>
      <c r="E260" s="173"/>
      <c r="F260" s="173"/>
      <c r="G260" s="173"/>
      <c r="H260" s="195"/>
      <c r="I260" s="982"/>
      <c r="J260" s="967"/>
      <c r="K260" s="982"/>
      <c r="L260" s="967"/>
      <c r="M260" s="967"/>
      <c r="N260" s="990"/>
      <c r="O260" s="990"/>
      <c r="P260" s="991"/>
      <c r="Q260" s="991"/>
      <c r="R260" s="991"/>
      <c r="S260" s="991"/>
      <c r="T260" s="991"/>
      <c r="U260" s="991"/>
      <c r="V260" s="991"/>
      <c r="W260" s="991"/>
      <c r="X260" s="944"/>
      <c r="Y260" s="944"/>
      <c r="Z260" s="944"/>
      <c r="AA260" s="944"/>
      <c r="AB260" s="944"/>
      <c r="AC260" s="944"/>
      <c r="AD260" s="944"/>
      <c r="AE260" s="944"/>
      <c r="AF260" s="944"/>
      <c r="AG260" s="944"/>
    </row>
    <row r="261" spans="1:33" s="28" customFormat="1" ht="19.5" customHeight="1">
      <c r="A261" s="175"/>
      <c r="B261" s="176"/>
      <c r="C261" s="177" t="s">
        <v>50</v>
      </c>
      <c r="D261" s="173"/>
      <c r="E261" s="173"/>
      <c r="F261" s="173">
        <v>23962.95</v>
      </c>
      <c r="G261" s="173"/>
      <c r="H261" s="195"/>
      <c r="I261" s="982"/>
      <c r="J261" s="967"/>
      <c r="K261" s="982"/>
      <c r="L261" s="967"/>
      <c r="M261" s="967"/>
      <c r="N261" s="990"/>
      <c r="O261" s="990"/>
      <c r="P261" s="991"/>
      <c r="Q261" s="991"/>
      <c r="R261" s="991"/>
      <c r="S261" s="991"/>
      <c r="T261" s="991"/>
      <c r="U261" s="991"/>
      <c r="V261" s="991"/>
      <c r="W261" s="991"/>
      <c r="X261" s="944"/>
      <c r="Y261" s="944"/>
      <c r="Z261" s="944"/>
      <c r="AA261" s="944"/>
      <c r="AB261" s="944"/>
      <c r="AC261" s="944"/>
      <c r="AD261" s="944"/>
      <c r="AE261" s="944"/>
      <c r="AF261" s="944"/>
      <c r="AG261" s="944"/>
    </row>
    <row r="262" spans="1:33" s="28" customFormat="1" ht="19.5" customHeight="1">
      <c r="A262" s="175"/>
      <c r="B262" s="176"/>
      <c r="C262" s="177" t="s">
        <v>51</v>
      </c>
      <c r="D262" s="173"/>
      <c r="E262" s="173"/>
      <c r="F262" s="173">
        <v>6964.97</v>
      </c>
      <c r="G262" s="173"/>
      <c r="H262" s="195"/>
      <c r="I262" s="967"/>
      <c r="J262" s="967"/>
      <c r="K262" s="982"/>
      <c r="L262" s="967"/>
      <c r="M262" s="967"/>
      <c r="N262" s="990"/>
      <c r="O262" s="990"/>
      <c r="P262" s="991"/>
      <c r="Q262" s="991"/>
      <c r="R262" s="991"/>
      <c r="S262" s="991"/>
      <c r="T262" s="991"/>
      <c r="U262" s="991"/>
      <c r="V262" s="991"/>
      <c r="W262" s="991"/>
      <c r="X262" s="944"/>
      <c r="Y262" s="944"/>
      <c r="Z262" s="944"/>
      <c r="AA262" s="944"/>
      <c r="AB262" s="944"/>
      <c r="AC262" s="944"/>
      <c r="AD262" s="944"/>
      <c r="AE262" s="944"/>
      <c r="AF262" s="944"/>
      <c r="AG262" s="944"/>
    </row>
    <row r="263" spans="1:33" s="28" customFormat="1" ht="19.5" customHeight="1">
      <c r="A263" s="175"/>
      <c r="B263" s="176"/>
      <c r="C263" s="177" t="s">
        <v>43</v>
      </c>
      <c r="D263" s="173">
        <v>15645.11</v>
      </c>
      <c r="E263" s="173"/>
      <c r="F263" s="173">
        <v>3290</v>
      </c>
      <c r="G263" s="173"/>
      <c r="H263" s="195"/>
      <c r="I263" s="967"/>
      <c r="J263" s="967"/>
      <c r="K263" s="982"/>
      <c r="L263" s="967"/>
      <c r="M263" s="967"/>
      <c r="N263" s="990"/>
      <c r="O263" s="990"/>
      <c r="P263" s="991"/>
      <c r="Q263" s="991"/>
      <c r="R263" s="991"/>
      <c r="S263" s="991"/>
      <c r="T263" s="991"/>
      <c r="U263" s="991"/>
      <c r="V263" s="991"/>
      <c r="W263" s="991"/>
      <c r="X263" s="944"/>
      <c r="Y263" s="944"/>
      <c r="Z263" s="944"/>
      <c r="AA263" s="944"/>
      <c r="AB263" s="944"/>
      <c r="AC263" s="944"/>
      <c r="AD263" s="944"/>
      <c r="AE263" s="944"/>
      <c r="AF263" s="944"/>
      <c r="AG263" s="944"/>
    </row>
    <row r="264" spans="1:33" s="28" customFormat="1" ht="19.5" customHeight="1">
      <c r="A264" s="175"/>
      <c r="B264" s="176"/>
      <c r="C264" s="177" t="s">
        <v>44</v>
      </c>
      <c r="D264" s="173">
        <v>2760.88</v>
      </c>
      <c r="E264" s="173"/>
      <c r="F264" s="173">
        <v>563.28</v>
      </c>
      <c r="G264" s="173"/>
      <c r="H264" s="195"/>
      <c r="I264" s="982"/>
      <c r="J264" s="967"/>
      <c r="K264" s="982"/>
      <c r="L264" s="967"/>
      <c r="M264" s="967"/>
      <c r="N264" s="990"/>
      <c r="O264" s="990"/>
      <c r="P264" s="991"/>
      <c r="Q264" s="991"/>
      <c r="R264" s="991"/>
      <c r="S264" s="991"/>
      <c r="T264" s="991"/>
      <c r="U264" s="991"/>
      <c r="V264" s="991"/>
      <c r="W264" s="991"/>
      <c r="X264" s="944"/>
      <c r="Y264" s="944"/>
      <c r="Z264" s="944"/>
      <c r="AA264" s="944"/>
      <c r="AB264" s="944"/>
      <c r="AC264" s="944"/>
      <c r="AD264" s="944"/>
      <c r="AE264" s="944"/>
      <c r="AF264" s="944"/>
      <c r="AG264" s="944"/>
    </row>
    <row r="265" spans="1:33" s="28" customFormat="1" ht="19.5" customHeight="1">
      <c r="A265" s="175"/>
      <c r="B265" s="176"/>
      <c r="C265" s="177" t="s">
        <v>40</v>
      </c>
      <c r="D265" s="173">
        <v>3018.13</v>
      </c>
      <c r="E265" s="173"/>
      <c r="F265" s="173">
        <v>26604.07</v>
      </c>
      <c r="G265" s="173"/>
      <c r="H265" s="195"/>
      <c r="I265" s="982"/>
      <c r="J265" s="967"/>
      <c r="K265" s="982"/>
      <c r="L265" s="967"/>
      <c r="M265" s="967"/>
      <c r="N265" s="990"/>
      <c r="O265" s="990"/>
      <c r="P265" s="991"/>
      <c r="Q265" s="991"/>
      <c r="R265" s="991"/>
      <c r="S265" s="991"/>
      <c r="T265" s="991"/>
      <c r="U265" s="991"/>
      <c r="V265" s="991"/>
      <c r="W265" s="991"/>
      <c r="X265" s="944"/>
      <c r="Y265" s="944"/>
      <c r="Z265" s="944"/>
      <c r="AA265" s="944"/>
      <c r="AB265" s="944"/>
      <c r="AC265" s="944"/>
      <c r="AD265" s="944"/>
      <c r="AE265" s="944"/>
      <c r="AF265" s="944"/>
      <c r="AG265" s="944"/>
    </row>
    <row r="266" spans="1:33" s="28" customFormat="1" ht="19.5" customHeight="1">
      <c r="A266" s="175"/>
      <c r="B266" s="176"/>
      <c r="C266" s="177" t="s">
        <v>45</v>
      </c>
      <c r="D266" s="173">
        <v>532.63</v>
      </c>
      <c r="E266" s="173"/>
      <c r="F266" s="173">
        <v>4694.86</v>
      </c>
      <c r="G266" s="173"/>
      <c r="H266" s="195"/>
      <c r="I266" s="982"/>
      <c r="J266" s="967"/>
      <c r="K266" s="982"/>
      <c r="L266" s="967"/>
      <c r="M266" s="967"/>
      <c r="N266" s="990"/>
      <c r="O266" s="990"/>
      <c r="P266" s="991"/>
      <c r="Q266" s="991"/>
      <c r="R266" s="991"/>
      <c r="S266" s="991"/>
      <c r="T266" s="991"/>
      <c r="U266" s="991"/>
      <c r="V266" s="991"/>
      <c r="W266" s="991"/>
      <c r="X266" s="944"/>
      <c r="Y266" s="944"/>
      <c r="Z266" s="944"/>
      <c r="AA266" s="944"/>
      <c r="AB266" s="944"/>
      <c r="AC266" s="944"/>
      <c r="AD266" s="944"/>
      <c r="AE266" s="944"/>
      <c r="AF266" s="944"/>
      <c r="AG266" s="944"/>
    </row>
    <row r="267" spans="1:33" s="28" customFormat="1" ht="19.5" customHeight="1">
      <c r="A267" s="175"/>
      <c r="B267" s="176"/>
      <c r="C267" s="177" t="s">
        <v>46</v>
      </c>
      <c r="D267" s="173">
        <v>430.16</v>
      </c>
      <c r="E267" s="173"/>
      <c r="F267" s="173">
        <v>484.1</v>
      </c>
      <c r="G267" s="173"/>
      <c r="H267" s="195"/>
      <c r="I267" s="982"/>
      <c r="J267" s="967"/>
      <c r="K267" s="982"/>
      <c r="L267" s="967"/>
      <c r="M267" s="967"/>
      <c r="N267" s="990"/>
      <c r="O267" s="990"/>
      <c r="P267" s="991"/>
      <c r="Q267" s="991"/>
      <c r="R267" s="991"/>
      <c r="S267" s="991"/>
      <c r="T267" s="991"/>
      <c r="U267" s="991"/>
      <c r="V267" s="991"/>
      <c r="W267" s="991"/>
      <c r="X267" s="944"/>
      <c r="Y267" s="944"/>
      <c r="Z267" s="944"/>
      <c r="AA267" s="944"/>
      <c r="AB267" s="944"/>
      <c r="AC267" s="944"/>
      <c r="AD267" s="944"/>
      <c r="AE267" s="944"/>
      <c r="AF267" s="944"/>
      <c r="AG267" s="944"/>
    </row>
    <row r="268" spans="1:33" s="28" customFormat="1" ht="19.5" customHeight="1">
      <c r="A268" s="175"/>
      <c r="B268" s="176"/>
      <c r="C268" s="177" t="s">
        <v>47</v>
      </c>
      <c r="D268" s="173">
        <v>75.91</v>
      </c>
      <c r="E268" s="173"/>
      <c r="F268" s="173">
        <v>85.44</v>
      </c>
      <c r="G268" s="173"/>
      <c r="H268" s="195"/>
      <c r="I268" s="982"/>
      <c r="J268" s="967"/>
      <c r="K268" s="982"/>
      <c r="L268" s="967"/>
      <c r="M268" s="967"/>
      <c r="N268" s="990"/>
      <c r="O268" s="990"/>
      <c r="P268" s="991"/>
      <c r="Q268" s="991"/>
      <c r="R268" s="991"/>
      <c r="S268" s="991"/>
      <c r="T268" s="991"/>
      <c r="U268" s="991"/>
      <c r="V268" s="991"/>
      <c r="W268" s="991"/>
      <c r="X268" s="944"/>
      <c r="Y268" s="944"/>
      <c r="Z268" s="944"/>
      <c r="AA268" s="944"/>
      <c r="AB268" s="944"/>
      <c r="AC268" s="944"/>
      <c r="AD268" s="944"/>
      <c r="AE268" s="944"/>
      <c r="AF268" s="944"/>
      <c r="AG268" s="944"/>
    </row>
    <row r="269" spans="1:33" s="28" customFormat="1" ht="19.5" customHeight="1">
      <c r="A269" s="175"/>
      <c r="B269" s="176"/>
      <c r="C269" s="177" t="s">
        <v>37</v>
      </c>
      <c r="D269" s="173"/>
      <c r="E269" s="173"/>
      <c r="F269" s="173">
        <v>10589.46</v>
      </c>
      <c r="G269" s="173"/>
      <c r="H269" s="195"/>
      <c r="I269" s="982"/>
      <c r="J269" s="967"/>
      <c r="K269" s="982"/>
      <c r="L269" s="967"/>
      <c r="M269" s="967"/>
      <c r="N269" s="990"/>
      <c r="O269" s="990"/>
      <c r="P269" s="991"/>
      <c r="Q269" s="991"/>
      <c r="R269" s="991"/>
      <c r="S269" s="991"/>
      <c r="T269" s="991"/>
      <c r="U269" s="991"/>
      <c r="V269" s="991"/>
      <c r="W269" s="991"/>
      <c r="X269" s="944"/>
      <c r="Y269" s="944"/>
      <c r="Z269" s="944"/>
      <c r="AA269" s="944"/>
      <c r="AB269" s="944"/>
      <c r="AC269" s="944"/>
      <c r="AD269" s="944"/>
      <c r="AE269" s="944"/>
      <c r="AF269" s="944"/>
      <c r="AG269" s="944"/>
    </row>
    <row r="270" spans="1:33" s="28" customFormat="1" ht="19.5" customHeight="1">
      <c r="A270" s="175"/>
      <c r="B270" s="176"/>
      <c r="C270" s="177" t="s">
        <v>89</v>
      </c>
      <c r="D270" s="173"/>
      <c r="E270" s="173"/>
      <c r="F270" s="173"/>
      <c r="G270" s="173"/>
      <c r="H270" s="195"/>
      <c r="I270" s="982"/>
      <c r="J270" s="967"/>
      <c r="K270" s="982"/>
      <c r="L270" s="967"/>
      <c r="M270" s="967"/>
      <c r="N270" s="990"/>
      <c r="O270" s="990"/>
      <c r="P270" s="991"/>
      <c r="Q270" s="991"/>
      <c r="R270" s="991"/>
      <c r="S270" s="991"/>
      <c r="T270" s="991"/>
      <c r="U270" s="991"/>
      <c r="V270" s="991"/>
      <c r="W270" s="991"/>
      <c r="X270" s="944"/>
      <c r="Y270" s="944"/>
      <c r="Z270" s="944"/>
      <c r="AA270" s="944"/>
      <c r="AB270" s="944"/>
      <c r="AC270" s="944"/>
      <c r="AD270" s="944"/>
      <c r="AE270" s="944"/>
      <c r="AF270" s="944"/>
      <c r="AG270" s="944"/>
    </row>
    <row r="271" spans="1:33" s="28" customFormat="1" ht="19.5" customHeight="1">
      <c r="A271" s="175"/>
      <c r="B271" s="176"/>
      <c r="C271" s="177" t="s">
        <v>38</v>
      </c>
      <c r="D271" s="173"/>
      <c r="E271" s="173"/>
      <c r="F271" s="173">
        <v>7033.92</v>
      </c>
      <c r="G271" s="173"/>
      <c r="H271" s="195"/>
      <c r="I271" s="982"/>
      <c r="J271" s="967"/>
      <c r="K271" s="982"/>
      <c r="L271" s="967"/>
      <c r="M271" s="967"/>
      <c r="N271" s="990"/>
      <c r="O271" s="990"/>
      <c r="P271" s="991"/>
      <c r="Q271" s="991"/>
      <c r="R271" s="991"/>
      <c r="S271" s="991"/>
      <c r="T271" s="991"/>
      <c r="U271" s="991"/>
      <c r="V271" s="991"/>
      <c r="W271" s="991"/>
      <c r="X271" s="944"/>
      <c r="Y271" s="944"/>
      <c r="Z271" s="944"/>
      <c r="AA271" s="944"/>
      <c r="AB271" s="944"/>
      <c r="AC271" s="944"/>
      <c r="AD271" s="944"/>
      <c r="AE271" s="944"/>
      <c r="AF271" s="944"/>
      <c r="AG271" s="944"/>
    </row>
    <row r="272" spans="1:33" s="28" customFormat="1" ht="19.5" customHeight="1">
      <c r="A272" s="175"/>
      <c r="B272" s="176"/>
      <c r="C272" s="177" t="s">
        <v>39</v>
      </c>
      <c r="D272" s="173"/>
      <c r="E272" s="173"/>
      <c r="F272" s="173">
        <v>14540.34</v>
      </c>
      <c r="G272" s="173"/>
      <c r="H272" s="195"/>
      <c r="I272" s="982"/>
      <c r="J272" s="967"/>
      <c r="K272" s="982"/>
      <c r="L272" s="967"/>
      <c r="M272" s="967"/>
      <c r="N272" s="990"/>
      <c r="O272" s="990"/>
      <c r="P272" s="991"/>
      <c r="Q272" s="991"/>
      <c r="R272" s="991"/>
      <c r="S272" s="991"/>
      <c r="T272" s="991"/>
      <c r="U272" s="991"/>
      <c r="V272" s="991"/>
      <c r="W272" s="991"/>
      <c r="X272" s="944"/>
      <c r="Y272" s="944"/>
      <c r="Z272" s="944"/>
      <c r="AA272" s="944"/>
      <c r="AB272" s="944"/>
      <c r="AC272" s="944"/>
      <c r="AD272" s="944"/>
      <c r="AE272" s="944"/>
      <c r="AF272" s="944"/>
      <c r="AG272" s="944"/>
    </row>
    <row r="273" spans="1:33" s="28" customFormat="1" ht="19.5" customHeight="1">
      <c r="A273" s="175"/>
      <c r="B273" s="176"/>
      <c r="C273" s="177" t="s">
        <v>41</v>
      </c>
      <c r="D273" s="173">
        <v>5759.6</v>
      </c>
      <c r="E273" s="173"/>
      <c r="F273" s="173">
        <v>15548.79</v>
      </c>
      <c r="G273" s="173"/>
      <c r="H273" s="195"/>
      <c r="I273" s="982"/>
      <c r="J273" s="967"/>
      <c r="K273" s="982"/>
      <c r="L273" s="967"/>
      <c r="M273" s="967"/>
      <c r="N273" s="990"/>
      <c r="O273" s="990"/>
      <c r="P273" s="991"/>
      <c r="Q273" s="991"/>
      <c r="R273" s="991"/>
      <c r="S273" s="991"/>
      <c r="T273" s="991"/>
      <c r="U273" s="991"/>
      <c r="V273" s="991"/>
      <c r="W273" s="991"/>
      <c r="X273" s="944"/>
      <c r="Y273" s="944"/>
      <c r="Z273" s="944"/>
      <c r="AA273" s="944"/>
      <c r="AB273" s="944"/>
      <c r="AC273" s="944"/>
      <c r="AD273" s="944"/>
      <c r="AE273" s="944"/>
      <c r="AF273" s="944"/>
      <c r="AG273" s="944"/>
    </row>
    <row r="274" spans="1:33" s="28" customFormat="1" ht="19.5" customHeight="1">
      <c r="A274" s="175"/>
      <c r="B274" s="176"/>
      <c r="C274" s="177" t="s">
        <v>48</v>
      </c>
      <c r="D274" s="173">
        <v>1016.4</v>
      </c>
      <c r="E274" s="173"/>
      <c r="F274" s="173">
        <v>255.83</v>
      </c>
      <c r="G274" s="173"/>
      <c r="H274" s="195"/>
      <c r="I274" s="982"/>
      <c r="J274" s="967"/>
      <c r="K274" s="982"/>
      <c r="L274" s="967"/>
      <c r="M274" s="967"/>
      <c r="N274" s="990"/>
      <c r="O274" s="990"/>
      <c r="P274" s="991"/>
      <c r="Q274" s="991"/>
      <c r="R274" s="991"/>
      <c r="S274" s="991"/>
      <c r="T274" s="991"/>
      <c r="U274" s="991"/>
      <c r="V274" s="991"/>
      <c r="W274" s="991"/>
      <c r="X274" s="944"/>
      <c r="Y274" s="944"/>
      <c r="Z274" s="944"/>
      <c r="AA274" s="944"/>
      <c r="AB274" s="944"/>
      <c r="AC274" s="944"/>
      <c r="AD274" s="944"/>
      <c r="AE274" s="944"/>
      <c r="AF274" s="944"/>
      <c r="AG274" s="944"/>
    </row>
    <row r="275" spans="1:33" s="28" customFormat="1" ht="19.5" customHeight="1">
      <c r="A275" s="166" t="s">
        <v>80</v>
      </c>
      <c r="B275" s="166" t="s">
        <v>98</v>
      </c>
      <c r="C275" s="169" t="s">
        <v>97</v>
      </c>
      <c r="D275" s="167">
        <v>232</v>
      </c>
      <c r="E275" s="167"/>
      <c r="F275" s="173"/>
      <c r="G275" s="185"/>
      <c r="H275" s="195"/>
      <c r="I275" s="982"/>
      <c r="J275" s="967"/>
      <c r="K275" s="982"/>
      <c r="L275" s="967"/>
      <c r="M275" s="967"/>
      <c r="N275" s="990"/>
      <c r="O275" s="990"/>
      <c r="P275" s="991"/>
      <c r="Q275" s="991"/>
      <c r="R275" s="991"/>
      <c r="S275" s="991"/>
      <c r="T275" s="991"/>
      <c r="U275" s="991"/>
      <c r="V275" s="991"/>
      <c r="W275" s="991"/>
      <c r="X275" s="944"/>
      <c r="Y275" s="944"/>
      <c r="Z275" s="944"/>
      <c r="AA275" s="944"/>
      <c r="AB275" s="944"/>
      <c r="AC275" s="944"/>
      <c r="AD275" s="944"/>
      <c r="AE275" s="944"/>
      <c r="AF275" s="944"/>
      <c r="AG275" s="944"/>
    </row>
    <row r="276" spans="1:33" s="28" customFormat="1" ht="19.5" customHeight="1">
      <c r="A276" s="168" t="s">
        <v>27</v>
      </c>
      <c r="B276" s="421"/>
      <c r="C276" s="277"/>
      <c r="D276" s="167">
        <f>D277+D278+D282</f>
        <v>54000</v>
      </c>
      <c r="E276" s="167">
        <f>E277+E278+E282</f>
        <v>0</v>
      </c>
      <c r="F276" s="167">
        <f>F277+F278+F282</f>
        <v>7768813</v>
      </c>
      <c r="G276" s="185"/>
      <c r="H276" s="195"/>
      <c r="I276" s="982"/>
      <c r="J276" s="967"/>
      <c r="K276" s="982"/>
      <c r="L276" s="967"/>
      <c r="M276" s="967"/>
      <c r="N276" s="990"/>
      <c r="O276" s="990"/>
      <c r="P276" s="991"/>
      <c r="Q276" s="991"/>
      <c r="R276" s="991"/>
      <c r="S276" s="991"/>
      <c r="T276" s="991"/>
      <c r="U276" s="991"/>
      <c r="V276" s="991"/>
      <c r="W276" s="991"/>
      <c r="X276" s="944"/>
      <c r="Y276" s="944"/>
      <c r="Z276" s="944"/>
      <c r="AA276" s="944"/>
      <c r="AB276" s="944"/>
      <c r="AC276" s="944"/>
      <c r="AD276" s="944"/>
      <c r="AE276" s="944"/>
      <c r="AF276" s="944"/>
      <c r="AG276" s="944"/>
    </row>
    <row r="277" spans="1:33" s="28" customFormat="1" ht="19.5" customHeight="1">
      <c r="A277" s="170"/>
      <c r="B277" s="276" t="s">
        <v>175</v>
      </c>
      <c r="C277" s="177" t="s">
        <v>426</v>
      </c>
      <c r="D277" s="173"/>
      <c r="E277" s="173"/>
      <c r="F277" s="173">
        <v>50000</v>
      </c>
      <c r="G277" s="185"/>
      <c r="H277" s="195"/>
      <c r="I277" s="982"/>
      <c r="J277" s="967"/>
      <c r="K277" s="982"/>
      <c r="L277" s="967"/>
      <c r="M277" s="967"/>
      <c r="N277" s="990"/>
      <c r="O277" s="990"/>
      <c r="P277" s="991"/>
      <c r="Q277" s="991"/>
      <c r="R277" s="991"/>
      <c r="S277" s="991"/>
      <c r="T277" s="991"/>
      <c r="U277" s="991"/>
      <c r="V277" s="991"/>
      <c r="W277" s="991"/>
      <c r="X277" s="944"/>
      <c r="Y277" s="944"/>
      <c r="Z277" s="944"/>
      <c r="AA277" s="944"/>
      <c r="AB277" s="944"/>
      <c r="AC277" s="944"/>
      <c r="AD277" s="944"/>
      <c r="AE277" s="944"/>
      <c r="AF277" s="944"/>
      <c r="AG277" s="944"/>
    </row>
    <row r="278" spans="1:33" s="28" customFormat="1" ht="19.5" customHeight="1">
      <c r="A278" s="175"/>
      <c r="B278" s="171" t="s">
        <v>118</v>
      </c>
      <c r="C278" s="177"/>
      <c r="D278" s="173"/>
      <c r="E278" s="173"/>
      <c r="F278" s="173">
        <f>SUM(D279:F281)</f>
        <v>38497</v>
      </c>
      <c r="G278" s="185"/>
      <c r="H278" s="195"/>
      <c r="I278" s="982"/>
      <c r="J278" s="967"/>
      <c r="K278" s="982"/>
      <c r="L278" s="967"/>
      <c r="M278" s="967"/>
      <c r="N278" s="990"/>
      <c r="O278" s="990"/>
      <c r="P278" s="991"/>
      <c r="Q278" s="991"/>
      <c r="R278" s="991"/>
      <c r="S278" s="991"/>
      <c r="T278" s="991"/>
      <c r="U278" s="991"/>
      <c r="V278" s="991"/>
      <c r="W278" s="991"/>
      <c r="X278" s="944"/>
      <c r="Y278" s="944"/>
      <c r="Z278" s="944"/>
      <c r="AA278" s="944"/>
      <c r="AB278" s="944"/>
      <c r="AC278" s="944"/>
      <c r="AD278" s="944"/>
      <c r="AE278" s="944"/>
      <c r="AF278" s="944"/>
      <c r="AG278" s="944"/>
    </row>
    <row r="279" spans="1:33" s="28" customFormat="1" ht="19.5" customHeight="1">
      <c r="A279" s="174"/>
      <c r="B279" s="170"/>
      <c r="C279" s="177" t="s">
        <v>104</v>
      </c>
      <c r="D279" s="173"/>
      <c r="E279" s="173"/>
      <c r="F279" s="173">
        <v>4000</v>
      </c>
      <c r="G279" s="185"/>
      <c r="H279" s="195"/>
      <c r="I279" s="982"/>
      <c r="J279" s="967"/>
      <c r="K279" s="982"/>
      <c r="L279" s="967"/>
      <c r="M279" s="967"/>
      <c r="N279" s="990"/>
      <c r="O279" s="990"/>
      <c r="P279" s="991"/>
      <c r="Q279" s="991"/>
      <c r="R279" s="991"/>
      <c r="S279" s="991"/>
      <c r="T279" s="991"/>
      <c r="U279" s="991"/>
      <c r="V279" s="991"/>
      <c r="W279" s="991"/>
      <c r="X279" s="944"/>
      <c r="Y279" s="944"/>
      <c r="Z279" s="944"/>
      <c r="AA279" s="944"/>
      <c r="AB279" s="944"/>
      <c r="AC279" s="944"/>
      <c r="AD279" s="944"/>
      <c r="AE279" s="944"/>
      <c r="AF279" s="944"/>
      <c r="AG279" s="944"/>
    </row>
    <row r="280" spans="1:33" s="28" customFormat="1" ht="19.5" customHeight="1">
      <c r="A280" s="174"/>
      <c r="B280" s="175"/>
      <c r="C280" s="177" t="s">
        <v>426</v>
      </c>
      <c r="D280" s="173"/>
      <c r="E280" s="173"/>
      <c r="F280" s="173">
        <v>4497</v>
      </c>
      <c r="G280" s="185"/>
      <c r="H280" s="195"/>
      <c r="I280" s="982"/>
      <c r="J280" s="967"/>
      <c r="K280" s="982"/>
      <c r="L280" s="967"/>
      <c r="M280" s="967"/>
      <c r="N280" s="990"/>
      <c r="O280" s="990"/>
      <c r="P280" s="991"/>
      <c r="Q280" s="991"/>
      <c r="R280" s="991"/>
      <c r="S280" s="991"/>
      <c r="T280" s="991"/>
      <c r="U280" s="991"/>
      <c r="V280" s="991"/>
      <c r="W280" s="991"/>
      <c r="X280" s="944"/>
      <c r="Y280" s="944"/>
      <c r="Z280" s="944"/>
      <c r="AA280" s="944"/>
      <c r="AB280" s="944"/>
      <c r="AC280" s="944"/>
      <c r="AD280" s="944"/>
      <c r="AE280" s="944"/>
      <c r="AF280" s="944"/>
      <c r="AG280" s="944"/>
    </row>
    <row r="281" spans="1:33" s="28" customFormat="1" ht="19.5" customHeight="1">
      <c r="A281" s="174"/>
      <c r="B281" s="186"/>
      <c r="C281" s="177" t="s">
        <v>108</v>
      </c>
      <c r="D281" s="173"/>
      <c r="E281" s="173"/>
      <c r="F281" s="173">
        <f>20000+10000</f>
        <v>30000</v>
      </c>
      <c r="G281" s="185"/>
      <c r="H281" s="195"/>
      <c r="I281" s="982"/>
      <c r="J281" s="967"/>
      <c r="K281" s="982"/>
      <c r="L281" s="967"/>
      <c r="M281" s="967"/>
      <c r="N281" s="990"/>
      <c r="O281" s="990"/>
      <c r="P281" s="991"/>
      <c r="Q281" s="991"/>
      <c r="R281" s="991"/>
      <c r="S281" s="991"/>
      <c r="T281" s="991"/>
      <c r="U281" s="991"/>
      <c r="V281" s="991"/>
      <c r="W281" s="991"/>
      <c r="X281" s="944"/>
      <c r="Y281" s="944"/>
      <c r="Z281" s="944"/>
      <c r="AA281" s="944"/>
      <c r="AB281" s="944"/>
      <c r="AC281" s="944"/>
      <c r="AD281" s="944"/>
      <c r="AE281" s="944"/>
      <c r="AF281" s="944"/>
      <c r="AG281" s="944"/>
    </row>
    <row r="282" spans="1:33" s="28" customFormat="1" ht="19.5" customHeight="1">
      <c r="A282" s="175"/>
      <c r="B282" s="176" t="s">
        <v>28</v>
      </c>
      <c r="C282" s="177"/>
      <c r="D282" s="173">
        <f>SUM(D283:D286)</f>
        <v>54000</v>
      </c>
      <c r="E282" s="173"/>
      <c r="F282" s="173">
        <f>SUM(F283:F286)</f>
        <v>7680316</v>
      </c>
      <c r="G282" s="185"/>
      <c r="H282" s="195"/>
      <c r="I282" s="982"/>
      <c r="J282" s="967"/>
      <c r="K282" s="982"/>
      <c r="L282" s="967"/>
      <c r="M282" s="967"/>
      <c r="N282" s="990"/>
      <c r="O282" s="990"/>
      <c r="P282" s="991"/>
      <c r="Q282" s="991"/>
      <c r="R282" s="991"/>
      <c r="S282" s="991"/>
      <c r="T282" s="991"/>
      <c r="U282" s="991"/>
      <c r="V282" s="991"/>
      <c r="W282" s="991"/>
      <c r="X282" s="944"/>
      <c r="Y282" s="944"/>
      <c r="Z282" s="944"/>
      <c r="AA282" s="944"/>
      <c r="AB282" s="944"/>
      <c r="AC282" s="944"/>
      <c r="AD282" s="944"/>
      <c r="AE282" s="944"/>
      <c r="AF282" s="944"/>
      <c r="AG282" s="944"/>
    </row>
    <row r="283" spans="1:33" s="28" customFormat="1" ht="19.5" customHeight="1">
      <c r="A283" s="175"/>
      <c r="B283" s="171"/>
      <c r="C283" s="172" t="s">
        <v>29</v>
      </c>
      <c r="D283" s="173">
        <v>2800</v>
      </c>
      <c r="E283" s="173"/>
      <c r="F283" s="173"/>
      <c r="G283" s="185"/>
      <c r="H283" s="195"/>
      <c r="I283" s="982"/>
      <c r="J283" s="967"/>
      <c r="K283" s="982"/>
      <c r="L283" s="967"/>
      <c r="M283" s="967"/>
      <c r="N283" s="990"/>
      <c r="O283" s="990"/>
      <c r="P283" s="991"/>
      <c r="Q283" s="991"/>
      <c r="R283" s="991"/>
      <c r="S283" s="991"/>
      <c r="T283" s="991"/>
      <c r="U283" s="991"/>
      <c r="V283" s="991"/>
      <c r="W283" s="991"/>
      <c r="X283" s="944"/>
      <c r="Y283" s="944"/>
      <c r="Z283" s="944"/>
      <c r="AA283" s="944"/>
      <c r="AB283" s="944"/>
      <c r="AC283" s="944"/>
      <c r="AD283" s="944"/>
      <c r="AE283" s="944"/>
      <c r="AF283" s="944"/>
      <c r="AG283" s="944"/>
    </row>
    <row r="284" spans="1:33" s="28" customFormat="1" ht="19.5" customHeight="1">
      <c r="A284" s="175"/>
      <c r="B284" s="176"/>
      <c r="C284" s="172" t="s">
        <v>426</v>
      </c>
      <c r="D284" s="173">
        <v>51200</v>
      </c>
      <c r="E284" s="173"/>
      <c r="F284" s="173">
        <v>6840</v>
      </c>
      <c r="G284" s="185"/>
      <c r="H284" s="195"/>
      <c r="I284" s="982"/>
      <c r="J284" s="967"/>
      <c r="K284" s="982"/>
      <c r="L284" s="967"/>
      <c r="M284" s="967"/>
      <c r="N284" s="990"/>
      <c r="O284" s="990"/>
      <c r="P284" s="991"/>
      <c r="Q284" s="991"/>
      <c r="R284" s="991"/>
      <c r="S284" s="991"/>
      <c r="T284" s="991"/>
      <c r="U284" s="991"/>
      <c r="V284" s="991"/>
      <c r="W284" s="991"/>
      <c r="X284" s="944"/>
      <c r="Y284" s="944"/>
      <c r="Z284" s="944"/>
      <c r="AA284" s="944"/>
      <c r="AB284" s="944"/>
      <c r="AC284" s="944"/>
      <c r="AD284" s="944"/>
      <c r="AE284" s="944"/>
      <c r="AF284" s="944"/>
      <c r="AG284" s="944"/>
    </row>
    <row r="285" spans="1:33" s="28" customFormat="1" ht="19.5" customHeight="1">
      <c r="A285" s="175"/>
      <c r="B285" s="176"/>
      <c r="C285" s="172" t="s">
        <v>142</v>
      </c>
      <c r="D285" s="826"/>
      <c r="E285" s="173"/>
      <c r="F285" s="173">
        <v>3892000</v>
      </c>
      <c r="G285" s="185"/>
      <c r="H285" s="195"/>
      <c r="I285" s="982"/>
      <c r="J285" s="967"/>
      <c r="K285" s="982"/>
      <c r="L285" s="967"/>
      <c r="M285" s="967"/>
      <c r="N285" s="990"/>
      <c r="O285" s="990"/>
      <c r="P285" s="991"/>
      <c r="Q285" s="991"/>
      <c r="R285" s="991"/>
      <c r="S285" s="991"/>
      <c r="T285" s="991"/>
      <c r="U285" s="991"/>
      <c r="V285" s="991"/>
      <c r="W285" s="991"/>
      <c r="X285" s="944"/>
      <c r="Y285" s="944"/>
      <c r="Z285" s="944"/>
      <c r="AA285" s="944"/>
      <c r="AB285" s="944"/>
      <c r="AC285" s="944"/>
      <c r="AD285" s="944"/>
      <c r="AE285" s="944"/>
      <c r="AF285" s="944"/>
      <c r="AG285" s="944"/>
    </row>
    <row r="286" spans="1:33" s="28" customFormat="1" ht="19.5" customHeight="1">
      <c r="A286" s="186"/>
      <c r="B286" s="176"/>
      <c r="C286" s="171" t="s">
        <v>108</v>
      </c>
      <c r="D286" s="826"/>
      <c r="E286" s="173"/>
      <c r="F286" s="173">
        <f>1476+3600000+180000</f>
        <v>3781476</v>
      </c>
      <c r="G286" s="185"/>
      <c r="H286" s="195"/>
      <c r="I286" s="982"/>
      <c r="J286" s="967"/>
      <c r="K286" s="982"/>
      <c r="L286" s="967"/>
      <c r="M286" s="967"/>
      <c r="N286" s="990"/>
      <c r="O286" s="990"/>
      <c r="P286" s="991"/>
      <c r="Q286" s="991"/>
      <c r="R286" s="991"/>
      <c r="S286" s="991"/>
      <c r="T286" s="991"/>
      <c r="U286" s="991"/>
      <c r="V286" s="991"/>
      <c r="W286" s="991"/>
      <c r="X286" s="944"/>
      <c r="Y286" s="944"/>
      <c r="Z286" s="944"/>
      <c r="AA286" s="944"/>
      <c r="AB286" s="944"/>
      <c r="AC286" s="944"/>
      <c r="AD286" s="944"/>
      <c r="AE286" s="944"/>
      <c r="AF286" s="944"/>
      <c r="AG286" s="944"/>
    </row>
    <row r="287" spans="1:33" s="29" customFormat="1" ht="19.5" customHeight="1">
      <c r="A287" s="402" t="s">
        <v>155</v>
      </c>
      <c r="B287" s="166"/>
      <c r="C287" s="169"/>
      <c r="D287" s="419"/>
      <c r="E287" s="167"/>
      <c r="F287" s="167">
        <f>F288+F291</f>
        <v>663583</v>
      </c>
      <c r="G287" s="183"/>
      <c r="H287" s="193"/>
      <c r="I287" s="973"/>
      <c r="J287" s="984"/>
      <c r="K287" s="973"/>
      <c r="L287" s="984"/>
      <c r="M287" s="984"/>
      <c r="N287" s="983"/>
      <c r="O287" s="983"/>
      <c r="P287" s="988"/>
      <c r="Q287" s="988"/>
      <c r="R287" s="988"/>
      <c r="S287" s="988"/>
      <c r="T287" s="988"/>
      <c r="U287" s="988"/>
      <c r="V287" s="988"/>
      <c r="W287" s="988"/>
      <c r="X287" s="989"/>
      <c r="Y287" s="989"/>
      <c r="Z287" s="989"/>
      <c r="AA287" s="989"/>
      <c r="AB287" s="989"/>
      <c r="AC287" s="989"/>
      <c r="AD287" s="989"/>
      <c r="AE287" s="989"/>
      <c r="AF287" s="989"/>
      <c r="AG287" s="989"/>
    </row>
    <row r="288" spans="1:33" s="28" customFormat="1" ht="19.5" customHeight="1">
      <c r="A288" s="170"/>
      <c r="B288" s="176" t="s">
        <v>156</v>
      </c>
      <c r="C288" s="177"/>
      <c r="D288" s="173"/>
      <c r="E288" s="173"/>
      <c r="F288" s="173">
        <f>SUM(F289:F290)</f>
        <v>188000</v>
      </c>
      <c r="G288" s="185"/>
      <c r="H288" s="195"/>
      <c r="I288" s="982"/>
      <c r="J288" s="967"/>
      <c r="K288" s="982"/>
      <c r="L288" s="967"/>
      <c r="M288" s="967"/>
      <c r="N288" s="990"/>
      <c r="O288" s="990"/>
      <c r="P288" s="991"/>
      <c r="Q288" s="991"/>
      <c r="R288" s="991"/>
      <c r="S288" s="991"/>
      <c r="T288" s="991"/>
      <c r="U288" s="991"/>
      <c r="V288" s="991"/>
      <c r="W288" s="991"/>
      <c r="X288" s="944"/>
      <c r="Y288" s="944"/>
      <c r="Z288" s="944"/>
      <c r="AA288" s="944"/>
      <c r="AB288" s="944"/>
      <c r="AC288" s="944"/>
      <c r="AD288" s="944"/>
      <c r="AE288" s="944"/>
      <c r="AF288" s="944"/>
      <c r="AG288" s="944"/>
    </row>
    <row r="289" spans="1:33" s="28" customFormat="1" ht="19.5" customHeight="1">
      <c r="A289" s="174"/>
      <c r="B289" s="170"/>
      <c r="C289" s="177" t="s">
        <v>157</v>
      </c>
      <c r="D289" s="173"/>
      <c r="E289" s="173"/>
      <c r="F289" s="173">
        <f>65000+78000+15000+20000</f>
        <v>178000</v>
      </c>
      <c r="G289" s="185"/>
      <c r="H289" s="195"/>
      <c r="I289" s="982"/>
      <c r="J289" s="967"/>
      <c r="K289" s="982"/>
      <c r="L289" s="967"/>
      <c r="M289" s="967"/>
      <c r="N289" s="990"/>
      <c r="O289" s="990"/>
      <c r="P289" s="991"/>
      <c r="Q289" s="991"/>
      <c r="R289" s="991"/>
      <c r="S289" s="991"/>
      <c r="T289" s="991"/>
      <c r="U289" s="991"/>
      <c r="V289" s="991"/>
      <c r="W289" s="991"/>
      <c r="X289" s="944"/>
      <c r="Y289" s="944"/>
      <c r="Z289" s="944"/>
      <c r="AA289" s="944"/>
      <c r="AB289" s="944"/>
      <c r="AC289" s="944"/>
      <c r="AD289" s="944"/>
      <c r="AE289" s="944"/>
      <c r="AF289" s="944"/>
      <c r="AG289" s="944"/>
    </row>
    <row r="290" spans="1:33" s="28" customFormat="1" ht="19.5" customHeight="1">
      <c r="A290" s="174"/>
      <c r="B290" s="175"/>
      <c r="C290" s="177" t="s">
        <v>172</v>
      </c>
      <c r="D290" s="173"/>
      <c r="E290" s="173"/>
      <c r="F290" s="173">
        <v>10000</v>
      </c>
      <c r="G290" s="185"/>
      <c r="H290" s="195"/>
      <c r="I290" s="982"/>
      <c r="J290" s="967"/>
      <c r="K290" s="982"/>
      <c r="L290" s="967"/>
      <c r="M290" s="967"/>
      <c r="N290" s="990"/>
      <c r="O290" s="990"/>
      <c r="P290" s="991"/>
      <c r="Q290" s="991"/>
      <c r="R290" s="991"/>
      <c r="S290" s="991"/>
      <c r="T290" s="991"/>
      <c r="U290" s="991"/>
      <c r="V290" s="991"/>
      <c r="W290" s="991"/>
      <c r="X290" s="944"/>
      <c r="Y290" s="944"/>
      <c r="Z290" s="944"/>
      <c r="AA290" s="944"/>
      <c r="AB290" s="944"/>
      <c r="AC290" s="944"/>
      <c r="AD290" s="944"/>
      <c r="AE290" s="944"/>
      <c r="AF290" s="944"/>
      <c r="AG290" s="944"/>
    </row>
    <row r="291" spans="1:33" s="28" customFormat="1" ht="19.5" customHeight="1">
      <c r="A291" s="174"/>
      <c r="B291" s="170" t="s">
        <v>158</v>
      </c>
      <c r="C291" s="176" t="s">
        <v>426</v>
      </c>
      <c r="D291" s="173"/>
      <c r="E291" s="173"/>
      <c r="F291" s="173">
        <f>2583+458000+15000</f>
        <v>475583</v>
      </c>
      <c r="G291" s="185"/>
      <c r="H291" s="195"/>
      <c r="I291" s="982"/>
      <c r="J291" s="967"/>
      <c r="K291" s="982"/>
      <c r="L291" s="967"/>
      <c r="M291" s="967"/>
      <c r="N291" s="990"/>
      <c r="O291" s="990"/>
      <c r="P291" s="991"/>
      <c r="Q291" s="991"/>
      <c r="R291" s="991"/>
      <c r="S291" s="991"/>
      <c r="T291" s="991"/>
      <c r="U291" s="991"/>
      <c r="V291" s="991"/>
      <c r="W291" s="991"/>
      <c r="X291" s="944"/>
      <c r="Y291" s="944"/>
      <c r="Z291" s="944"/>
      <c r="AA291" s="944"/>
      <c r="AB291" s="944"/>
      <c r="AC291" s="944"/>
      <c r="AD291" s="944"/>
      <c r="AE291" s="944"/>
      <c r="AF291" s="944"/>
      <c r="AG291" s="944"/>
    </row>
    <row r="292" spans="1:33" s="29" customFormat="1" ht="19.5" customHeight="1">
      <c r="A292" s="166" t="s">
        <v>161</v>
      </c>
      <c r="B292" s="166"/>
      <c r="C292" s="166"/>
      <c r="D292" s="167"/>
      <c r="E292" s="167"/>
      <c r="F292" s="167">
        <f>F293+F300</f>
        <v>591000</v>
      </c>
      <c r="G292" s="183"/>
      <c r="H292" s="193"/>
      <c r="I292" s="973"/>
      <c r="J292" s="984"/>
      <c r="K292" s="973"/>
      <c r="L292" s="984"/>
      <c r="M292" s="984"/>
      <c r="N292" s="983"/>
      <c r="O292" s="983"/>
      <c r="P292" s="988"/>
      <c r="Q292" s="988"/>
      <c r="R292" s="988"/>
      <c r="S292" s="988"/>
      <c r="T292" s="988"/>
      <c r="U292" s="988"/>
      <c r="V292" s="988"/>
      <c r="W292" s="988"/>
      <c r="X292" s="989"/>
      <c r="Y292" s="989"/>
      <c r="Z292" s="989"/>
      <c r="AA292" s="989"/>
      <c r="AB292" s="989"/>
      <c r="AC292" s="989"/>
      <c r="AD292" s="989"/>
      <c r="AE292" s="989"/>
      <c r="AF292" s="989"/>
      <c r="AG292" s="989"/>
    </row>
    <row r="293" spans="1:33" s="28" customFormat="1" ht="19.5" customHeight="1">
      <c r="A293" s="174"/>
      <c r="B293" s="276" t="s">
        <v>162</v>
      </c>
      <c r="C293" s="177"/>
      <c r="D293" s="173"/>
      <c r="E293" s="173"/>
      <c r="F293" s="173">
        <f>SUM(F294:F299)</f>
        <v>581000</v>
      </c>
      <c r="G293" s="185"/>
      <c r="H293" s="195"/>
      <c r="I293" s="982"/>
      <c r="J293" s="967"/>
      <c r="K293" s="982"/>
      <c r="L293" s="967"/>
      <c r="M293" s="967"/>
      <c r="N293" s="990"/>
      <c r="O293" s="990"/>
      <c r="P293" s="991"/>
      <c r="Q293" s="991"/>
      <c r="R293" s="991"/>
      <c r="S293" s="991"/>
      <c r="T293" s="991"/>
      <c r="U293" s="991"/>
      <c r="V293" s="991"/>
      <c r="W293" s="991"/>
      <c r="X293" s="944"/>
      <c r="Y293" s="944"/>
      <c r="Z293" s="944"/>
      <c r="AA293" s="944"/>
      <c r="AB293" s="944"/>
      <c r="AC293" s="944"/>
      <c r="AD293" s="944"/>
      <c r="AE293" s="944"/>
      <c r="AF293" s="944"/>
      <c r="AG293" s="944"/>
    </row>
    <row r="294" spans="1:33" s="28" customFormat="1" ht="19.5" customHeight="1">
      <c r="A294" s="174"/>
      <c r="B294" s="175"/>
      <c r="C294" s="177" t="s">
        <v>78</v>
      </c>
      <c r="D294" s="173"/>
      <c r="E294" s="173"/>
      <c r="F294" s="173">
        <v>60000</v>
      </c>
      <c r="G294" s="185"/>
      <c r="H294" s="195"/>
      <c r="I294" s="982"/>
      <c r="J294" s="967"/>
      <c r="K294" s="982"/>
      <c r="L294" s="967"/>
      <c r="M294" s="967"/>
      <c r="N294" s="990"/>
      <c r="O294" s="990"/>
      <c r="P294" s="991"/>
      <c r="Q294" s="991"/>
      <c r="R294" s="991"/>
      <c r="S294" s="991"/>
      <c r="T294" s="991"/>
      <c r="U294" s="991"/>
      <c r="V294" s="991"/>
      <c r="W294" s="991"/>
      <c r="X294" s="944"/>
      <c r="Y294" s="944"/>
      <c r="Z294" s="944"/>
      <c r="AA294" s="944"/>
      <c r="AB294" s="944"/>
      <c r="AC294" s="944"/>
      <c r="AD294" s="944"/>
      <c r="AE294" s="944"/>
      <c r="AF294" s="944"/>
      <c r="AG294" s="944"/>
    </row>
    <row r="295" spans="1:33" s="28" customFormat="1" ht="19.5" customHeight="1">
      <c r="A295" s="174"/>
      <c r="B295" s="175"/>
      <c r="C295" s="177" t="s">
        <v>180</v>
      </c>
      <c r="D295" s="173"/>
      <c r="E295" s="173"/>
      <c r="F295" s="173">
        <v>9000</v>
      </c>
      <c r="G295" s="185"/>
      <c r="H295" s="195"/>
      <c r="I295" s="982"/>
      <c r="J295" s="967"/>
      <c r="K295" s="982"/>
      <c r="L295" s="967"/>
      <c r="M295" s="967"/>
      <c r="N295" s="990"/>
      <c r="O295" s="990"/>
      <c r="P295" s="991"/>
      <c r="Q295" s="991"/>
      <c r="R295" s="991"/>
      <c r="S295" s="991"/>
      <c r="T295" s="991"/>
      <c r="U295" s="991"/>
      <c r="V295" s="991"/>
      <c r="W295" s="991"/>
      <c r="X295" s="944"/>
      <c r="Y295" s="944"/>
      <c r="Z295" s="944"/>
      <c r="AA295" s="944"/>
      <c r="AB295" s="944"/>
      <c r="AC295" s="944"/>
      <c r="AD295" s="944"/>
      <c r="AE295" s="944"/>
      <c r="AF295" s="944"/>
      <c r="AG295" s="944"/>
    </row>
    <row r="296" spans="1:33" s="28" customFormat="1" ht="19.5" customHeight="1">
      <c r="A296" s="174"/>
      <c r="B296" s="175"/>
      <c r="C296" s="177" t="s">
        <v>421</v>
      </c>
      <c r="D296" s="173"/>
      <c r="E296" s="173"/>
      <c r="F296" s="173">
        <v>15000</v>
      </c>
      <c r="G296" s="185"/>
      <c r="H296" s="195"/>
      <c r="I296" s="982"/>
      <c r="J296" s="967"/>
      <c r="K296" s="982"/>
      <c r="L296" s="967"/>
      <c r="M296" s="967"/>
      <c r="N296" s="990"/>
      <c r="O296" s="990"/>
      <c r="P296" s="991"/>
      <c r="Q296" s="991"/>
      <c r="R296" s="991"/>
      <c r="S296" s="991"/>
      <c r="T296" s="991"/>
      <c r="U296" s="991"/>
      <c r="V296" s="991"/>
      <c r="W296" s="991"/>
      <c r="X296" s="944"/>
      <c r="Y296" s="944"/>
      <c r="Z296" s="944"/>
      <c r="AA296" s="944"/>
      <c r="AB296" s="944"/>
      <c r="AC296" s="944"/>
      <c r="AD296" s="944"/>
      <c r="AE296" s="944"/>
      <c r="AF296" s="944"/>
      <c r="AG296" s="944"/>
    </row>
    <row r="297" spans="1:33" s="28" customFormat="1" ht="19.5" customHeight="1">
      <c r="A297" s="174"/>
      <c r="B297" s="175"/>
      <c r="C297" s="177" t="s">
        <v>426</v>
      </c>
      <c r="D297" s="173"/>
      <c r="E297" s="173"/>
      <c r="F297" s="173">
        <v>35000</v>
      </c>
      <c r="G297" s="185"/>
      <c r="H297" s="195"/>
      <c r="I297" s="982"/>
      <c r="J297" s="967"/>
      <c r="K297" s="982"/>
      <c r="L297" s="967"/>
      <c r="M297" s="967"/>
      <c r="N297" s="990"/>
      <c r="O297" s="990"/>
      <c r="P297" s="991"/>
      <c r="Q297" s="991"/>
      <c r="R297" s="991"/>
      <c r="S297" s="991"/>
      <c r="T297" s="991"/>
      <c r="U297" s="991"/>
      <c r="V297" s="991"/>
      <c r="W297" s="991"/>
      <c r="X297" s="944"/>
      <c r="Y297" s="944"/>
      <c r="Z297" s="944"/>
      <c r="AA297" s="944"/>
      <c r="AB297" s="944"/>
      <c r="AC297" s="944"/>
      <c r="AD297" s="944"/>
      <c r="AE297" s="944"/>
      <c r="AF297" s="944"/>
      <c r="AG297" s="944"/>
    </row>
    <row r="298" spans="1:33" s="28" customFormat="1" ht="19.5" customHeight="1">
      <c r="A298" s="174"/>
      <c r="B298" s="175"/>
      <c r="C298" s="177" t="s">
        <v>108</v>
      </c>
      <c r="D298" s="173"/>
      <c r="E298" s="173"/>
      <c r="F298" s="173">
        <v>350000</v>
      </c>
      <c r="G298" s="185"/>
      <c r="H298" s="195"/>
      <c r="I298" s="982"/>
      <c r="J298" s="967"/>
      <c r="K298" s="982"/>
      <c r="L298" s="967"/>
      <c r="M298" s="967"/>
      <c r="N298" s="990"/>
      <c r="O298" s="990"/>
      <c r="P298" s="991"/>
      <c r="Q298" s="991"/>
      <c r="R298" s="991"/>
      <c r="S298" s="991"/>
      <c r="T298" s="991"/>
      <c r="U298" s="991"/>
      <c r="V298" s="991"/>
      <c r="W298" s="991"/>
      <c r="X298" s="944"/>
      <c r="Y298" s="944"/>
      <c r="Z298" s="944"/>
      <c r="AA298" s="944"/>
      <c r="AB298" s="944"/>
      <c r="AC298" s="944"/>
      <c r="AD298" s="944"/>
      <c r="AE298" s="944"/>
      <c r="AF298" s="944"/>
      <c r="AG298" s="944"/>
    </row>
    <row r="299" spans="1:33" s="28" customFormat="1" ht="19.5" customHeight="1">
      <c r="A299" s="174"/>
      <c r="B299" s="175"/>
      <c r="C299" s="177" t="s">
        <v>109</v>
      </c>
      <c r="D299" s="173"/>
      <c r="E299" s="173"/>
      <c r="F299" s="173">
        <v>112000</v>
      </c>
      <c r="G299" s="185"/>
      <c r="H299" s="195"/>
      <c r="I299" s="982"/>
      <c r="J299" s="967"/>
      <c r="K299" s="982"/>
      <c r="L299" s="967"/>
      <c r="M299" s="967"/>
      <c r="N299" s="990"/>
      <c r="O299" s="990"/>
      <c r="P299" s="991"/>
      <c r="Q299" s="991"/>
      <c r="R299" s="991"/>
      <c r="S299" s="991"/>
      <c r="T299" s="991"/>
      <c r="U299" s="991"/>
      <c r="V299" s="991"/>
      <c r="W299" s="991"/>
      <c r="X299" s="944"/>
      <c r="Y299" s="944"/>
      <c r="Z299" s="944"/>
      <c r="AA299" s="944"/>
      <c r="AB299" s="944"/>
      <c r="AC299" s="944"/>
      <c r="AD299" s="944"/>
      <c r="AE299" s="944"/>
      <c r="AF299" s="944"/>
      <c r="AG299" s="944"/>
    </row>
    <row r="300" spans="1:33" s="28" customFormat="1" ht="19.5" customHeight="1">
      <c r="A300" s="174"/>
      <c r="B300" s="170" t="s">
        <v>159</v>
      </c>
      <c r="C300" s="176" t="s">
        <v>160</v>
      </c>
      <c r="D300" s="173"/>
      <c r="E300" s="173"/>
      <c r="F300" s="173">
        <v>10000</v>
      </c>
      <c r="G300" s="185"/>
      <c r="H300" s="195"/>
      <c r="I300" s="982"/>
      <c r="J300" s="967"/>
      <c r="K300" s="982"/>
      <c r="L300" s="967"/>
      <c r="M300" s="967"/>
      <c r="N300" s="990"/>
      <c r="O300" s="990"/>
      <c r="P300" s="991"/>
      <c r="Q300" s="991"/>
      <c r="R300" s="991"/>
      <c r="S300" s="991"/>
      <c r="T300" s="991"/>
      <c r="U300" s="991"/>
      <c r="V300" s="991"/>
      <c r="W300" s="991"/>
      <c r="X300" s="944"/>
      <c r="Y300" s="944"/>
      <c r="Z300" s="944"/>
      <c r="AA300" s="944"/>
      <c r="AB300" s="944"/>
      <c r="AC300" s="944"/>
      <c r="AD300" s="944"/>
      <c r="AE300" s="944"/>
      <c r="AF300" s="944"/>
      <c r="AG300" s="944"/>
    </row>
    <row r="301" spans="1:33" s="3" customFormat="1" ht="19.5" customHeight="1">
      <c r="A301" s="927" t="s">
        <v>326</v>
      </c>
      <c r="B301" s="928"/>
      <c r="C301" s="208"/>
      <c r="D301" s="34">
        <f>D190+D195+D196+D212+D213+D216+D217+D244+D256+D275+D276+D287+D292</f>
        <v>618570.1000000001</v>
      </c>
      <c r="E301" s="34">
        <f>E190+E195+E196+E212+E213+E216+E217+E244+E256+E275+E276+E287+E292</f>
        <v>0</v>
      </c>
      <c r="F301" s="34">
        <f>F190+F195+F196+F212+F213+F216+F217+F244+F256+F275+F276+F287+F292</f>
        <v>15729336.120000001</v>
      </c>
      <c r="G301" s="34">
        <f>G190+G195+G196+G212+G213+G216+G217+G244+G256+G275+G276+G287+G292</f>
        <v>0</v>
      </c>
      <c r="H301" s="20"/>
      <c r="I301" s="373"/>
      <c r="J301" s="992"/>
      <c r="K301" s="924"/>
      <c r="L301" s="992"/>
      <c r="M301" s="992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938"/>
      <c r="Y301" s="938"/>
      <c r="Z301" s="938"/>
      <c r="AA301" s="938"/>
      <c r="AB301" s="938"/>
      <c r="AC301" s="938"/>
      <c r="AD301" s="938"/>
      <c r="AE301" s="938"/>
      <c r="AF301" s="938"/>
      <c r="AG301" s="938"/>
    </row>
    <row r="302" spans="1:33" s="3" customFormat="1" ht="19.5" customHeight="1">
      <c r="A302" s="209"/>
      <c r="B302" s="210"/>
      <c r="C302" s="211"/>
      <c r="D302" s="27"/>
      <c r="E302" s="27"/>
      <c r="F302" s="27"/>
      <c r="G302" s="27"/>
      <c r="H302" s="20"/>
      <c r="I302" s="373"/>
      <c r="J302" s="992"/>
      <c r="K302" s="924"/>
      <c r="L302" s="992"/>
      <c r="M302" s="992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938"/>
      <c r="Y302" s="938"/>
      <c r="Z302" s="938"/>
      <c r="AA302" s="938"/>
      <c r="AB302" s="938"/>
      <c r="AC302" s="938"/>
      <c r="AD302" s="938"/>
      <c r="AE302" s="938"/>
      <c r="AF302" s="938"/>
      <c r="AG302" s="938"/>
    </row>
    <row r="303" spans="1:33" s="3" customFormat="1" ht="19.5" customHeight="1">
      <c r="A303" s="209"/>
      <c r="B303" s="210"/>
      <c r="C303" s="211"/>
      <c r="D303" s="27"/>
      <c r="E303" s="27"/>
      <c r="F303" s="27"/>
      <c r="G303" s="27"/>
      <c r="H303" s="20"/>
      <c r="I303" s="373"/>
      <c r="J303" s="992"/>
      <c r="K303" s="924"/>
      <c r="L303" s="992"/>
      <c r="M303" s="992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938"/>
      <c r="Y303" s="938"/>
      <c r="Z303" s="938"/>
      <c r="AA303" s="938"/>
      <c r="AB303" s="938"/>
      <c r="AC303" s="938"/>
      <c r="AD303" s="938"/>
      <c r="AE303" s="938"/>
      <c r="AF303" s="938"/>
      <c r="AG303" s="938"/>
    </row>
    <row r="304" spans="1:23" ht="19.5" customHeight="1">
      <c r="A304" s="202" t="s">
        <v>327</v>
      </c>
      <c r="B304" s="189"/>
      <c r="C304" s="204"/>
      <c r="D304" s="18"/>
      <c r="E304" s="18"/>
      <c r="F304" s="18"/>
      <c r="G304" s="18"/>
      <c r="H304" s="21"/>
      <c r="I304" s="974"/>
      <c r="J304" s="984"/>
      <c r="K304" s="985"/>
      <c r="L304" s="993"/>
      <c r="M304" s="969"/>
      <c r="N304" s="970"/>
      <c r="O304" s="970"/>
      <c r="P304" s="12"/>
      <c r="Q304" s="12"/>
      <c r="R304" s="12"/>
      <c r="S304" s="12"/>
      <c r="T304" s="12"/>
      <c r="U304" s="12"/>
      <c r="V304" s="12"/>
      <c r="W304" s="12"/>
    </row>
    <row r="305" spans="1:23" ht="19.5" customHeight="1">
      <c r="A305" s="202"/>
      <c r="B305" s="203"/>
      <c r="C305" s="204"/>
      <c r="D305" s="18"/>
      <c r="E305" s="18"/>
      <c r="F305" s="18"/>
      <c r="G305" s="18"/>
      <c r="H305" s="21"/>
      <c r="I305" s="974"/>
      <c r="J305" s="984"/>
      <c r="K305" s="985"/>
      <c r="L305" s="993"/>
      <c r="M305" s="969"/>
      <c r="N305" s="970"/>
      <c r="O305" s="970"/>
      <c r="P305" s="12"/>
      <c r="Q305" s="12"/>
      <c r="R305" s="12"/>
      <c r="S305" s="12"/>
      <c r="T305" s="12"/>
      <c r="U305" s="12"/>
      <c r="V305" s="12"/>
      <c r="W305" s="12"/>
    </row>
    <row r="306" spans="1:23" ht="19.5" customHeight="1">
      <c r="A306" s="205" t="s">
        <v>281</v>
      </c>
      <c r="B306" s="203"/>
      <c r="C306" s="206"/>
      <c r="D306" s="19"/>
      <c r="E306" s="19"/>
      <c r="F306" s="19"/>
      <c r="G306" s="19"/>
      <c r="H306" s="17"/>
      <c r="I306" s="966"/>
      <c r="J306" s="987"/>
      <c r="K306" s="994"/>
      <c r="L306" s="969"/>
      <c r="M306" s="969"/>
      <c r="N306" s="970"/>
      <c r="O306" s="970"/>
      <c r="P306" s="12"/>
      <c r="Q306" s="12"/>
      <c r="R306" s="12"/>
      <c r="S306" s="12"/>
      <c r="T306" s="12"/>
      <c r="U306" s="12"/>
      <c r="V306" s="12"/>
      <c r="W306" s="12"/>
    </row>
    <row r="307" spans="1:23" ht="19.5" customHeight="1">
      <c r="A307" s="205"/>
      <c r="B307" s="205"/>
      <c r="C307" s="206"/>
      <c r="D307" s="19"/>
      <c r="E307" s="19"/>
      <c r="F307" s="19"/>
      <c r="G307" s="19"/>
      <c r="H307" s="17"/>
      <c r="I307" s="966"/>
      <c r="J307" s="987"/>
      <c r="K307" s="994"/>
      <c r="L307" s="969"/>
      <c r="M307" s="969"/>
      <c r="N307" s="970"/>
      <c r="O307" s="970"/>
      <c r="P307" s="12"/>
      <c r="Q307" s="12"/>
      <c r="R307" s="12"/>
      <c r="S307" s="12"/>
      <c r="T307" s="12"/>
      <c r="U307" s="12"/>
      <c r="V307" s="12"/>
      <c r="W307" s="12"/>
    </row>
    <row r="308" spans="1:23" ht="19.5" customHeight="1">
      <c r="A308" s="212"/>
      <c r="B308" s="161"/>
      <c r="C308" s="213"/>
      <c r="D308" s="10" t="s">
        <v>317</v>
      </c>
      <c r="E308" s="11"/>
      <c r="F308" s="10" t="s">
        <v>388</v>
      </c>
      <c r="G308" s="11"/>
      <c r="H308" s="17"/>
      <c r="I308" s="974"/>
      <c r="J308" s="967"/>
      <c r="K308" s="968"/>
      <c r="L308" s="969"/>
      <c r="M308" s="969"/>
      <c r="N308" s="970"/>
      <c r="O308" s="970"/>
      <c r="P308" s="12"/>
      <c r="Q308" s="12"/>
      <c r="R308" s="12"/>
      <c r="S308" s="12"/>
      <c r="T308" s="12"/>
      <c r="U308" s="12"/>
      <c r="V308" s="12"/>
      <c r="W308" s="12"/>
    </row>
    <row r="309" spans="1:23" ht="19.5" customHeight="1">
      <c r="A309" s="214"/>
      <c r="B309" s="163"/>
      <c r="C309" s="215"/>
      <c r="D309" s="12" t="s">
        <v>320</v>
      </c>
      <c r="E309" s="11" t="s">
        <v>319</v>
      </c>
      <c r="F309" s="12" t="s">
        <v>320</v>
      </c>
      <c r="G309" s="11" t="s">
        <v>319</v>
      </c>
      <c r="H309" s="17"/>
      <c r="I309" s="985"/>
      <c r="J309" s="967"/>
      <c r="K309" s="968"/>
      <c r="L309" s="969"/>
      <c r="M309" s="969"/>
      <c r="N309" s="970"/>
      <c r="O309" s="970"/>
      <c r="P309" s="12"/>
      <c r="Q309" s="12"/>
      <c r="R309" s="12"/>
      <c r="S309" s="12"/>
      <c r="T309" s="12"/>
      <c r="U309" s="12"/>
      <c r="V309" s="12"/>
      <c r="W309" s="12"/>
    </row>
    <row r="310" spans="1:23" ht="19.5" customHeight="1">
      <c r="A310" s="216" t="s">
        <v>322</v>
      </c>
      <c r="B310" s="217" t="s">
        <v>328</v>
      </c>
      <c r="C310" s="218" t="s">
        <v>323</v>
      </c>
      <c r="D310" s="219" t="s">
        <v>324</v>
      </c>
      <c r="E310" s="220" t="s">
        <v>325</v>
      </c>
      <c r="F310" s="219" t="s">
        <v>324</v>
      </c>
      <c r="G310" s="220" t="s">
        <v>325</v>
      </c>
      <c r="H310" s="17"/>
      <c r="I310" s="974"/>
      <c r="J310" s="967"/>
      <c r="K310" s="968"/>
      <c r="L310" s="969"/>
      <c r="M310" s="969"/>
      <c r="N310" s="970"/>
      <c r="O310" s="970"/>
      <c r="P310" s="12"/>
      <c r="Q310" s="12"/>
      <c r="R310" s="12"/>
      <c r="S310" s="12"/>
      <c r="T310" s="12"/>
      <c r="U310" s="12"/>
      <c r="V310" s="12"/>
      <c r="W310" s="12"/>
    </row>
    <row r="311" spans="1:33" s="35" customFormat="1" ht="19.5" customHeight="1">
      <c r="A311" s="411">
        <v>600</v>
      </c>
      <c r="B311" s="377">
        <v>60015</v>
      </c>
      <c r="C311" s="385"/>
      <c r="D311" s="33">
        <f>SUM(D312:D314)</f>
        <v>0</v>
      </c>
      <c r="E311" s="33"/>
      <c r="F311" s="33">
        <f>SUM(F312:F314)</f>
        <v>281000</v>
      </c>
      <c r="G311" s="33"/>
      <c r="I311" s="963"/>
      <c r="J311" s="963"/>
      <c r="K311" s="963"/>
      <c r="L311" s="963"/>
      <c r="M311" s="963"/>
      <c r="N311" s="964"/>
      <c r="O311" s="964"/>
      <c r="P311" s="965"/>
      <c r="Q311" s="965"/>
      <c r="R311" s="965"/>
      <c r="S311" s="965"/>
      <c r="T311" s="965"/>
      <c r="U311" s="965"/>
      <c r="V311" s="965"/>
      <c r="W311" s="965"/>
      <c r="X311" s="965"/>
      <c r="Y311" s="965"/>
      <c r="Z311" s="965"/>
      <c r="AA311" s="965"/>
      <c r="AB311" s="965"/>
      <c r="AC311" s="965"/>
      <c r="AD311" s="965"/>
      <c r="AE311" s="965"/>
      <c r="AF311" s="965"/>
      <c r="AG311" s="965"/>
    </row>
    <row r="312" spans="1:33" s="381" customFormat="1" ht="19.5" customHeight="1">
      <c r="A312" s="426"/>
      <c r="B312" s="378"/>
      <c r="C312" s="379">
        <v>4210</v>
      </c>
      <c r="D312" s="380"/>
      <c r="E312" s="380"/>
      <c r="F312" s="380">
        <v>16200</v>
      </c>
      <c r="G312" s="380"/>
      <c r="I312" s="995"/>
      <c r="J312" s="995"/>
      <c r="K312" s="995"/>
      <c r="L312" s="995"/>
      <c r="M312" s="995"/>
      <c r="N312" s="996"/>
      <c r="O312" s="996"/>
      <c r="P312" s="997"/>
      <c r="Q312" s="997"/>
      <c r="R312" s="997"/>
      <c r="S312" s="997"/>
      <c r="T312" s="997"/>
      <c r="U312" s="997"/>
      <c r="V312" s="997"/>
      <c r="W312" s="997"/>
      <c r="X312" s="997"/>
      <c r="Y312" s="997"/>
      <c r="Z312" s="997"/>
      <c r="AA312" s="997"/>
      <c r="AB312" s="997"/>
      <c r="AC312" s="997"/>
      <c r="AD312" s="997"/>
      <c r="AE312" s="997"/>
      <c r="AF312" s="997"/>
      <c r="AG312" s="997"/>
    </row>
    <row r="313" spans="1:33" s="381" customFormat="1" ht="19.5" customHeight="1">
      <c r="A313" s="518"/>
      <c r="B313" s="524"/>
      <c r="C313" s="379">
        <v>4270</v>
      </c>
      <c r="D313" s="380"/>
      <c r="E313" s="380"/>
      <c r="F313" s="380">
        <v>230000</v>
      </c>
      <c r="G313" s="380"/>
      <c r="I313" s="995"/>
      <c r="J313" s="995"/>
      <c r="K313" s="995"/>
      <c r="L313" s="995"/>
      <c r="M313" s="995"/>
      <c r="N313" s="996"/>
      <c r="O313" s="996"/>
      <c r="P313" s="997"/>
      <c r="Q313" s="997"/>
      <c r="R313" s="997"/>
      <c r="S313" s="997"/>
      <c r="T313" s="997"/>
      <c r="U313" s="997"/>
      <c r="V313" s="997"/>
      <c r="W313" s="997"/>
      <c r="X313" s="997"/>
      <c r="Y313" s="997"/>
      <c r="Z313" s="997"/>
      <c r="AA313" s="997"/>
      <c r="AB313" s="997"/>
      <c r="AC313" s="997"/>
      <c r="AD313" s="997"/>
      <c r="AE313" s="997"/>
      <c r="AF313" s="997"/>
      <c r="AG313" s="997"/>
    </row>
    <row r="314" spans="1:33" s="381" customFormat="1" ht="19.5" customHeight="1">
      <c r="A314" s="523"/>
      <c r="B314" s="522"/>
      <c r="C314" s="379">
        <v>6050</v>
      </c>
      <c r="D314" s="380"/>
      <c r="E314" s="380"/>
      <c r="F314" s="380">
        <f>500000+3000+25000+103000-80000-500000-16200</f>
        <v>34800</v>
      </c>
      <c r="G314" s="380"/>
      <c r="I314" s="995"/>
      <c r="J314" s="995"/>
      <c r="K314" s="995"/>
      <c r="L314" s="995"/>
      <c r="M314" s="995"/>
      <c r="N314" s="996"/>
      <c r="O314" s="996"/>
      <c r="P314" s="997"/>
      <c r="Q314" s="997"/>
      <c r="R314" s="997"/>
      <c r="S314" s="997"/>
      <c r="T314" s="997"/>
      <c r="U314" s="997"/>
      <c r="V314" s="997"/>
      <c r="W314" s="997"/>
      <c r="X314" s="997"/>
      <c r="Y314" s="997"/>
      <c r="Z314" s="997"/>
      <c r="AA314" s="997"/>
      <c r="AB314" s="997"/>
      <c r="AC314" s="997"/>
      <c r="AD314" s="997"/>
      <c r="AE314" s="997"/>
      <c r="AF314" s="997"/>
      <c r="AG314" s="997"/>
    </row>
    <row r="315" spans="1:33" s="35" customFormat="1" ht="19.5" customHeight="1">
      <c r="A315" s="403">
        <v>630</v>
      </c>
      <c r="B315" s="30">
        <v>63095</v>
      </c>
      <c r="C315" s="385">
        <v>6050</v>
      </c>
      <c r="D315" s="827"/>
      <c r="E315" s="33"/>
      <c r="F315" s="33">
        <v>220000</v>
      </c>
      <c r="G315" s="33"/>
      <c r="I315" s="963"/>
      <c r="J315" s="963"/>
      <c r="K315" s="963"/>
      <c r="L315" s="963"/>
      <c r="M315" s="963"/>
      <c r="N315" s="964"/>
      <c r="O315" s="964"/>
      <c r="P315" s="965"/>
      <c r="Q315" s="965"/>
      <c r="R315" s="965"/>
      <c r="S315" s="965"/>
      <c r="T315" s="965"/>
      <c r="U315" s="965"/>
      <c r="V315" s="965"/>
      <c r="W315" s="965"/>
      <c r="X315" s="965"/>
      <c r="Y315" s="965"/>
      <c r="Z315" s="965"/>
      <c r="AA315" s="965"/>
      <c r="AB315" s="965"/>
      <c r="AC315" s="965"/>
      <c r="AD315" s="965"/>
      <c r="AE315" s="965"/>
      <c r="AF315" s="965"/>
      <c r="AG315" s="965"/>
    </row>
    <row r="316" spans="1:33" s="35" customFormat="1" ht="19.5" customHeight="1">
      <c r="A316" s="774">
        <v>754</v>
      </c>
      <c r="B316" s="768">
        <v>75405</v>
      </c>
      <c r="C316" s="832">
        <v>3000</v>
      </c>
      <c r="D316" s="827"/>
      <c r="E316" s="33"/>
      <c r="F316" s="33">
        <v>55000</v>
      </c>
      <c r="G316" s="33"/>
      <c r="I316" s="963"/>
      <c r="J316" s="963"/>
      <c r="K316" s="963"/>
      <c r="L316" s="963"/>
      <c r="M316" s="963"/>
      <c r="N316" s="964"/>
      <c r="O316" s="964"/>
      <c r="P316" s="965"/>
      <c r="Q316" s="965"/>
      <c r="R316" s="965"/>
      <c r="S316" s="965"/>
      <c r="T316" s="965"/>
      <c r="U316" s="965"/>
      <c r="V316" s="965"/>
      <c r="W316" s="965"/>
      <c r="X316" s="965"/>
      <c r="Y316" s="965"/>
      <c r="Z316" s="965"/>
      <c r="AA316" s="965"/>
      <c r="AB316" s="965"/>
      <c r="AC316" s="965"/>
      <c r="AD316" s="965"/>
      <c r="AE316" s="965"/>
      <c r="AF316" s="965"/>
      <c r="AG316" s="965"/>
    </row>
    <row r="317" spans="1:33" s="35" customFormat="1" ht="19.5" customHeight="1">
      <c r="A317" s="30">
        <v>758</v>
      </c>
      <c r="B317" s="30">
        <v>75818</v>
      </c>
      <c r="C317" s="30"/>
      <c r="D317" s="769"/>
      <c r="E317" s="33"/>
      <c r="F317" s="33">
        <f>80000-54040-6000</f>
        <v>19960</v>
      </c>
      <c r="G317" s="33"/>
      <c r="I317" s="963"/>
      <c r="J317" s="963"/>
      <c r="K317" s="963"/>
      <c r="L317" s="963"/>
      <c r="M317" s="963"/>
      <c r="N317" s="964"/>
      <c r="O317" s="964"/>
      <c r="P317" s="965"/>
      <c r="Q317" s="965"/>
      <c r="R317" s="965"/>
      <c r="S317" s="965"/>
      <c r="T317" s="965"/>
      <c r="U317" s="965"/>
      <c r="V317" s="965"/>
      <c r="W317" s="965"/>
      <c r="X317" s="965"/>
      <c r="Y317" s="965"/>
      <c r="Z317" s="965"/>
      <c r="AA317" s="965"/>
      <c r="AB317" s="965"/>
      <c r="AC317" s="965"/>
      <c r="AD317" s="965"/>
      <c r="AE317" s="965"/>
      <c r="AF317" s="965"/>
      <c r="AG317" s="965"/>
    </row>
    <row r="318" spans="1:33" s="35" customFormat="1" ht="19.5" customHeight="1">
      <c r="A318" s="377">
        <v>801</v>
      </c>
      <c r="B318" s="30"/>
      <c r="C318" s="30"/>
      <c r="D318" s="33">
        <f>D319+D322+D323+D328+D333+D334+D335+D336+D346+D347</f>
        <v>90527</v>
      </c>
      <c r="E318" s="33"/>
      <c r="F318" s="33">
        <f>F319+F322+F323+F328+F333+F334+F335+F336+F346+F347</f>
        <v>216921.42</v>
      </c>
      <c r="G318" s="33"/>
      <c r="I318" s="963"/>
      <c r="J318" s="963"/>
      <c r="K318" s="963"/>
      <c r="L318" s="963"/>
      <c r="M318" s="963"/>
      <c r="N318" s="964"/>
      <c r="O318" s="964"/>
      <c r="P318" s="965"/>
      <c r="Q318" s="965"/>
      <c r="R318" s="965"/>
      <c r="S318" s="965"/>
      <c r="T318" s="965"/>
      <c r="U318" s="965"/>
      <c r="V318" s="965"/>
      <c r="W318" s="965"/>
      <c r="X318" s="965"/>
      <c r="Y318" s="965"/>
      <c r="Z318" s="965"/>
      <c r="AA318" s="965"/>
      <c r="AB318" s="965"/>
      <c r="AC318" s="965"/>
      <c r="AD318" s="965"/>
      <c r="AE318" s="965"/>
      <c r="AF318" s="965"/>
      <c r="AG318" s="965"/>
    </row>
    <row r="319" spans="1:33" s="381" customFormat="1" ht="19.5" customHeight="1">
      <c r="A319" s="378"/>
      <c r="B319" s="520">
        <v>80102</v>
      </c>
      <c r="C319" s="379"/>
      <c r="D319" s="380">
        <f>SUM(D320:D321)</f>
        <v>1386</v>
      </c>
      <c r="E319" s="380"/>
      <c r="F319" s="380">
        <f>SUM(F320:F321)</f>
        <v>900</v>
      </c>
      <c r="G319" s="380"/>
      <c r="I319" s="995"/>
      <c r="J319" s="995"/>
      <c r="K319" s="995"/>
      <c r="L319" s="995"/>
      <c r="M319" s="995"/>
      <c r="N319" s="996"/>
      <c r="O319" s="996"/>
      <c r="P319" s="997"/>
      <c r="Q319" s="997"/>
      <c r="R319" s="997"/>
      <c r="S319" s="997"/>
      <c r="T319" s="997"/>
      <c r="U319" s="997"/>
      <c r="V319" s="997"/>
      <c r="W319" s="997"/>
      <c r="X319" s="997"/>
      <c r="Y319" s="997"/>
      <c r="Z319" s="997"/>
      <c r="AA319" s="997"/>
      <c r="AB319" s="997"/>
      <c r="AC319" s="997"/>
      <c r="AD319" s="997"/>
      <c r="AE319" s="997"/>
      <c r="AF319" s="997"/>
      <c r="AG319" s="997"/>
    </row>
    <row r="320" spans="1:33" s="381" customFormat="1" ht="19.5" customHeight="1">
      <c r="A320" s="524"/>
      <c r="B320" s="525"/>
      <c r="C320" s="379">
        <v>4010</v>
      </c>
      <c r="D320" s="380"/>
      <c r="E320" s="380"/>
      <c r="F320" s="380">
        <v>900</v>
      </c>
      <c r="G320" s="380"/>
      <c r="I320" s="995"/>
      <c r="J320" s="995"/>
      <c r="K320" s="995"/>
      <c r="L320" s="995"/>
      <c r="M320" s="995"/>
      <c r="N320" s="996"/>
      <c r="O320" s="996"/>
      <c r="P320" s="997"/>
      <c r="Q320" s="997"/>
      <c r="R320" s="997"/>
      <c r="S320" s="997"/>
      <c r="T320" s="997"/>
      <c r="U320" s="997"/>
      <c r="V320" s="997"/>
      <c r="W320" s="997"/>
      <c r="X320" s="997"/>
      <c r="Y320" s="997"/>
      <c r="Z320" s="997"/>
      <c r="AA320" s="997"/>
      <c r="AB320" s="997"/>
      <c r="AC320" s="997"/>
      <c r="AD320" s="997"/>
      <c r="AE320" s="997"/>
      <c r="AF320" s="997"/>
      <c r="AG320" s="997"/>
    </row>
    <row r="321" spans="1:33" s="381" customFormat="1" ht="19.5" customHeight="1">
      <c r="A321" s="524"/>
      <c r="B321" s="525"/>
      <c r="C321" s="379">
        <v>4040</v>
      </c>
      <c r="D321" s="380">
        <v>1386</v>
      </c>
      <c r="E321" s="380"/>
      <c r="F321" s="380"/>
      <c r="G321" s="380"/>
      <c r="I321" s="995"/>
      <c r="J321" s="995"/>
      <c r="K321" s="995"/>
      <c r="L321" s="995"/>
      <c r="M321" s="995"/>
      <c r="N321" s="996"/>
      <c r="O321" s="996"/>
      <c r="P321" s="997"/>
      <c r="Q321" s="997"/>
      <c r="R321" s="997"/>
      <c r="S321" s="997"/>
      <c r="T321" s="997"/>
      <c r="U321" s="997"/>
      <c r="V321" s="997"/>
      <c r="W321" s="997"/>
      <c r="X321" s="997"/>
      <c r="Y321" s="997"/>
      <c r="Z321" s="997"/>
      <c r="AA321" s="997"/>
      <c r="AB321" s="997"/>
      <c r="AC321" s="997"/>
      <c r="AD321" s="997"/>
      <c r="AE321" s="997"/>
      <c r="AF321" s="997"/>
      <c r="AG321" s="997"/>
    </row>
    <row r="322" spans="1:33" s="381" customFormat="1" ht="19.5" customHeight="1">
      <c r="A322" s="524"/>
      <c r="B322" s="520">
        <v>80114</v>
      </c>
      <c r="C322" s="379">
        <v>4010</v>
      </c>
      <c r="D322" s="380"/>
      <c r="E322" s="380"/>
      <c r="F322" s="380">
        <v>15000</v>
      </c>
      <c r="G322" s="380"/>
      <c r="I322" s="995"/>
      <c r="J322" s="995"/>
      <c r="K322" s="995"/>
      <c r="L322" s="995"/>
      <c r="M322" s="995"/>
      <c r="N322" s="996"/>
      <c r="O322" s="996"/>
      <c r="P322" s="997"/>
      <c r="Q322" s="997"/>
      <c r="R322" s="997"/>
      <c r="S322" s="997"/>
      <c r="T322" s="997"/>
      <c r="U322" s="997"/>
      <c r="V322" s="997"/>
      <c r="W322" s="997"/>
      <c r="X322" s="997"/>
      <c r="Y322" s="997"/>
      <c r="Z322" s="997"/>
      <c r="AA322" s="997"/>
      <c r="AB322" s="997"/>
      <c r="AC322" s="997"/>
      <c r="AD322" s="997"/>
      <c r="AE322" s="997"/>
      <c r="AF322" s="997"/>
      <c r="AG322" s="997"/>
    </row>
    <row r="323" spans="1:33" s="381" customFormat="1" ht="19.5" customHeight="1">
      <c r="A323" s="524"/>
      <c r="B323" s="412">
        <v>80120</v>
      </c>
      <c r="C323" s="772"/>
      <c r="D323" s="772"/>
      <c r="E323" s="772"/>
      <c r="F323" s="364">
        <f>SUM(F324:F327)</f>
        <v>52630</v>
      </c>
      <c r="G323" s="773"/>
      <c r="I323" s="995"/>
      <c r="J323" s="995"/>
      <c r="K323" s="995"/>
      <c r="L323" s="995"/>
      <c r="M323" s="995"/>
      <c r="N323" s="996"/>
      <c r="O323" s="996"/>
      <c r="P323" s="997"/>
      <c r="Q323" s="997"/>
      <c r="R323" s="997"/>
      <c r="S323" s="997"/>
      <c r="T323" s="997"/>
      <c r="U323" s="997"/>
      <c r="V323" s="997"/>
      <c r="W323" s="997"/>
      <c r="X323" s="997"/>
      <c r="Y323" s="997"/>
      <c r="Z323" s="997"/>
      <c r="AA323" s="997"/>
      <c r="AB323" s="997"/>
      <c r="AC323" s="997"/>
      <c r="AD323" s="997"/>
      <c r="AE323" s="997"/>
      <c r="AF323" s="997"/>
      <c r="AG323" s="997"/>
    </row>
    <row r="324" spans="1:33" s="381" customFormat="1" ht="19.5" customHeight="1">
      <c r="A324" s="518"/>
      <c r="B324" s="378"/>
      <c r="C324" s="379">
        <v>4010</v>
      </c>
      <c r="D324" s="380"/>
      <c r="E324" s="380"/>
      <c r="F324" s="380">
        <v>23830</v>
      </c>
      <c r="G324" s="380"/>
      <c r="I324" s="995"/>
      <c r="J324" s="995"/>
      <c r="K324" s="995"/>
      <c r="L324" s="995"/>
      <c r="M324" s="995"/>
      <c r="N324" s="996"/>
      <c r="O324" s="996"/>
      <c r="P324" s="997"/>
      <c r="Q324" s="997"/>
      <c r="R324" s="997"/>
      <c r="S324" s="997"/>
      <c r="T324" s="997"/>
      <c r="U324" s="997"/>
      <c r="V324" s="997"/>
      <c r="W324" s="997"/>
      <c r="X324" s="997"/>
      <c r="Y324" s="997"/>
      <c r="Z324" s="997"/>
      <c r="AA324" s="997"/>
      <c r="AB324" s="997"/>
      <c r="AC324" s="997"/>
      <c r="AD324" s="997"/>
      <c r="AE324" s="997"/>
      <c r="AF324" s="997"/>
      <c r="AG324" s="997"/>
    </row>
    <row r="325" spans="1:33" s="381" customFormat="1" ht="19.5" customHeight="1">
      <c r="A325" s="518"/>
      <c r="B325" s="524"/>
      <c r="C325" s="379">
        <v>4240</v>
      </c>
      <c r="D325" s="380"/>
      <c r="E325" s="380"/>
      <c r="F325" s="380">
        <v>7800</v>
      </c>
      <c r="G325" s="380"/>
      <c r="I325" s="995"/>
      <c r="J325" s="995"/>
      <c r="K325" s="995"/>
      <c r="L325" s="995"/>
      <c r="M325" s="995"/>
      <c r="N325" s="996"/>
      <c r="O325" s="996"/>
      <c r="P325" s="997"/>
      <c r="Q325" s="997"/>
      <c r="R325" s="997"/>
      <c r="S325" s="997"/>
      <c r="T325" s="997"/>
      <c r="U325" s="997"/>
      <c r="V325" s="997"/>
      <c r="W325" s="997"/>
      <c r="X325" s="997"/>
      <c r="Y325" s="997"/>
      <c r="Z325" s="997"/>
      <c r="AA325" s="997"/>
      <c r="AB325" s="997"/>
      <c r="AC325" s="997"/>
      <c r="AD325" s="997"/>
      <c r="AE325" s="997"/>
      <c r="AF325" s="997"/>
      <c r="AG325" s="997"/>
    </row>
    <row r="326" spans="1:33" s="381" customFormat="1" ht="19.5" customHeight="1">
      <c r="A326" s="518"/>
      <c r="B326" s="524"/>
      <c r="C326" s="379">
        <v>4270</v>
      </c>
      <c r="D326" s="380"/>
      <c r="E326" s="380"/>
      <c r="F326" s="380">
        <v>15000</v>
      </c>
      <c r="G326" s="380"/>
      <c r="I326" s="995"/>
      <c r="J326" s="995"/>
      <c r="K326" s="995"/>
      <c r="L326" s="995"/>
      <c r="M326" s="995"/>
      <c r="N326" s="996"/>
      <c r="O326" s="996"/>
      <c r="P326" s="997"/>
      <c r="Q326" s="997"/>
      <c r="R326" s="997"/>
      <c r="S326" s="997"/>
      <c r="T326" s="997"/>
      <c r="U326" s="997"/>
      <c r="V326" s="997"/>
      <c r="W326" s="997"/>
      <c r="X326" s="997"/>
      <c r="Y326" s="997"/>
      <c r="Z326" s="997"/>
      <c r="AA326" s="997"/>
      <c r="AB326" s="997"/>
      <c r="AC326" s="997"/>
      <c r="AD326" s="997"/>
      <c r="AE326" s="997"/>
      <c r="AF326" s="997"/>
      <c r="AG326" s="997"/>
    </row>
    <row r="327" spans="1:33" s="381" customFormat="1" ht="19.5" customHeight="1">
      <c r="A327" s="518"/>
      <c r="B327" s="522"/>
      <c r="C327" s="379">
        <v>4300</v>
      </c>
      <c r="D327" s="380"/>
      <c r="E327" s="380"/>
      <c r="F327" s="380">
        <v>6000</v>
      </c>
      <c r="G327" s="380"/>
      <c r="I327" s="995"/>
      <c r="J327" s="995"/>
      <c r="K327" s="995"/>
      <c r="L327" s="995"/>
      <c r="M327" s="995"/>
      <c r="N327" s="996"/>
      <c r="O327" s="996"/>
      <c r="P327" s="997"/>
      <c r="Q327" s="997"/>
      <c r="R327" s="997"/>
      <c r="S327" s="997"/>
      <c r="T327" s="997"/>
      <c r="U327" s="997"/>
      <c r="V327" s="997"/>
      <c r="W327" s="997"/>
      <c r="X327" s="997"/>
      <c r="Y327" s="997"/>
      <c r="Z327" s="997"/>
      <c r="AA327" s="997"/>
      <c r="AB327" s="997"/>
      <c r="AC327" s="997"/>
      <c r="AD327" s="997"/>
      <c r="AE327" s="997"/>
      <c r="AF327" s="997"/>
      <c r="AG327" s="997"/>
    </row>
    <row r="328" spans="1:33" s="381" customFormat="1" ht="19.5" customHeight="1">
      <c r="A328" s="524"/>
      <c r="B328" s="525">
        <v>80130</v>
      </c>
      <c r="C328" s="379"/>
      <c r="D328" s="380"/>
      <c r="E328" s="380"/>
      <c r="F328" s="380">
        <f>SUM(F329:F332)</f>
        <v>107840</v>
      </c>
      <c r="G328" s="380"/>
      <c r="I328" s="995"/>
      <c r="J328" s="995"/>
      <c r="K328" s="995"/>
      <c r="L328" s="995"/>
      <c r="M328" s="995"/>
      <c r="N328" s="996"/>
      <c r="O328" s="996"/>
      <c r="P328" s="997"/>
      <c r="Q328" s="997"/>
      <c r="R328" s="997"/>
      <c r="S328" s="997"/>
      <c r="T328" s="997"/>
      <c r="U328" s="997"/>
      <c r="V328" s="997"/>
      <c r="W328" s="997"/>
      <c r="X328" s="997"/>
      <c r="Y328" s="997"/>
      <c r="Z328" s="997"/>
      <c r="AA328" s="997"/>
      <c r="AB328" s="997"/>
      <c r="AC328" s="997"/>
      <c r="AD328" s="997"/>
      <c r="AE328" s="997"/>
      <c r="AF328" s="997"/>
      <c r="AG328" s="997"/>
    </row>
    <row r="329" spans="1:33" s="381" customFormat="1" ht="19.5" customHeight="1">
      <c r="A329" s="518"/>
      <c r="B329" s="378"/>
      <c r="C329" s="379">
        <v>4010</v>
      </c>
      <c r="D329" s="380"/>
      <c r="E329" s="380"/>
      <c r="F329" s="380">
        <v>56400</v>
      </c>
      <c r="G329" s="380"/>
      <c r="I329" s="995"/>
      <c r="J329" s="995"/>
      <c r="K329" s="995"/>
      <c r="L329" s="995"/>
      <c r="M329" s="995"/>
      <c r="N329" s="996"/>
      <c r="O329" s="996"/>
      <c r="P329" s="997"/>
      <c r="Q329" s="997"/>
      <c r="R329" s="997"/>
      <c r="S329" s="997"/>
      <c r="T329" s="997"/>
      <c r="U329" s="997"/>
      <c r="V329" s="997"/>
      <c r="W329" s="997"/>
      <c r="X329" s="997"/>
      <c r="Y329" s="997"/>
      <c r="Z329" s="997"/>
      <c r="AA329" s="997"/>
      <c r="AB329" s="997"/>
      <c r="AC329" s="997"/>
      <c r="AD329" s="997"/>
      <c r="AE329" s="997"/>
      <c r="AF329" s="997"/>
      <c r="AG329" s="997"/>
    </row>
    <row r="330" spans="1:33" s="381" customFormat="1" ht="19.5" customHeight="1">
      <c r="A330" s="518"/>
      <c r="B330" s="524"/>
      <c r="C330" s="379">
        <v>4240</v>
      </c>
      <c r="D330" s="380"/>
      <c r="E330" s="380"/>
      <c r="F330" s="380">
        <f>2240+22200</f>
        <v>24440</v>
      </c>
      <c r="G330" s="380"/>
      <c r="I330" s="995"/>
      <c r="J330" s="995"/>
      <c r="K330" s="995"/>
      <c r="L330" s="995"/>
      <c r="M330" s="995"/>
      <c r="N330" s="996"/>
      <c r="O330" s="996"/>
      <c r="P330" s="997"/>
      <c r="Q330" s="997"/>
      <c r="R330" s="997"/>
      <c r="S330" s="997"/>
      <c r="T330" s="997"/>
      <c r="U330" s="997"/>
      <c r="V330" s="997"/>
      <c r="W330" s="997"/>
      <c r="X330" s="997"/>
      <c r="Y330" s="997"/>
      <c r="Z330" s="997"/>
      <c r="AA330" s="997"/>
      <c r="AB330" s="997"/>
      <c r="AC330" s="997"/>
      <c r="AD330" s="997"/>
      <c r="AE330" s="997"/>
      <c r="AF330" s="997"/>
      <c r="AG330" s="997"/>
    </row>
    <row r="331" spans="1:33" s="381" customFormat="1" ht="19.5" customHeight="1">
      <c r="A331" s="518"/>
      <c r="B331" s="524"/>
      <c r="C331" s="379">
        <v>4270</v>
      </c>
      <c r="D331" s="380"/>
      <c r="E331" s="380"/>
      <c r="F331" s="380">
        <v>26000</v>
      </c>
      <c r="G331" s="380"/>
      <c r="I331" s="995"/>
      <c r="J331" s="995"/>
      <c r="K331" s="995"/>
      <c r="L331" s="995"/>
      <c r="M331" s="995"/>
      <c r="N331" s="996"/>
      <c r="O331" s="996"/>
      <c r="P331" s="997"/>
      <c r="Q331" s="997"/>
      <c r="R331" s="997"/>
      <c r="S331" s="997"/>
      <c r="T331" s="997"/>
      <c r="U331" s="997"/>
      <c r="V331" s="997"/>
      <c r="W331" s="997"/>
      <c r="X331" s="997"/>
      <c r="Y331" s="997"/>
      <c r="Z331" s="997"/>
      <c r="AA331" s="997"/>
      <c r="AB331" s="997"/>
      <c r="AC331" s="997"/>
      <c r="AD331" s="997"/>
      <c r="AE331" s="997"/>
      <c r="AF331" s="997"/>
      <c r="AG331" s="997"/>
    </row>
    <row r="332" spans="1:33" s="381" customFormat="1" ht="19.5" customHeight="1">
      <c r="A332" s="518"/>
      <c r="B332" s="522"/>
      <c r="C332" s="379">
        <v>4300</v>
      </c>
      <c r="D332" s="380"/>
      <c r="E332" s="380"/>
      <c r="F332" s="380">
        <v>1000</v>
      </c>
      <c r="G332" s="380"/>
      <c r="I332" s="995"/>
      <c r="J332" s="995"/>
      <c r="K332" s="995"/>
      <c r="L332" s="995"/>
      <c r="M332" s="995"/>
      <c r="N332" s="996"/>
      <c r="O332" s="996"/>
      <c r="P332" s="997"/>
      <c r="Q332" s="997"/>
      <c r="R332" s="997"/>
      <c r="S332" s="997"/>
      <c r="T332" s="997"/>
      <c r="U332" s="997"/>
      <c r="V332" s="997"/>
      <c r="W332" s="997"/>
      <c r="X332" s="997"/>
      <c r="Y332" s="997"/>
      <c r="Z332" s="997"/>
      <c r="AA332" s="997"/>
      <c r="AB332" s="997"/>
      <c r="AC332" s="997"/>
      <c r="AD332" s="997"/>
      <c r="AE332" s="997"/>
      <c r="AF332" s="997"/>
      <c r="AG332" s="997"/>
    </row>
    <row r="333" spans="1:33" s="381" customFormat="1" ht="19.5" customHeight="1">
      <c r="A333" s="518"/>
      <c r="B333" s="520">
        <v>80132</v>
      </c>
      <c r="C333" s="379">
        <v>4300</v>
      </c>
      <c r="D333" s="380"/>
      <c r="E333" s="380"/>
      <c r="F333" s="380">
        <v>30000</v>
      </c>
      <c r="G333" s="380"/>
      <c r="I333" s="995"/>
      <c r="J333" s="995"/>
      <c r="K333" s="995"/>
      <c r="L333" s="995"/>
      <c r="M333" s="995"/>
      <c r="N333" s="996"/>
      <c r="O333" s="996"/>
      <c r="P333" s="997"/>
      <c r="Q333" s="997"/>
      <c r="R333" s="997"/>
      <c r="S333" s="997"/>
      <c r="T333" s="997"/>
      <c r="U333" s="997"/>
      <c r="V333" s="997"/>
      <c r="W333" s="997"/>
      <c r="X333" s="997"/>
      <c r="Y333" s="997"/>
      <c r="Z333" s="997"/>
      <c r="AA333" s="997"/>
      <c r="AB333" s="997"/>
      <c r="AC333" s="997"/>
      <c r="AD333" s="997"/>
      <c r="AE333" s="997"/>
      <c r="AF333" s="997"/>
      <c r="AG333" s="997"/>
    </row>
    <row r="334" spans="1:33" s="381" customFormat="1" ht="19.5" customHeight="1">
      <c r="A334" s="524"/>
      <c r="B334" s="771">
        <v>80134</v>
      </c>
      <c r="C334" s="379">
        <v>4040</v>
      </c>
      <c r="D334" s="380">
        <v>9141</v>
      </c>
      <c r="E334" s="380"/>
      <c r="F334" s="380"/>
      <c r="G334" s="380"/>
      <c r="I334" s="995"/>
      <c r="J334" s="995"/>
      <c r="K334" s="995"/>
      <c r="L334" s="995"/>
      <c r="M334" s="995"/>
      <c r="N334" s="996"/>
      <c r="O334" s="996"/>
      <c r="P334" s="997"/>
      <c r="Q334" s="997"/>
      <c r="R334" s="997"/>
      <c r="S334" s="997"/>
      <c r="T334" s="997"/>
      <c r="U334" s="997"/>
      <c r="V334" s="997"/>
      <c r="W334" s="997"/>
      <c r="X334" s="997"/>
      <c r="Y334" s="997"/>
      <c r="Z334" s="997"/>
      <c r="AA334" s="997"/>
      <c r="AB334" s="997"/>
      <c r="AC334" s="997"/>
      <c r="AD334" s="997"/>
      <c r="AE334" s="997"/>
      <c r="AF334" s="997"/>
      <c r="AG334" s="997"/>
    </row>
    <row r="335" spans="1:33" s="381" customFormat="1" ht="19.5" customHeight="1">
      <c r="A335" s="524"/>
      <c r="B335" s="379">
        <v>80140</v>
      </c>
      <c r="C335" s="379">
        <v>4010</v>
      </c>
      <c r="D335" s="380"/>
      <c r="E335" s="380"/>
      <c r="F335" s="380">
        <v>3300</v>
      </c>
      <c r="G335" s="380"/>
      <c r="I335" s="995"/>
      <c r="J335" s="995"/>
      <c r="K335" s="995"/>
      <c r="L335" s="995"/>
      <c r="M335" s="995"/>
      <c r="N335" s="996"/>
      <c r="O335" s="996"/>
      <c r="P335" s="997"/>
      <c r="Q335" s="997"/>
      <c r="R335" s="997"/>
      <c r="S335" s="997"/>
      <c r="T335" s="997"/>
      <c r="U335" s="997"/>
      <c r="V335" s="997"/>
      <c r="W335" s="997"/>
      <c r="X335" s="997"/>
      <c r="Y335" s="997"/>
      <c r="Z335" s="997"/>
      <c r="AA335" s="997"/>
      <c r="AB335" s="997"/>
      <c r="AC335" s="997"/>
      <c r="AD335" s="997"/>
      <c r="AE335" s="997"/>
      <c r="AF335" s="997"/>
      <c r="AG335" s="997"/>
    </row>
    <row r="336" spans="1:33" s="381" customFormat="1" ht="19.5" customHeight="1">
      <c r="A336" s="524"/>
      <c r="B336" s="379">
        <v>80146</v>
      </c>
      <c r="C336" s="379"/>
      <c r="D336" s="380">
        <f>SUM(D337:D345)</f>
        <v>80000</v>
      </c>
      <c r="E336" s="380"/>
      <c r="F336" s="380">
        <f>SUM(F337:F345)</f>
        <v>1600</v>
      </c>
      <c r="G336" s="380"/>
      <c r="I336" s="995"/>
      <c r="J336" s="995"/>
      <c r="K336" s="995"/>
      <c r="L336" s="995"/>
      <c r="M336" s="995"/>
      <c r="N336" s="996"/>
      <c r="O336" s="996"/>
      <c r="P336" s="997"/>
      <c r="Q336" s="997"/>
      <c r="R336" s="997"/>
      <c r="S336" s="997"/>
      <c r="T336" s="997"/>
      <c r="U336" s="997"/>
      <c r="V336" s="997"/>
      <c r="W336" s="997"/>
      <c r="X336" s="997"/>
      <c r="Y336" s="997"/>
      <c r="Z336" s="997"/>
      <c r="AA336" s="997"/>
      <c r="AB336" s="997"/>
      <c r="AC336" s="997"/>
      <c r="AD336" s="997"/>
      <c r="AE336" s="997"/>
      <c r="AF336" s="997"/>
      <c r="AG336" s="997"/>
    </row>
    <row r="337" spans="1:33" s="381" customFormat="1" ht="19.5" customHeight="1">
      <c r="A337" s="524"/>
      <c r="B337" s="525"/>
      <c r="C337" s="379">
        <v>4010</v>
      </c>
      <c r="D337" s="380"/>
      <c r="E337" s="380"/>
      <c r="F337" s="380">
        <v>1600</v>
      </c>
      <c r="G337" s="380"/>
      <c r="I337" s="995"/>
      <c r="J337" s="995"/>
      <c r="K337" s="995"/>
      <c r="L337" s="995"/>
      <c r="M337" s="995"/>
      <c r="N337" s="996"/>
      <c r="O337" s="996"/>
      <c r="P337" s="997"/>
      <c r="Q337" s="997"/>
      <c r="R337" s="997"/>
      <c r="S337" s="997"/>
      <c r="T337" s="997"/>
      <c r="U337" s="997"/>
      <c r="V337" s="997"/>
      <c r="W337" s="997"/>
      <c r="X337" s="997"/>
      <c r="Y337" s="997"/>
      <c r="Z337" s="997"/>
      <c r="AA337" s="997"/>
      <c r="AB337" s="997"/>
      <c r="AC337" s="997"/>
      <c r="AD337" s="997"/>
      <c r="AE337" s="997"/>
      <c r="AF337" s="997"/>
      <c r="AG337" s="997"/>
    </row>
    <row r="338" spans="1:33" s="381" customFormat="1" ht="19.5" customHeight="1">
      <c r="A338" s="524"/>
      <c r="B338" s="525"/>
      <c r="C338" s="379">
        <v>4040</v>
      </c>
      <c r="D338" s="380">
        <v>4400</v>
      </c>
      <c r="E338" s="380"/>
      <c r="F338" s="380"/>
      <c r="G338" s="380"/>
      <c r="I338" s="995"/>
      <c r="J338" s="995"/>
      <c r="K338" s="995"/>
      <c r="L338" s="995"/>
      <c r="M338" s="995"/>
      <c r="N338" s="996"/>
      <c r="O338" s="996"/>
      <c r="P338" s="997"/>
      <c r="Q338" s="997"/>
      <c r="R338" s="997"/>
      <c r="S338" s="997"/>
      <c r="T338" s="997"/>
      <c r="U338" s="997"/>
      <c r="V338" s="997"/>
      <c r="W338" s="997"/>
      <c r="X338" s="997"/>
      <c r="Y338" s="997"/>
      <c r="Z338" s="997"/>
      <c r="AA338" s="997"/>
      <c r="AB338" s="997"/>
      <c r="AC338" s="997"/>
      <c r="AD338" s="997"/>
      <c r="AE338" s="997"/>
      <c r="AF338" s="997"/>
      <c r="AG338" s="997"/>
    </row>
    <row r="339" spans="1:33" s="381" customFormat="1" ht="19.5" customHeight="1">
      <c r="A339" s="524"/>
      <c r="B339" s="525"/>
      <c r="C339" s="379">
        <v>4110</v>
      </c>
      <c r="D339" s="380">
        <v>800</v>
      </c>
      <c r="E339" s="380"/>
      <c r="F339" s="380"/>
      <c r="G339" s="380"/>
      <c r="I339" s="995"/>
      <c r="J339" s="995"/>
      <c r="K339" s="995"/>
      <c r="L339" s="995"/>
      <c r="M339" s="995"/>
      <c r="N339" s="996"/>
      <c r="O339" s="996"/>
      <c r="P339" s="997"/>
      <c r="Q339" s="997"/>
      <c r="R339" s="997"/>
      <c r="S339" s="997"/>
      <c r="T339" s="997"/>
      <c r="U339" s="997"/>
      <c r="V339" s="997"/>
      <c r="W339" s="997"/>
      <c r="X339" s="997"/>
      <c r="Y339" s="997"/>
      <c r="Z339" s="997"/>
      <c r="AA339" s="997"/>
      <c r="AB339" s="997"/>
      <c r="AC339" s="997"/>
      <c r="AD339" s="997"/>
      <c r="AE339" s="997"/>
      <c r="AF339" s="997"/>
      <c r="AG339" s="997"/>
    </row>
    <row r="340" spans="1:33" s="381" customFormat="1" ht="19.5" customHeight="1">
      <c r="A340" s="524"/>
      <c r="B340" s="525"/>
      <c r="C340" s="379">
        <v>4120</v>
      </c>
      <c r="D340" s="380">
        <v>100</v>
      </c>
      <c r="E340" s="380"/>
      <c r="F340" s="380"/>
      <c r="G340" s="380"/>
      <c r="I340" s="995"/>
      <c r="J340" s="995"/>
      <c r="K340" s="995"/>
      <c r="L340" s="995"/>
      <c r="M340" s="995"/>
      <c r="N340" s="996"/>
      <c r="O340" s="996"/>
      <c r="P340" s="997"/>
      <c r="Q340" s="997"/>
      <c r="R340" s="997"/>
      <c r="S340" s="997"/>
      <c r="T340" s="997"/>
      <c r="U340" s="997"/>
      <c r="V340" s="997"/>
      <c r="W340" s="997"/>
      <c r="X340" s="997"/>
      <c r="Y340" s="997"/>
      <c r="Z340" s="997"/>
      <c r="AA340" s="997"/>
      <c r="AB340" s="997"/>
      <c r="AC340" s="997"/>
      <c r="AD340" s="997"/>
      <c r="AE340" s="997"/>
      <c r="AF340" s="997"/>
      <c r="AG340" s="997"/>
    </row>
    <row r="341" spans="1:33" s="381" customFormat="1" ht="19.5" customHeight="1">
      <c r="A341" s="524"/>
      <c r="B341" s="525"/>
      <c r="C341" s="379">
        <v>4170</v>
      </c>
      <c r="D341" s="380">
        <v>65000</v>
      </c>
      <c r="E341" s="380"/>
      <c r="F341" s="380"/>
      <c r="G341" s="380"/>
      <c r="I341" s="995"/>
      <c r="J341" s="995"/>
      <c r="K341" s="995"/>
      <c r="L341" s="995"/>
      <c r="M341" s="995"/>
      <c r="N341" s="996"/>
      <c r="O341" s="996"/>
      <c r="P341" s="997"/>
      <c r="Q341" s="997"/>
      <c r="R341" s="997"/>
      <c r="S341" s="997"/>
      <c r="T341" s="997"/>
      <c r="U341" s="997"/>
      <c r="V341" s="997"/>
      <c r="W341" s="997"/>
      <c r="X341" s="997"/>
      <c r="Y341" s="997"/>
      <c r="Z341" s="997"/>
      <c r="AA341" s="997"/>
      <c r="AB341" s="997"/>
      <c r="AC341" s="997"/>
      <c r="AD341" s="997"/>
      <c r="AE341" s="997"/>
      <c r="AF341" s="997"/>
      <c r="AG341" s="997"/>
    </row>
    <row r="342" spans="1:33" s="381" customFormat="1" ht="19.5" customHeight="1">
      <c r="A342" s="524"/>
      <c r="B342" s="525"/>
      <c r="C342" s="379">
        <v>4260</v>
      </c>
      <c r="D342" s="380">
        <v>2000</v>
      </c>
      <c r="E342" s="380"/>
      <c r="F342" s="380"/>
      <c r="G342" s="380"/>
      <c r="I342" s="995"/>
      <c r="J342" s="995"/>
      <c r="K342" s="995"/>
      <c r="L342" s="995"/>
      <c r="M342" s="995"/>
      <c r="N342" s="996"/>
      <c r="O342" s="996"/>
      <c r="P342" s="997"/>
      <c r="Q342" s="997"/>
      <c r="R342" s="997"/>
      <c r="S342" s="997"/>
      <c r="T342" s="997"/>
      <c r="U342" s="997"/>
      <c r="V342" s="997"/>
      <c r="W342" s="997"/>
      <c r="X342" s="997"/>
      <c r="Y342" s="997"/>
      <c r="Z342" s="997"/>
      <c r="AA342" s="997"/>
      <c r="AB342" s="997"/>
      <c r="AC342" s="997"/>
      <c r="AD342" s="997"/>
      <c r="AE342" s="997"/>
      <c r="AF342" s="997"/>
      <c r="AG342" s="997"/>
    </row>
    <row r="343" spans="1:33" s="381" customFormat="1" ht="19.5" customHeight="1">
      <c r="A343" s="524"/>
      <c r="B343" s="525"/>
      <c r="C343" s="379">
        <v>4300</v>
      </c>
      <c r="D343" s="380">
        <v>4259</v>
      </c>
      <c r="E343" s="380"/>
      <c r="F343" s="380"/>
      <c r="G343" s="380"/>
      <c r="I343" s="995"/>
      <c r="J343" s="995"/>
      <c r="K343" s="995"/>
      <c r="L343" s="995"/>
      <c r="M343" s="995"/>
      <c r="N343" s="996"/>
      <c r="O343" s="996"/>
      <c r="P343" s="997"/>
      <c r="Q343" s="997"/>
      <c r="R343" s="997"/>
      <c r="S343" s="997"/>
      <c r="T343" s="997"/>
      <c r="U343" s="997"/>
      <c r="V343" s="997"/>
      <c r="W343" s="997"/>
      <c r="X343" s="997"/>
      <c r="Y343" s="997"/>
      <c r="Z343" s="997"/>
      <c r="AA343" s="997"/>
      <c r="AB343" s="997"/>
      <c r="AC343" s="997"/>
      <c r="AD343" s="997"/>
      <c r="AE343" s="997"/>
      <c r="AF343" s="997"/>
      <c r="AG343" s="997"/>
    </row>
    <row r="344" spans="1:33" s="381" customFormat="1" ht="19.5" customHeight="1">
      <c r="A344" s="524"/>
      <c r="B344" s="525"/>
      <c r="C344" s="412">
        <v>4400</v>
      </c>
      <c r="D344" s="380">
        <v>2150</v>
      </c>
      <c r="E344" s="380"/>
      <c r="F344" s="380"/>
      <c r="G344" s="380"/>
      <c r="I344" s="995"/>
      <c r="J344" s="995"/>
      <c r="K344" s="995"/>
      <c r="L344" s="995"/>
      <c r="M344" s="995"/>
      <c r="N344" s="996"/>
      <c r="O344" s="996"/>
      <c r="P344" s="997"/>
      <c r="Q344" s="997"/>
      <c r="R344" s="997"/>
      <c r="S344" s="997"/>
      <c r="T344" s="997"/>
      <c r="U344" s="997"/>
      <c r="V344" s="997"/>
      <c r="W344" s="997"/>
      <c r="X344" s="997"/>
      <c r="Y344" s="997"/>
      <c r="Z344" s="997"/>
      <c r="AA344" s="997"/>
      <c r="AB344" s="997"/>
      <c r="AC344" s="997"/>
      <c r="AD344" s="997"/>
      <c r="AE344" s="997"/>
      <c r="AF344" s="997"/>
      <c r="AG344" s="997"/>
    </row>
    <row r="345" spans="1:33" s="381" customFormat="1" ht="19.5" customHeight="1">
      <c r="A345" s="524"/>
      <c r="B345" s="525"/>
      <c r="C345" s="412">
        <v>4700</v>
      </c>
      <c r="D345" s="763">
        <v>1291</v>
      </c>
      <c r="E345" s="380"/>
      <c r="F345" s="380"/>
      <c r="G345" s="380"/>
      <c r="I345" s="995"/>
      <c r="J345" s="995"/>
      <c r="K345" s="995"/>
      <c r="L345" s="995"/>
      <c r="M345" s="995"/>
      <c r="N345" s="996"/>
      <c r="O345" s="996"/>
      <c r="P345" s="997"/>
      <c r="Q345" s="997"/>
      <c r="R345" s="997"/>
      <c r="S345" s="997"/>
      <c r="T345" s="997"/>
      <c r="U345" s="997"/>
      <c r="V345" s="997"/>
      <c r="W345" s="997"/>
      <c r="X345" s="997"/>
      <c r="Y345" s="997"/>
      <c r="Z345" s="997"/>
      <c r="AA345" s="997"/>
      <c r="AB345" s="997"/>
      <c r="AC345" s="997"/>
      <c r="AD345" s="997"/>
      <c r="AE345" s="997"/>
      <c r="AF345" s="997"/>
      <c r="AG345" s="997"/>
    </row>
    <row r="346" spans="1:33" s="381" customFormat="1" ht="19.5" customHeight="1">
      <c r="A346" s="524"/>
      <c r="B346" s="520">
        <v>80148</v>
      </c>
      <c r="C346" s="412">
        <v>4010</v>
      </c>
      <c r="D346" s="763"/>
      <c r="E346" s="380"/>
      <c r="F346" s="380">
        <v>870</v>
      </c>
      <c r="G346" s="380"/>
      <c r="I346" s="995"/>
      <c r="J346" s="995"/>
      <c r="K346" s="995"/>
      <c r="L346" s="995"/>
      <c r="M346" s="995"/>
      <c r="N346" s="996"/>
      <c r="O346" s="996"/>
      <c r="P346" s="997"/>
      <c r="Q346" s="997"/>
      <c r="R346" s="997"/>
      <c r="S346" s="997"/>
      <c r="T346" s="997"/>
      <c r="U346" s="997"/>
      <c r="V346" s="997"/>
      <c r="W346" s="997"/>
      <c r="X346" s="997"/>
      <c r="Y346" s="997"/>
      <c r="Z346" s="997"/>
      <c r="AA346" s="997"/>
      <c r="AB346" s="997"/>
      <c r="AC346" s="997"/>
      <c r="AD346" s="997"/>
      <c r="AE346" s="997"/>
      <c r="AF346" s="997"/>
      <c r="AG346" s="997"/>
    </row>
    <row r="347" spans="1:33" s="381" customFormat="1" ht="19.5" customHeight="1">
      <c r="A347" s="522"/>
      <c r="B347" s="520">
        <v>80195</v>
      </c>
      <c r="C347" s="412">
        <v>4301</v>
      </c>
      <c r="D347" s="763"/>
      <c r="E347" s="380"/>
      <c r="F347" s="380">
        <v>4781.42</v>
      </c>
      <c r="G347" s="380"/>
      <c r="I347" s="995"/>
      <c r="J347" s="995"/>
      <c r="K347" s="995"/>
      <c r="L347" s="995"/>
      <c r="M347" s="995"/>
      <c r="N347" s="996"/>
      <c r="O347" s="996"/>
      <c r="P347" s="997"/>
      <c r="Q347" s="997"/>
      <c r="R347" s="997"/>
      <c r="S347" s="997"/>
      <c r="T347" s="997"/>
      <c r="U347" s="997"/>
      <c r="V347" s="997"/>
      <c r="W347" s="997"/>
      <c r="X347" s="997"/>
      <c r="Y347" s="997"/>
      <c r="Z347" s="997"/>
      <c r="AA347" s="997"/>
      <c r="AB347" s="997"/>
      <c r="AC347" s="997"/>
      <c r="AD347" s="997"/>
      <c r="AE347" s="997"/>
      <c r="AF347" s="997"/>
      <c r="AG347" s="997"/>
    </row>
    <row r="348" spans="1:33" s="35" customFormat="1" ht="19.5" customHeight="1">
      <c r="A348" s="767">
        <v>852</v>
      </c>
      <c r="B348" s="30"/>
      <c r="C348" s="385"/>
      <c r="D348" s="33"/>
      <c r="E348" s="33"/>
      <c r="F348" s="33">
        <f>F349+F350+F355+F356</f>
        <v>512000</v>
      </c>
      <c r="G348" s="33">
        <f>G355+G356</f>
        <v>7000</v>
      </c>
      <c r="I348" s="963"/>
      <c r="J348" s="963"/>
      <c r="K348" s="963"/>
      <c r="L348" s="963"/>
      <c r="M348" s="963"/>
      <c r="N348" s="964"/>
      <c r="O348" s="964"/>
      <c r="P348" s="965"/>
      <c r="Q348" s="965"/>
      <c r="R348" s="965"/>
      <c r="S348" s="965"/>
      <c r="T348" s="965"/>
      <c r="U348" s="965"/>
      <c r="V348" s="965"/>
      <c r="W348" s="965"/>
      <c r="X348" s="965"/>
      <c r="Y348" s="965"/>
      <c r="Z348" s="965"/>
      <c r="AA348" s="965"/>
      <c r="AB348" s="965"/>
      <c r="AC348" s="965"/>
      <c r="AD348" s="965"/>
      <c r="AE348" s="965"/>
      <c r="AF348" s="965"/>
      <c r="AG348" s="965"/>
    </row>
    <row r="349" spans="1:33" s="381" customFormat="1" ht="19.5" customHeight="1">
      <c r="A349" s="518"/>
      <c r="B349" s="520">
        <v>85201</v>
      </c>
      <c r="C349" s="379">
        <v>4330</v>
      </c>
      <c r="D349" s="380"/>
      <c r="E349" s="380"/>
      <c r="F349" s="380">
        <v>75000</v>
      </c>
      <c r="G349" s="380"/>
      <c r="I349" s="995"/>
      <c r="J349" s="995"/>
      <c r="K349" s="995"/>
      <c r="L349" s="995"/>
      <c r="M349" s="995"/>
      <c r="N349" s="996"/>
      <c r="O349" s="996"/>
      <c r="P349" s="997"/>
      <c r="Q349" s="997"/>
      <c r="R349" s="997"/>
      <c r="S349" s="997"/>
      <c r="T349" s="997"/>
      <c r="U349" s="997"/>
      <c r="V349" s="997"/>
      <c r="W349" s="997"/>
      <c r="X349" s="997"/>
      <c r="Y349" s="997"/>
      <c r="Z349" s="997"/>
      <c r="AA349" s="997"/>
      <c r="AB349" s="997"/>
      <c r="AC349" s="997"/>
      <c r="AD349" s="997"/>
      <c r="AE349" s="997"/>
      <c r="AF349" s="997"/>
      <c r="AG349" s="997"/>
    </row>
    <row r="350" spans="1:33" s="381" customFormat="1" ht="19.5" customHeight="1">
      <c r="A350" s="518"/>
      <c r="B350" s="378">
        <v>85202</v>
      </c>
      <c r="C350" s="379"/>
      <c r="D350" s="380"/>
      <c r="E350" s="380"/>
      <c r="F350" s="380">
        <f>SUM(F351:F354)</f>
        <v>100000</v>
      </c>
      <c r="G350" s="380"/>
      <c r="I350" s="995"/>
      <c r="J350" s="995"/>
      <c r="K350" s="995"/>
      <c r="L350" s="995"/>
      <c r="M350" s="995"/>
      <c r="N350" s="996"/>
      <c r="O350" s="996"/>
      <c r="P350" s="997"/>
      <c r="Q350" s="997"/>
      <c r="R350" s="997"/>
      <c r="S350" s="997"/>
      <c r="T350" s="997"/>
      <c r="U350" s="997"/>
      <c r="V350" s="997"/>
      <c r="W350" s="997"/>
      <c r="X350" s="997"/>
      <c r="Y350" s="997"/>
      <c r="Z350" s="997"/>
      <c r="AA350" s="997"/>
      <c r="AB350" s="997"/>
      <c r="AC350" s="997"/>
      <c r="AD350" s="997"/>
      <c r="AE350" s="997"/>
      <c r="AF350" s="997"/>
      <c r="AG350" s="997"/>
    </row>
    <row r="351" spans="1:33" s="381" customFormat="1" ht="19.5" customHeight="1">
      <c r="A351" s="518"/>
      <c r="B351" s="378"/>
      <c r="C351" s="379">
        <v>4220</v>
      </c>
      <c r="D351" s="380"/>
      <c r="E351" s="380"/>
      <c r="F351" s="380">
        <v>25000</v>
      </c>
      <c r="G351" s="380"/>
      <c r="I351" s="995"/>
      <c r="J351" s="995"/>
      <c r="K351" s="995"/>
      <c r="L351" s="995"/>
      <c r="M351" s="995"/>
      <c r="N351" s="996"/>
      <c r="O351" s="996"/>
      <c r="P351" s="997"/>
      <c r="Q351" s="997"/>
      <c r="R351" s="997"/>
      <c r="S351" s="997"/>
      <c r="T351" s="997"/>
      <c r="U351" s="997"/>
      <c r="V351" s="997"/>
      <c r="W351" s="997"/>
      <c r="X351" s="997"/>
      <c r="Y351" s="997"/>
      <c r="Z351" s="997"/>
      <c r="AA351" s="997"/>
      <c r="AB351" s="997"/>
      <c r="AC351" s="997"/>
      <c r="AD351" s="997"/>
      <c r="AE351" s="997"/>
      <c r="AF351" s="997"/>
      <c r="AG351" s="997"/>
    </row>
    <row r="352" spans="1:33" s="381" customFormat="1" ht="19.5" customHeight="1">
      <c r="A352" s="518"/>
      <c r="B352" s="524"/>
      <c r="C352" s="379">
        <v>4260</v>
      </c>
      <c r="D352" s="380"/>
      <c r="E352" s="380"/>
      <c r="F352" s="380">
        <v>50000</v>
      </c>
      <c r="G352" s="380"/>
      <c r="I352" s="995"/>
      <c r="J352" s="995"/>
      <c r="K352" s="995"/>
      <c r="L352" s="995"/>
      <c r="M352" s="995"/>
      <c r="N352" s="996"/>
      <c r="O352" s="996"/>
      <c r="P352" s="997"/>
      <c r="Q352" s="997"/>
      <c r="R352" s="997"/>
      <c r="S352" s="997"/>
      <c r="T352" s="997"/>
      <c r="U352" s="997"/>
      <c r="V352" s="997"/>
      <c r="W352" s="997"/>
      <c r="X352" s="997"/>
      <c r="Y352" s="997"/>
      <c r="Z352" s="997"/>
      <c r="AA352" s="997"/>
      <c r="AB352" s="997"/>
      <c r="AC352" s="997"/>
      <c r="AD352" s="997"/>
      <c r="AE352" s="997"/>
      <c r="AF352" s="997"/>
      <c r="AG352" s="997"/>
    </row>
    <row r="353" spans="1:33" s="381" customFormat="1" ht="19.5" customHeight="1">
      <c r="A353" s="518"/>
      <c r="B353" s="524"/>
      <c r="C353" s="379">
        <v>4270</v>
      </c>
      <c r="D353" s="380"/>
      <c r="E353" s="380"/>
      <c r="F353" s="380">
        <v>10000</v>
      </c>
      <c r="G353" s="380"/>
      <c r="I353" s="995"/>
      <c r="J353" s="995"/>
      <c r="K353" s="995"/>
      <c r="L353" s="995"/>
      <c r="M353" s="995"/>
      <c r="N353" s="996"/>
      <c r="O353" s="996"/>
      <c r="P353" s="997"/>
      <c r="Q353" s="997"/>
      <c r="R353" s="997"/>
      <c r="S353" s="997"/>
      <c r="T353" s="997"/>
      <c r="U353" s="997"/>
      <c r="V353" s="997"/>
      <c r="W353" s="997"/>
      <c r="X353" s="997"/>
      <c r="Y353" s="997"/>
      <c r="Z353" s="997"/>
      <c r="AA353" s="997"/>
      <c r="AB353" s="997"/>
      <c r="AC353" s="997"/>
      <c r="AD353" s="997"/>
      <c r="AE353" s="997"/>
      <c r="AF353" s="997"/>
      <c r="AG353" s="997"/>
    </row>
    <row r="354" spans="1:33" s="381" customFormat="1" ht="19.5" customHeight="1">
      <c r="A354" s="518"/>
      <c r="B354" s="522"/>
      <c r="C354" s="379">
        <v>4300</v>
      </c>
      <c r="D354" s="380"/>
      <c r="E354" s="380"/>
      <c r="F354" s="380">
        <v>15000</v>
      </c>
      <c r="G354" s="380"/>
      <c r="I354" s="995"/>
      <c r="J354" s="995"/>
      <c r="K354" s="995"/>
      <c r="L354" s="995"/>
      <c r="M354" s="995"/>
      <c r="N354" s="996"/>
      <c r="O354" s="996"/>
      <c r="P354" s="997"/>
      <c r="Q354" s="997"/>
      <c r="R354" s="997"/>
      <c r="S354" s="997"/>
      <c r="T354" s="997"/>
      <c r="U354" s="997"/>
      <c r="V354" s="997"/>
      <c r="W354" s="997"/>
      <c r="X354" s="997"/>
      <c r="Y354" s="997"/>
      <c r="Z354" s="997"/>
      <c r="AA354" s="997"/>
      <c r="AB354" s="997"/>
      <c r="AC354" s="997"/>
      <c r="AD354" s="997"/>
      <c r="AE354" s="997"/>
      <c r="AF354" s="997"/>
      <c r="AG354" s="997"/>
    </row>
    <row r="355" spans="1:33" s="381" customFormat="1" ht="19.5" customHeight="1">
      <c r="A355" s="518"/>
      <c r="B355" s="522">
        <v>85204</v>
      </c>
      <c r="C355" s="379">
        <v>3110</v>
      </c>
      <c r="D355" s="380"/>
      <c r="E355" s="380"/>
      <c r="F355" s="380">
        <v>330000</v>
      </c>
      <c r="G355" s="380"/>
      <c r="I355" s="995"/>
      <c r="J355" s="995"/>
      <c r="K355" s="995"/>
      <c r="L355" s="995"/>
      <c r="M355" s="995"/>
      <c r="N355" s="996"/>
      <c r="O355" s="996"/>
      <c r="P355" s="997"/>
      <c r="Q355" s="997"/>
      <c r="R355" s="997"/>
      <c r="S355" s="997"/>
      <c r="T355" s="997"/>
      <c r="U355" s="997"/>
      <c r="V355" s="997"/>
      <c r="W355" s="997"/>
      <c r="X355" s="997"/>
      <c r="Y355" s="997"/>
      <c r="Z355" s="997"/>
      <c r="AA355" s="997"/>
      <c r="AB355" s="997"/>
      <c r="AC355" s="997"/>
      <c r="AD355" s="997"/>
      <c r="AE355" s="997"/>
      <c r="AF355" s="997"/>
      <c r="AG355" s="997"/>
    </row>
    <row r="356" spans="1:33" s="381" customFormat="1" ht="19.5" customHeight="1">
      <c r="A356" s="518"/>
      <c r="B356" s="378">
        <v>85205</v>
      </c>
      <c r="C356" s="412">
        <v>2360</v>
      </c>
      <c r="D356" s="380"/>
      <c r="E356" s="380"/>
      <c r="F356" s="380">
        <v>7000</v>
      </c>
      <c r="G356" s="380">
        <v>7000</v>
      </c>
      <c r="I356" s="995"/>
      <c r="J356" s="995"/>
      <c r="K356" s="995"/>
      <c r="L356" s="995"/>
      <c r="M356" s="995"/>
      <c r="N356" s="996"/>
      <c r="O356" s="996"/>
      <c r="P356" s="997"/>
      <c r="Q356" s="997"/>
      <c r="R356" s="997"/>
      <c r="S356" s="997"/>
      <c r="T356" s="997"/>
      <c r="U356" s="997"/>
      <c r="V356" s="997"/>
      <c r="W356" s="997"/>
      <c r="X356" s="997"/>
      <c r="Y356" s="997"/>
      <c r="Z356" s="997"/>
      <c r="AA356" s="997"/>
      <c r="AB356" s="997"/>
      <c r="AC356" s="997"/>
      <c r="AD356" s="997"/>
      <c r="AE356" s="997"/>
      <c r="AF356" s="997"/>
      <c r="AG356" s="997"/>
    </row>
    <row r="357" spans="1:33" s="35" customFormat="1" ht="19.5" customHeight="1">
      <c r="A357" s="403">
        <v>853</v>
      </c>
      <c r="B357" s="30">
        <v>85395</v>
      </c>
      <c r="C357" s="385"/>
      <c r="D357" s="33">
        <f>SUM(D358:D362)</f>
        <v>5000</v>
      </c>
      <c r="E357" s="33"/>
      <c r="F357" s="33">
        <f>SUM(F358:F362)</f>
        <v>6866.95</v>
      </c>
      <c r="G357" s="33"/>
      <c r="I357" s="963"/>
      <c r="J357" s="963"/>
      <c r="K357" s="963"/>
      <c r="L357" s="963"/>
      <c r="M357" s="963"/>
      <c r="N357" s="964"/>
      <c r="O357" s="964"/>
      <c r="P357" s="965"/>
      <c r="Q357" s="965"/>
      <c r="R357" s="965"/>
      <c r="S357" s="965"/>
      <c r="T357" s="965"/>
      <c r="U357" s="965"/>
      <c r="V357" s="965"/>
      <c r="W357" s="965"/>
      <c r="X357" s="965"/>
      <c r="Y357" s="965"/>
      <c r="Z357" s="965"/>
      <c r="AA357" s="965"/>
      <c r="AB357" s="965"/>
      <c r="AC357" s="965"/>
      <c r="AD357" s="965"/>
      <c r="AE357" s="965"/>
      <c r="AF357" s="965"/>
      <c r="AG357" s="965"/>
    </row>
    <row r="358" spans="1:33" s="381" customFormat="1" ht="19.5" customHeight="1">
      <c r="A358" s="518"/>
      <c r="B358" s="524"/>
      <c r="C358" s="520">
        <v>4217</v>
      </c>
      <c r="D358" s="380"/>
      <c r="E358" s="380"/>
      <c r="F358" s="380">
        <v>5.55</v>
      </c>
      <c r="G358" s="380"/>
      <c r="I358" s="995"/>
      <c r="J358" s="995"/>
      <c r="K358" s="995"/>
      <c r="L358" s="995"/>
      <c r="M358" s="995"/>
      <c r="N358" s="996"/>
      <c r="O358" s="996"/>
      <c r="P358" s="997"/>
      <c r="Q358" s="997"/>
      <c r="R358" s="997"/>
      <c r="S358" s="997"/>
      <c r="T358" s="997"/>
      <c r="U358" s="997"/>
      <c r="V358" s="997"/>
      <c r="W358" s="997"/>
      <c r="X358" s="997"/>
      <c r="Y358" s="997"/>
      <c r="Z358" s="997"/>
      <c r="AA358" s="997"/>
      <c r="AB358" s="997"/>
      <c r="AC358" s="997"/>
      <c r="AD358" s="997"/>
      <c r="AE358" s="997"/>
      <c r="AF358" s="997"/>
      <c r="AG358" s="997"/>
    </row>
    <row r="359" spans="1:33" s="381" customFormat="1" ht="19.5" customHeight="1">
      <c r="A359" s="518"/>
      <c r="B359" s="524"/>
      <c r="C359" s="520">
        <v>4247</v>
      </c>
      <c r="D359" s="380"/>
      <c r="E359" s="380"/>
      <c r="F359" s="380">
        <v>5046.58</v>
      </c>
      <c r="G359" s="380"/>
      <c r="I359" s="995"/>
      <c r="J359" s="995"/>
      <c r="K359" s="995"/>
      <c r="L359" s="995"/>
      <c r="M359" s="995"/>
      <c r="N359" s="996"/>
      <c r="O359" s="996"/>
      <c r="P359" s="997"/>
      <c r="Q359" s="997"/>
      <c r="R359" s="997"/>
      <c r="S359" s="997"/>
      <c r="T359" s="997"/>
      <c r="U359" s="997"/>
      <c r="V359" s="997"/>
      <c r="W359" s="997"/>
      <c r="X359" s="997"/>
      <c r="Y359" s="997"/>
      <c r="Z359" s="997"/>
      <c r="AA359" s="997"/>
      <c r="AB359" s="997"/>
      <c r="AC359" s="997"/>
      <c r="AD359" s="997"/>
      <c r="AE359" s="997"/>
      <c r="AF359" s="997"/>
      <c r="AG359" s="997"/>
    </row>
    <row r="360" spans="1:33" s="381" customFormat="1" ht="19.5" customHeight="1">
      <c r="A360" s="518"/>
      <c r="B360" s="524"/>
      <c r="C360" s="520">
        <v>4249</v>
      </c>
      <c r="D360" s="380"/>
      <c r="E360" s="380"/>
      <c r="F360" s="380">
        <v>254.82</v>
      </c>
      <c r="G360" s="380"/>
      <c r="I360" s="995"/>
      <c r="J360" s="995"/>
      <c r="K360" s="995"/>
      <c r="L360" s="995"/>
      <c r="M360" s="995"/>
      <c r="N360" s="996"/>
      <c r="O360" s="996"/>
      <c r="P360" s="997"/>
      <c r="Q360" s="997"/>
      <c r="R360" s="997"/>
      <c r="S360" s="997"/>
      <c r="T360" s="997"/>
      <c r="U360" s="997"/>
      <c r="V360" s="997"/>
      <c r="W360" s="997"/>
      <c r="X360" s="997"/>
      <c r="Y360" s="997"/>
      <c r="Z360" s="997"/>
      <c r="AA360" s="997"/>
      <c r="AB360" s="997"/>
      <c r="AC360" s="997"/>
      <c r="AD360" s="997"/>
      <c r="AE360" s="997"/>
      <c r="AF360" s="997"/>
      <c r="AG360" s="997"/>
    </row>
    <row r="361" spans="1:33" s="381" customFormat="1" ht="19.5" customHeight="1">
      <c r="A361" s="518"/>
      <c r="B361" s="524"/>
      <c r="C361" s="520">
        <v>4307</v>
      </c>
      <c r="D361" s="380">
        <v>5000</v>
      </c>
      <c r="E361" s="380"/>
      <c r="F361" s="380"/>
      <c r="G361" s="380"/>
      <c r="I361" s="995"/>
      <c r="J361" s="995"/>
      <c r="K361" s="995"/>
      <c r="L361" s="995"/>
      <c r="M361" s="995"/>
      <c r="N361" s="996"/>
      <c r="O361" s="996"/>
      <c r="P361" s="997"/>
      <c r="Q361" s="997"/>
      <c r="R361" s="997"/>
      <c r="S361" s="997"/>
      <c r="T361" s="997"/>
      <c r="U361" s="997"/>
      <c r="V361" s="997"/>
      <c r="W361" s="997"/>
      <c r="X361" s="997"/>
      <c r="Y361" s="997"/>
      <c r="Z361" s="997"/>
      <c r="AA361" s="997"/>
      <c r="AB361" s="997"/>
      <c r="AC361" s="997"/>
      <c r="AD361" s="997"/>
      <c r="AE361" s="997"/>
      <c r="AF361" s="997"/>
      <c r="AG361" s="997"/>
    </row>
    <row r="362" spans="1:33" s="381" customFormat="1" ht="19.5" customHeight="1">
      <c r="A362" s="518"/>
      <c r="B362" s="524"/>
      <c r="C362" s="520">
        <v>4707</v>
      </c>
      <c r="D362" s="380"/>
      <c r="E362" s="380"/>
      <c r="F362" s="380">
        <v>1560</v>
      </c>
      <c r="G362" s="380"/>
      <c r="I362" s="995"/>
      <c r="J362" s="995"/>
      <c r="K362" s="995"/>
      <c r="L362" s="995"/>
      <c r="M362" s="995"/>
      <c r="N362" s="996"/>
      <c r="O362" s="996"/>
      <c r="P362" s="997"/>
      <c r="Q362" s="997"/>
      <c r="R362" s="997"/>
      <c r="S362" s="997"/>
      <c r="T362" s="997"/>
      <c r="U362" s="997"/>
      <c r="V362" s="997"/>
      <c r="W362" s="997"/>
      <c r="X362" s="997"/>
      <c r="Y362" s="997"/>
      <c r="Z362" s="997"/>
      <c r="AA362" s="997"/>
      <c r="AB362" s="997"/>
      <c r="AC362" s="997"/>
      <c r="AD362" s="997"/>
      <c r="AE362" s="997"/>
      <c r="AF362" s="997"/>
      <c r="AG362" s="997"/>
    </row>
    <row r="363" spans="1:33" s="35" customFormat="1" ht="19.5" customHeight="1">
      <c r="A363" s="411">
        <v>854</v>
      </c>
      <c r="B363" s="377"/>
      <c r="C363" s="762"/>
      <c r="D363" s="33">
        <f>D364+D368+D369+D370</f>
        <v>6673</v>
      </c>
      <c r="E363" s="33"/>
      <c r="F363" s="33">
        <f>F364+F368+F369+F370</f>
        <v>85100</v>
      </c>
      <c r="G363" s="33"/>
      <c r="I363" s="963"/>
      <c r="J363" s="963"/>
      <c r="K363" s="963"/>
      <c r="L363" s="963"/>
      <c r="M363" s="963"/>
      <c r="N363" s="964"/>
      <c r="O363" s="964"/>
      <c r="P363" s="965"/>
      <c r="Q363" s="965"/>
      <c r="R363" s="965"/>
      <c r="S363" s="965"/>
      <c r="T363" s="965"/>
      <c r="U363" s="965"/>
      <c r="V363" s="965"/>
      <c r="W363" s="965"/>
      <c r="X363" s="965"/>
      <c r="Y363" s="965"/>
      <c r="Z363" s="965"/>
      <c r="AA363" s="965"/>
      <c r="AB363" s="965"/>
      <c r="AC363" s="965"/>
      <c r="AD363" s="965"/>
      <c r="AE363" s="965"/>
      <c r="AF363" s="965"/>
      <c r="AG363" s="965"/>
    </row>
    <row r="364" spans="1:33" s="381" customFormat="1" ht="19.5" customHeight="1">
      <c r="A364" s="378"/>
      <c r="B364" s="412">
        <v>85403</v>
      </c>
      <c r="C364" s="412"/>
      <c r="D364" s="380">
        <f>SUM(D365:D367)</f>
        <v>6673</v>
      </c>
      <c r="E364" s="380"/>
      <c r="F364" s="380">
        <f>SUM(F365:F367)</f>
        <v>70000</v>
      </c>
      <c r="G364" s="380"/>
      <c r="I364" s="995"/>
      <c r="J364" s="995"/>
      <c r="K364" s="995"/>
      <c r="L364" s="995"/>
      <c r="M364" s="995"/>
      <c r="N364" s="996"/>
      <c r="O364" s="996"/>
      <c r="P364" s="997"/>
      <c r="Q364" s="997"/>
      <c r="R364" s="997"/>
      <c r="S364" s="997"/>
      <c r="T364" s="997"/>
      <c r="U364" s="997"/>
      <c r="V364" s="997"/>
      <c r="W364" s="997"/>
      <c r="X364" s="997"/>
      <c r="Y364" s="997"/>
      <c r="Z364" s="997"/>
      <c r="AA364" s="997"/>
      <c r="AB364" s="997"/>
      <c r="AC364" s="997"/>
      <c r="AD364" s="997"/>
      <c r="AE364" s="997"/>
      <c r="AF364" s="997"/>
      <c r="AG364" s="997"/>
    </row>
    <row r="365" spans="1:33" s="381" customFormat="1" ht="19.5" customHeight="1">
      <c r="A365" s="518"/>
      <c r="B365" s="378"/>
      <c r="C365" s="412">
        <v>4010</v>
      </c>
      <c r="D365" s="380"/>
      <c r="E365" s="380"/>
      <c r="F365" s="380">
        <v>17000</v>
      </c>
      <c r="G365" s="380"/>
      <c r="I365" s="995"/>
      <c r="J365" s="995"/>
      <c r="K365" s="995"/>
      <c r="L365" s="995"/>
      <c r="M365" s="995"/>
      <c r="N365" s="996"/>
      <c r="O365" s="996"/>
      <c r="P365" s="997"/>
      <c r="Q365" s="997"/>
      <c r="R365" s="997"/>
      <c r="S365" s="997"/>
      <c r="T365" s="997"/>
      <c r="U365" s="997"/>
      <c r="V365" s="997"/>
      <c r="W365" s="997"/>
      <c r="X365" s="997"/>
      <c r="Y365" s="997"/>
      <c r="Z365" s="997"/>
      <c r="AA365" s="997"/>
      <c r="AB365" s="997"/>
      <c r="AC365" s="997"/>
      <c r="AD365" s="997"/>
      <c r="AE365" s="997"/>
      <c r="AF365" s="997"/>
      <c r="AG365" s="997"/>
    </row>
    <row r="366" spans="1:33" s="35" customFormat="1" ht="19.5" customHeight="1">
      <c r="A366" s="774"/>
      <c r="B366" s="768"/>
      <c r="C366" s="412">
        <v>4040</v>
      </c>
      <c r="D366" s="380">
        <v>6673</v>
      </c>
      <c r="E366" s="380"/>
      <c r="F366" s="380"/>
      <c r="G366" s="33"/>
      <c r="I366" s="963"/>
      <c r="J366" s="963"/>
      <c r="K366" s="963"/>
      <c r="L366" s="963"/>
      <c r="M366" s="963"/>
      <c r="N366" s="964"/>
      <c r="O366" s="964"/>
      <c r="P366" s="965"/>
      <c r="Q366" s="965"/>
      <c r="R366" s="965"/>
      <c r="S366" s="965"/>
      <c r="T366" s="965"/>
      <c r="U366" s="965"/>
      <c r="V366" s="965"/>
      <c r="W366" s="965"/>
      <c r="X366" s="965"/>
      <c r="Y366" s="965"/>
      <c r="Z366" s="965"/>
      <c r="AA366" s="965"/>
      <c r="AB366" s="965"/>
      <c r="AC366" s="965"/>
      <c r="AD366" s="965"/>
      <c r="AE366" s="965"/>
      <c r="AF366" s="965"/>
      <c r="AG366" s="965"/>
    </row>
    <row r="367" spans="1:33" s="35" customFormat="1" ht="19.5" customHeight="1">
      <c r="A367" s="774"/>
      <c r="B367" s="768"/>
      <c r="C367" s="379">
        <v>6060</v>
      </c>
      <c r="D367" s="380"/>
      <c r="E367" s="380"/>
      <c r="F367" s="380">
        <f>17200+20800+15000</f>
        <v>53000</v>
      </c>
      <c r="G367" s="33"/>
      <c r="H367" s="770"/>
      <c r="I367" s="963"/>
      <c r="J367" s="963"/>
      <c r="K367" s="963"/>
      <c r="L367" s="963"/>
      <c r="M367" s="963"/>
      <c r="N367" s="964"/>
      <c r="O367" s="964"/>
      <c r="P367" s="965"/>
      <c r="Q367" s="965"/>
      <c r="R367" s="965"/>
      <c r="S367" s="965"/>
      <c r="T367" s="965"/>
      <c r="U367" s="965"/>
      <c r="V367" s="965"/>
      <c r="W367" s="965"/>
      <c r="X367" s="965"/>
      <c r="Y367" s="965"/>
      <c r="Z367" s="965"/>
      <c r="AA367" s="965"/>
      <c r="AB367" s="965"/>
      <c r="AC367" s="965"/>
      <c r="AD367" s="965"/>
      <c r="AE367" s="965"/>
      <c r="AF367" s="965"/>
      <c r="AG367" s="965"/>
    </row>
    <row r="368" spans="1:33" s="381" customFormat="1" ht="19.5" customHeight="1">
      <c r="A368" s="518"/>
      <c r="B368" s="520">
        <v>85406</v>
      </c>
      <c r="C368" s="520">
        <v>4010</v>
      </c>
      <c r="D368" s="773"/>
      <c r="E368" s="773"/>
      <c r="F368" s="773">
        <v>3100</v>
      </c>
      <c r="G368" s="773"/>
      <c r="H368" s="776"/>
      <c r="I368" s="995"/>
      <c r="J368" s="995"/>
      <c r="K368" s="995"/>
      <c r="L368" s="995"/>
      <c r="M368" s="995"/>
      <c r="N368" s="996"/>
      <c r="O368" s="996"/>
      <c r="P368" s="997"/>
      <c r="Q368" s="997"/>
      <c r="R368" s="997"/>
      <c r="S368" s="997"/>
      <c r="T368" s="997"/>
      <c r="U368" s="997"/>
      <c r="V368" s="997"/>
      <c r="W368" s="997"/>
      <c r="X368" s="997"/>
      <c r="Y368" s="997"/>
      <c r="Z368" s="997"/>
      <c r="AA368" s="997"/>
      <c r="AB368" s="997"/>
      <c r="AC368" s="997"/>
      <c r="AD368" s="997"/>
      <c r="AE368" s="997"/>
      <c r="AF368" s="997"/>
      <c r="AG368" s="997"/>
    </row>
    <row r="369" spans="1:33" s="381" customFormat="1" ht="19.5" customHeight="1">
      <c r="A369" s="518"/>
      <c r="B369" s="520">
        <v>85410</v>
      </c>
      <c r="C369" s="779">
        <v>4010</v>
      </c>
      <c r="D369" s="364"/>
      <c r="E369" s="364"/>
      <c r="F369" s="364">
        <v>8700</v>
      </c>
      <c r="G369" s="773"/>
      <c r="H369" s="776"/>
      <c r="I369" s="995"/>
      <c r="J369" s="995"/>
      <c r="K369" s="995"/>
      <c r="L369" s="995"/>
      <c r="M369" s="995"/>
      <c r="N369" s="996"/>
      <c r="O369" s="996"/>
      <c r="P369" s="997"/>
      <c r="Q369" s="997"/>
      <c r="R369" s="997"/>
      <c r="S369" s="997"/>
      <c r="T369" s="997"/>
      <c r="U369" s="997"/>
      <c r="V369" s="997"/>
      <c r="W369" s="997"/>
      <c r="X369" s="997"/>
      <c r="Y369" s="997"/>
      <c r="Z369" s="997"/>
      <c r="AA369" s="997"/>
      <c r="AB369" s="997"/>
      <c r="AC369" s="997"/>
      <c r="AD369" s="997"/>
      <c r="AE369" s="997"/>
      <c r="AF369" s="997"/>
      <c r="AG369" s="997"/>
    </row>
    <row r="370" spans="1:33" s="381" customFormat="1" ht="19.5" customHeight="1">
      <c r="A370" s="518"/>
      <c r="B370" s="520">
        <v>85417</v>
      </c>
      <c r="C370" s="779">
        <v>4010</v>
      </c>
      <c r="D370" s="364"/>
      <c r="E370" s="364"/>
      <c r="F370" s="364">
        <v>3300</v>
      </c>
      <c r="G370" s="773"/>
      <c r="H370" s="776"/>
      <c r="I370" s="995"/>
      <c r="J370" s="995"/>
      <c r="K370" s="995"/>
      <c r="L370" s="995"/>
      <c r="M370" s="995"/>
      <c r="N370" s="996"/>
      <c r="O370" s="996"/>
      <c r="P370" s="997"/>
      <c r="Q370" s="997"/>
      <c r="R370" s="997"/>
      <c r="S370" s="997"/>
      <c r="T370" s="997"/>
      <c r="U370" s="997"/>
      <c r="V370" s="997"/>
      <c r="W370" s="997"/>
      <c r="X370" s="997"/>
      <c r="Y370" s="997"/>
      <c r="Z370" s="997"/>
      <c r="AA370" s="997"/>
      <c r="AB370" s="997"/>
      <c r="AC370" s="997"/>
      <c r="AD370" s="997"/>
      <c r="AE370" s="997"/>
      <c r="AF370" s="997"/>
      <c r="AG370" s="997"/>
    </row>
    <row r="371" spans="1:33" s="35" customFormat="1" ht="19.5" customHeight="1">
      <c r="A371" s="403">
        <v>921</v>
      </c>
      <c r="B371" s="30">
        <v>92116</v>
      </c>
      <c r="C371" s="385">
        <v>2480</v>
      </c>
      <c r="D371" s="33"/>
      <c r="E371" s="33"/>
      <c r="F371" s="33">
        <f>20000+16903</f>
        <v>36903</v>
      </c>
      <c r="G371" s="33"/>
      <c r="H371" s="770"/>
      <c r="I371" s="963"/>
      <c r="J371" s="963"/>
      <c r="K371" s="963"/>
      <c r="L371" s="963"/>
      <c r="M371" s="963"/>
      <c r="N371" s="964"/>
      <c r="O371" s="964"/>
      <c r="P371" s="965"/>
      <c r="Q371" s="965"/>
      <c r="R371" s="965"/>
      <c r="S371" s="965"/>
      <c r="T371" s="965"/>
      <c r="U371" s="965"/>
      <c r="V371" s="965"/>
      <c r="W371" s="965"/>
      <c r="X371" s="965"/>
      <c r="Y371" s="965"/>
      <c r="Z371" s="965"/>
      <c r="AA371" s="965"/>
      <c r="AB371" s="965"/>
      <c r="AC371" s="965"/>
      <c r="AD371" s="965"/>
      <c r="AE371" s="965"/>
      <c r="AF371" s="965"/>
      <c r="AG371" s="965"/>
    </row>
    <row r="372" spans="1:33" s="3" customFormat="1" ht="19.5" customHeight="1">
      <c r="A372" s="521" t="s">
        <v>326</v>
      </c>
      <c r="B372" s="186"/>
      <c r="C372" s="276"/>
      <c r="D372" s="34">
        <f>D311+D315+D316+D317+D318+D348+D357+D363+D371</f>
        <v>102200</v>
      </c>
      <c r="E372" s="34">
        <f>E311+E315+E316+E317+E318+E348+E357+E363+E371</f>
        <v>0</v>
      </c>
      <c r="F372" s="34">
        <f>F311+F315+F316+F317+F318+F348+F357+F363+F371</f>
        <v>1433751.3699999999</v>
      </c>
      <c r="G372" s="34">
        <f>G311+G315+G316+G317+G318+G348+G357+G363+G371</f>
        <v>7000</v>
      </c>
      <c r="H372" s="20"/>
      <c r="I372" s="373"/>
      <c r="J372" s="924"/>
      <c r="K372" s="924"/>
      <c r="L372" s="992"/>
      <c r="M372" s="992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938"/>
      <c r="Y372" s="938"/>
      <c r="Z372" s="938"/>
      <c r="AA372" s="938"/>
      <c r="AB372" s="938"/>
      <c r="AC372" s="938"/>
      <c r="AD372" s="938"/>
      <c r="AE372" s="938"/>
      <c r="AF372" s="938"/>
      <c r="AG372" s="938"/>
    </row>
    <row r="373" spans="1:33" s="3" customFormat="1" ht="19.5" customHeight="1">
      <c r="A373" s="209"/>
      <c r="B373" s="210"/>
      <c r="C373" s="210"/>
      <c r="D373" s="27"/>
      <c r="E373" s="27"/>
      <c r="F373" s="27"/>
      <c r="G373" s="27"/>
      <c r="H373" s="20"/>
      <c r="I373" s="373"/>
      <c r="J373" s="924"/>
      <c r="K373" s="924"/>
      <c r="L373" s="992"/>
      <c r="M373" s="992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938"/>
      <c r="Y373" s="938"/>
      <c r="Z373" s="938"/>
      <c r="AA373" s="938"/>
      <c r="AB373" s="938"/>
      <c r="AC373" s="938"/>
      <c r="AD373" s="938"/>
      <c r="AE373" s="938"/>
      <c r="AF373" s="938"/>
      <c r="AG373" s="938"/>
    </row>
    <row r="374" spans="1:33" s="3" customFormat="1" ht="19.5" customHeight="1">
      <c r="A374" s="209"/>
      <c r="B374" s="210"/>
      <c r="C374" s="210"/>
      <c r="D374" s="27"/>
      <c r="E374" s="27"/>
      <c r="F374" s="27"/>
      <c r="G374" s="27"/>
      <c r="H374" s="20"/>
      <c r="I374" s="373"/>
      <c r="J374" s="924"/>
      <c r="K374" s="924"/>
      <c r="L374" s="992"/>
      <c r="M374" s="992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938"/>
      <c r="Y374" s="938"/>
      <c r="Z374" s="938"/>
      <c r="AA374" s="938"/>
      <c r="AB374" s="938"/>
      <c r="AC374" s="938"/>
      <c r="AD374" s="938"/>
      <c r="AE374" s="938"/>
      <c r="AF374" s="938"/>
      <c r="AG374" s="938"/>
    </row>
    <row r="375" spans="1:33" s="3" customFormat="1" ht="19.5" customHeight="1">
      <c r="A375" s="137"/>
      <c r="B375" s="210"/>
      <c r="C375" s="190"/>
      <c r="D375" s="16"/>
      <c r="E375" s="16"/>
      <c r="F375" s="27"/>
      <c r="G375" s="27"/>
      <c r="H375" s="20"/>
      <c r="I375" s="373"/>
      <c r="J375" s="992"/>
      <c r="K375" s="924"/>
      <c r="L375" s="992"/>
      <c r="M375" s="992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938"/>
      <c r="Y375" s="938"/>
      <c r="Z375" s="938"/>
      <c r="AA375" s="938"/>
      <c r="AB375" s="938"/>
      <c r="AC375" s="938"/>
      <c r="AD375" s="938"/>
      <c r="AE375" s="938"/>
      <c r="AF375" s="938"/>
      <c r="AG375" s="938"/>
    </row>
    <row r="376" spans="1:33" s="3" customFormat="1" ht="19.5" customHeight="1">
      <c r="A376" s="222" t="s">
        <v>24</v>
      </c>
      <c r="B376" s="189"/>
      <c r="C376" s="190"/>
      <c r="D376" s="16"/>
      <c r="E376" s="16"/>
      <c r="F376" s="27"/>
      <c r="G376" s="27"/>
      <c r="H376" s="20"/>
      <c r="I376" s="373"/>
      <c r="J376" s="992"/>
      <c r="K376" s="924"/>
      <c r="L376" s="992"/>
      <c r="M376" s="992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938"/>
      <c r="Y376" s="938"/>
      <c r="Z376" s="938"/>
      <c r="AA376" s="938"/>
      <c r="AB376" s="938"/>
      <c r="AC376" s="938"/>
      <c r="AD376" s="938"/>
      <c r="AE376" s="938"/>
      <c r="AF376" s="938"/>
      <c r="AG376" s="938"/>
    </row>
    <row r="377" spans="1:33" s="3" customFormat="1" ht="19.5" customHeight="1">
      <c r="A377" s="223" t="s">
        <v>527</v>
      </c>
      <c r="B377" s="189"/>
      <c r="C377" s="224"/>
      <c r="D377" s="22"/>
      <c r="E377" s="16"/>
      <c r="F377" s="27"/>
      <c r="G377" s="27"/>
      <c r="H377" s="20"/>
      <c r="I377" s="373"/>
      <c r="J377" s="992"/>
      <c r="K377" s="924"/>
      <c r="L377" s="992"/>
      <c r="M377" s="992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938"/>
      <c r="Y377" s="938"/>
      <c r="Z377" s="938"/>
      <c r="AA377" s="938"/>
      <c r="AB377" s="938"/>
      <c r="AC377" s="938"/>
      <c r="AD377" s="938"/>
      <c r="AE377" s="938"/>
      <c r="AF377" s="938"/>
      <c r="AG377" s="938"/>
    </row>
    <row r="378" spans="1:33" s="3" customFormat="1" ht="19.5" customHeight="1">
      <c r="A378" s="222"/>
      <c r="B378" s="189"/>
      <c r="C378" s="224"/>
      <c r="D378" s="22"/>
      <c r="E378" s="16"/>
      <c r="F378" s="27"/>
      <c r="G378" s="27"/>
      <c r="H378" s="20"/>
      <c r="I378" s="373"/>
      <c r="J378" s="992"/>
      <c r="K378" s="924"/>
      <c r="L378" s="992"/>
      <c r="M378" s="992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938"/>
      <c r="Y378" s="938"/>
      <c r="Z378" s="938"/>
      <c r="AA378" s="938"/>
      <c r="AB378" s="938"/>
      <c r="AC378" s="938"/>
      <c r="AD378" s="938"/>
      <c r="AE378" s="938"/>
      <c r="AF378" s="938"/>
      <c r="AG378" s="938"/>
    </row>
    <row r="379" spans="1:33" s="3" customFormat="1" ht="19.5" customHeight="1">
      <c r="A379" s="225" t="s">
        <v>389</v>
      </c>
      <c r="B379" s="226"/>
      <c r="C379" s="210"/>
      <c r="D379" s="89"/>
      <c r="E379" s="89"/>
      <c r="F379" s="89"/>
      <c r="G379" s="89"/>
      <c r="H379" s="90"/>
      <c r="I379" s="373"/>
      <c r="J379" s="998"/>
      <c r="K379" s="924"/>
      <c r="L379" s="998"/>
      <c r="M379" s="998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938"/>
      <c r="Y379" s="938"/>
      <c r="Z379" s="938"/>
      <c r="AA379" s="938"/>
      <c r="AB379" s="938"/>
      <c r="AC379" s="938"/>
      <c r="AD379" s="938"/>
      <c r="AE379" s="938"/>
      <c r="AF379" s="938"/>
      <c r="AG379" s="938"/>
    </row>
    <row r="380" spans="1:33" s="3" customFormat="1" ht="19.5" customHeight="1">
      <c r="A380" s="137"/>
      <c r="B380" s="210"/>
      <c r="C380" s="210"/>
      <c r="D380" s="89"/>
      <c r="E380" s="89"/>
      <c r="F380" s="89"/>
      <c r="G380" s="89"/>
      <c r="H380" s="90"/>
      <c r="I380" s="373"/>
      <c r="J380" s="998"/>
      <c r="K380" s="924"/>
      <c r="L380" s="998"/>
      <c r="M380" s="998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938"/>
      <c r="Y380" s="938"/>
      <c r="Z380" s="938"/>
      <c r="AA380" s="938"/>
      <c r="AB380" s="938"/>
      <c r="AC380" s="938"/>
      <c r="AD380" s="938"/>
      <c r="AE380" s="938"/>
      <c r="AF380" s="938"/>
      <c r="AG380" s="938"/>
    </row>
    <row r="381" spans="1:33" s="3" customFormat="1" ht="19.5" customHeight="1">
      <c r="A381" s="227" t="s">
        <v>360</v>
      </c>
      <c r="B381" s="226"/>
      <c r="C381" s="228"/>
      <c r="D381" s="89"/>
      <c r="E381" s="89"/>
      <c r="F381" s="89"/>
      <c r="G381" s="89"/>
      <c r="H381" s="91">
        <f>H383+H398+H402+H410+H423+H430+H448+H453</f>
        <v>12189595</v>
      </c>
      <c r="I381" s="373"/>
      <c r="J381" s="998"/>
      <c r="K381" s="924"/>
      <c r="L381" s="998"/>
      <c r="M381" s="998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938"/>
      <c r="Y381" s="938"/>
      <c r="Z381" s="938"/>
      <c r="AA381" s="938"/>
      <c r="AB381" s="938"/>
      <c r="AC381" s="938"/>
      <c r="AD381" s="938"/>
      <c r="AE381" s="938"/>
      <c r="AF381" s="938"/>
      <c r="AG381" s="938"/>
    </row>
    <row r="382" spans="1:33" s="3" customFormat="1" ht="19.5" customHeight="1">
      <c r="A382" s="137" t="s">
        <v>319</v>
      </c>
      <c r="B382" s="229"/>
      <c r="C382" s="230"/>
      <c r="D382" s="22"/>
      <c r="E382" s="16"/>
      <c r="F382" s="27"/>
      <c r="G382" s="27"/>
      <c r="H382" s="90"/>
      <c r="I382" s="373"/>
      <c r="J382" s="992"/>
      <c r="K382" s="924"/>
      <c r="L382" s="992"/>
      <c r="M382" s="992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938"/>
      <c r="Y382" s="938"/>
      <c r="Z382" s="938"/>
      <c r="AA382" s="938"/>
      <c r="AB382" s="938"/>
      <c r="AC382" s="938"/>
      <c r="AD382" s="938"/>
      <c r="AE382" s="938"/>
      <c r="AF382" s="938"/>
      <c r="AG382" s="938"/>
    </row>
    <row r="383" spans="1:33" s="3" customFormat="1" ht="19.5" customHeight="1">
      <c r="A383" s="191" t="s">
        <v>542</v>
      </c>
      <c r="B383" s="221"/>
      <c r="C383" s="230"/>
      <c r="D383" s="22"/>
      <c r="E383" s="16"/>
      <c r="F383" s="27"/>
      <c r="G383" s="27"/>
      <c r="H383" s="25">
        <f>H385+H386+H387+H389+H391+H393+H395+H396</f>
        <v>3244566</v>
      </c>
      <c r="I383" s="373"/>
      <c r="J383" s="992"/>
      <c r="K383" s="924"/>
      <c r="L383" s="992"/>
      <c r="M383" s="992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938"/>
      <c r="Y383" s="938"/>
      <c r="Z383" s="938"/>
      <c r="AA383" s="938"/>
      <c r="AB383" s="938"/>
      <c r="AC383" s="938"/>
      <c r="AD383" s="938"/>
      <c r="AE383" s="938"/>
      <c r="AF383" s="938"/>
      <c r="AG383" s="938"/>
    </row>
    <row r="384" spans="1:33" s="3" customFormat="1" ht="19.5" customHeight="1">
      <c r="A384" s="191" t="s">
        <v>319</v>
      </c>
      <c r="B384" s="221"/>
      <c r="C384" s="230"/>
      <c r="D384" s="22"/>
      <c r="E384" s="16"/>
      <c r="F384" s="27"/>
      <c r="G384" s="27"/>
      <c r="H384" s="25"/>
      <c r="I384" s="373"/>
      <c r="J384" s="992"/>
      <c r="K384" s="924"/>
      <c r="L384" s="992"/>
      <c r="M384" s="992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938"/>
      <c r="Y384" s="938"/>
      <c r="Z384" s="938"/>
      <c r="AA384" s="938"/>
      <c r="AB384" s="938"/>
      <c r="AC384" s="938"/>
      <c r="AD384" s="938"/>
      <c r="AE384" s="938"/>
      <c r="AF384" s="938"/>
      <c r="AG384" s="938"/>
    </row>
    <row r="385" spans="1:33" s="3" customFormat="1" ht="19.5" customHeight="1">
      <c r="A385" s="191"/>
      <c r="B385" s="221" t="s">
        <v>438</v>
      </c>
      <c r="C385" s="230"/>
      <c r="D385" s="22"/>
      <c r="E385" s="16"/>
      <c r="F385" s="27"/>
      <c r="G385" s="27"/>
      <c r="H385" s="90">
        <v>32121</v>
      </c>
      <c r="I385" s="373"/>
      <c r="J385" s="992"/>
      <c r="K385" s="924"/>
      <c r="L385" s="992"/>
      <c r="M385" s="992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938"/>
      <c r="Y385" s="938"/>
      <c r="Z385" s="938"/>
      <c r="AA385" s="938"/>
      <c r="AB385" s="938"/>
      <c r="AC385" s="938"/>
      <c r="AD385" s="938"/>
      <c r="AE385" s="938"/>
      <c r="AF385" s="938"/>
      <c r="AG385" s="938"/>
    </row>
    <row r="386" spans="1:33" s="3" customFormat="1" ht="19.5" customHeight="1">
      <c r="A386" s="191"/>
      <c r="B386" s="221" t="s">
        <v>114</v>
      </c>
      <c r="C386" s="230"/>
      <c r="D386" s="22"/>
      <c r="E386" s="16"/>
      <c r="F386" s="27"/>
      <c r="G386" s="27"/>
      <c r="H386" s="90">
        <f>23450+18995</f>
        <v>42445</v>
      </c>
      <c r="I386" s="373"/>
      <c r="J386" s="992"/>
      <c r="K386" s="924"/>
      <c r="L386" s="992"/>
      <c r="M386" s="992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938"/>
      <c r="Y386" s="938"/>
      <c r="Z386" s="938"/>
      <c r="AA386" s="938"/>
      <c r="AB386" s="938"/>
      <c r="AC386" s="938"/>
      <c r="AD386" s="938"/>
      <c r="AE386" s="938"/>
      <c r="AF386" s="938"/>
      <c r="AG386" s="938"/>
    </row>
    <row r="387" spans="1:33" s="3" customFormat="1" ht="19.5" customHeight="1">
      <c r="A387" s="191"/>
      <c r="B387" s="221" t="s">
        <v>181</v>
      </c>
      <c r="C387" s="230"/>
      <c r="D387" s="22"/>
      <c r="E387" s="16"/>
      <c r="F387" s="27"/>
      <c r="G387" s="27"/>
      <c r="H387" s="90">
        <v>300000</v>
      </c>
      <c r="I387" s="373"/>
      <c r="J387" s="992"/>
      <c r="K387" s="924"/>
      <c r="L387" s="992"/>
      <c r="M387" s="992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938"/>
      <c r="Y387" s="938"/>
      <c r="Z387" s="938"/>
      <c r="AA387" s="938"/>
      <c r="AB387" s="938"/>
      <c r="AC387" s="938"/>
      <c r="AD387" s="938"/>
      <c r="AE387" s="938"/>
      <c r="AF387" s="938"/>
      <c r="AG387" s="938"/>
    </row>
    <row r="388" spans="1:33" s="3" customFormat="1" ht="19.5" customHeight="1">
      <c r="A388" s="191"/>
      <c r="B388" s="221" t="s">
        <v>202</v>
      </c>
      <c r="C388" s="230"/>
      <c r="D388" s="22"/>
      <c r="E388" s="16"/>
      <c r="F388" s="27"/>
      <c r="G388" s="27"/>
      <c r="H388" s="90"/>
      <c r="I388" s="373"/>
      <c r="J388" s="992"/>
      <c r="K388" s="924"/>
      <c r="L388" s="992"/>
      <c r="M388" s="992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938"/>
      <c r="Y388" s="938"/>
      <c r="Z388" s="938"/>
      <c r="AA388" s="938"/>
      <c r="AB388" s="938"/>
      <c r="AC388" s="938"/>
      <c r="AD388" s="938"/>
      <c r="AE388" s="938"/>
      <c r="AF388" s="938"/>
      <c r="AG388" s="938"/>
    </row>
    <row r="389" spans="1:33" s="3" customFormat="1" ht="19.5" customHeight="1">
      <c r="A389" s="191"/>
      <c r="B389" s="221" t="s">
        <v>199</v>
      </c>
      <c r="C389" s="230"/>
      <c r="D389" s="22"/>
      <c r="E389" s="16"/>
      <c r="F389" s="27"/>
      <c r="G389" s="27"/>
      <c r="H389" s="90">
        <v>70000</v>
      </c>
      <c r="I389" s="373"/>
      <c r="J389" s="992"/>
      <c r="K389" s="924"/>
      <c r="L389" s="992"/>
      <c r="M389" s="992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938"/>
      <c r="Y389" s="938"/>
      <c r="Z389" s="938"/>
      <c r="AA389" s="938"/>
      <c r="AB389" s="938"/>
      <c r="AC389" s="938"/>
      <c r="AD389" s="938"/>
      <c r="AE389" s="938"/>
      <c r="AF389" s="938"/>
      <c r="AG389" s="938"/>
    </row>
    <row r="390" spans="1:33" s="3" customFormat="1" ht="19.5" customHeight="1">
      <c r="A390" s="191"/>
      <c r="B390" s="221" t="s">
        <v>227</v>
      </c>
      <c r="C390" s="230"/>
      <c r="D390" s="22"/>
      <c r="E390" s="16"/>
      <c r="F390" s="27"/>
      <c r="G390" s="27"/>
      <c r="H390" s="90"/>
      <c r="I390" s="373"/>
      <c r="J390" s="992"/>
      <c r="K390" s="924"/>
      <c r="L390" s="992"/>
      <c r="M390" s="992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938"/>
      <c r="Y390" s="938"/>
      <c r="Z390" s="938"/>
      <c r="AA390" s="938"/>
      <c r="AB390" s="938"/>
      <c r="AC390" s="938"/>
      <c r="AD390" s="938"/>
      <c r="AE390" s="938"/>
      <c r="AF390" s="938"/>
      <c r="AG390" s="938"/>
    </row>
    <row r="391" spans="1:33" s="3" customFormat="1" ht="19.5" customHeight="1">
      <c r="A391" s="191"/>
      <c r="B391" s="221" t="s">
        <v>203</v>
      </c>
      <c r="C391" s="230"/>
      <c r="D391" s="22"/>
      <c r="E391" s="16"/>
      <c r="F391" s="27"/>
      <c r="G391" s="27"/>
      <c r="H391" s="90">
        <v>60000</v>
      </c>
      <c r="I391" s="373"/>
      <c r="J391" s="992"/>
      <c r="K391" s="924"/>
      <c r="L391" s="992"/>
      <c r="M391" s="992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938"/>
      <c r="Y391" s="938"/>
      <c r="Z391" s="938"/>
      <c r="AA391" s="938"/>
      <c r="AB391" s="938"/>
      <c r="AC391" s="938"/>
      <c r="AD391" s="938"/>
      <c r="AE391" s="938"/>
      <c r="AF391" s="938"/>
      <c r="AG391" s="938"/>
    </row>
    <row r="392" spans="1:33" s="3" customFormat="1" ht="19.5" customHeight="1">
      <c r="A392" s="191"/>
      <c r="B392" s="221" t="s">
        <v>204</v>
      </c>
      <c r="C392" s="230"/>
      <c r="D392" s="22"/>
      <c r="E392" s="16"/>
      <c r="F392" s="27"/>
      <c r="G392" s="27"/>
      <c r="H392" s="90"/>
      <c r="I392" s="373"/>
      <c r="J392" s="992"/>
      <c r="K392" s="924"/>
      <c r="L392" s="992"/>
      <c r="M392" s="992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938"/>
      <c r="Y392" s="938"/>
      <c r="Z392" s="938"/>
      <c r="AA392" s="938"/>
      <c r="AB392" s="938"/>
      <c r="AC392" s="938"/>
      <c r="AD392" s="938"/>
      <c r="AE392" s="938"/>
      <c r="AF392" s="938"/>
      <c r="AG392" s="938"/>
    </row>
    <row r="393" spans="1:33" s="3" customFormat="1" ht="19.5" customHeight="1">
      <c r="A393" s="191"/>
      <c r="B393" s="221" t="s">
        <v>205</v>
      </c>
      <c r="C393" s="230"/>
      <c r="D393" s="22"/>
      <c r="E393" s="16"/>
      <c r="F393" s="27"/>
      <c r="G393" s="27"/>
      <c r="H393" s="90">
        <v>20000</v>
      </c>
      <c r="I393" s="373"/>
      <c r="J393" s="992"/>
      <c r="K393" s="924"/>
      <c r="L393" s="992"/>
      <c r="M393" s="992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938"/>
      <c r="Y393" s="938"/>
      <c r="Z393" s="938"/>
      <c r="AA393" s="938"/>
      <c r="AB393" s="938"/>
      <c r="AC393" s="938"/>
      <c r="AD393" s="938"/>
      <c r="AE393" s="938"/>
      <c r="AF393" s="938"/>
      <c r="AG393" s="938"/>
    </row>
    <row r="394" spans="1:33" s="3" customFormat="1" ht="19.5" customHeight="1">
      <c r="A394" s="191"/>
      <c r="B394" s="221" t="s">
        <v>206</v>
      </c>
      <c r="C394" s="230"/>
      <c r="D394" s="22"/>
      <c r="E394" s="16"/>
      <c r="F394" s="27"/>
      <c r="G394" s="27"/>
      <c r="H394" s="90"/>
      <c r="I394" s="373"/>
      <c r="J394" s="992"/>
      <c r="K394" s="924"/>
      <c r="L394" s="992"/>
      <c r="M394" s="992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938"/>
      <c r="Y394" s="938"/>
      <c r="Z394" s="938"/>
      <c r="AA394" s="938"/>
      <c r="AB394" s="938"/>
      <c r="AC394" s="938"/>
      <c r="AD394" s="938"/>
      <c r="AE394" s="938"/>
      <c r="AF394" s="938"/>
      <c r="AG394" s="938"/>
    </row>
    <row r="395" spans="1:33" s="3" customFormat="1" ht="19.5" customHeight="1">
      <c r="A395" s="191"/>
      <c r="B395" s="221" t="s">
        <v>207</v>
      </c>
      <c r="C395" s="230"/>
      <c r="D395" s="22"/>
      <c r="E395" s="16"/>
      <c r="F395" s="27"/>
      <c r="G395" s="27"/>
      <c r="H395" s="90">
        <v>220000</v>
      </c>
      <c r="I395" s="373"/>
      <c r="J395" s="992"/>
      <c r="K395" s="924"/>
      <c r="L395" s="992"/>
      <c r="M395" s="992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938"/>
      <c r="Y395" s="938"/>
      <c r="Z395" s="938"/>
      <c r="AA395" s="938"/>
      <c r="AB395" s="938"/>
      <c r="AC395" s="938"/>
      <c r="AD395" s="938"/>
      <c r="AE395" s="938"/>
      <c r="AF395" s="938"/>
      <c r="AG395" s="938"/>
    </row>
    <row r="396" spans="1:33" s="3" customFormat="1" ht="19.5" customHeight="1">
      <c r="A396" s="191"/>
      <c r="B396" s="221" t="s">
        <v>525</v>
      </c>
      <c r="C396" s="230"/>
      <c r="D396" s="22"/>
      <c r="E396" s="16"/>
      <c r="F396" s="27"/>
      <c r="G396" s="27"/>
      <c r="H396" s="90">
        <v>2500000</v>
      </c>
      <c r="I396" s="373"/>
      <c r="J396" s="992"/>
      <c r="K396" s="924"/>
      <c r="L396" s="992"/>
      <c r="M396" s="992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938"/>
      <c r="Y396" s="938"/>
      <c r="Z396" s="938"/>
      <c r="AA396" s="938"/>
      <c r="AB396" s="938"/>
      <c r="AC396" s="938"/>
      <c r="AD396" s="938"/>
      <c r="AE396" s="938"/>
      <c r="AF396" s="938"/>
      <c r="AG396" s="938"/>
    </row>
    <row r="397" spans="1:33" s="3" customFormat="1" ht="19.5" customHeight="1">
      <c r="A397" s="191"/>
      <c r="B397" s="221"/>
      <c r="C397" s="230"/>
      <c r="D397" s="22"/>
      <c r="E397" s="16"/>
      <c r="F397" s="27"/>
      <c r="G397" s="27"/>
      <c r="H397" s="90"/>
      <c r="I397" s="373"/>
      <c r="J397" s="992"/>
      <c r="K397" s="924"/>
      <c r="L397" s="992"/>
      <c r="M397" s="992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938"/>
      <c r="Y397" s="938"/>
      <c r="Z397" s="938"/>
      <c r="AA397" s="938"/>
      <c r="AB397" s="938"/>
      <c r="AC397" s="938"/>
      <c r="AD397" s="938"/>
      <c r="AE397" s="938"/>
      <c r="AF397" s="938"/>
      <c r="AG397" s="938"/>
    </row>
    <row r="398" spans="1:33" s="3" customFormat="1" ht="19.5" customHeight="1">
      <c r="A398" s="191" t="s">
        <v>209</v>
      </c>
      <c r="B398" s="221"/>
      <c r="C398" s="230"/>
      <c r="D398" s="22"/>
      <c r="E398" s="16"/>
      <c r="F398" s="27"/>
      <c r="G398" s="27"/>
      <c r="H398" s="25">
        <f>H400</f>
        <v>60000</v>
      </c>
      <c r="I398" s="373"/>
      <c r="J398" s="992"/>
      <c r="K398" s="924"/>
      <c r="L398" s="992"/>
      <c r="M398" s="992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938"/>
      <c r="Y398" s="938"/>
      <c r="Z398" s="938"/>
      <c r="AA398" s="938"/>
      <c r="AB398" s="938"/>
      <c r="AC398" s="938"/>
      <c r="AD398" s="938"/>
      <c r="AE398" s="938"/>
      <c r="AF398" s="938"/>
      <c r="AG398" s="938"/>
    </row>
    <row r="399" spans="1:33" s="3" customFormat="1" ht="19.5" customHeight="1">
      <c r="A399" s="191" t="s">
        <v>319</v>
      </c>
      <c r="B399" s="221"/>
      <c r="C399" s="230"/>
      <c r="D399" s="22"/>
      <c r="E399" s="16"/>
      <c r="F399" s="27"/>
      <c r="G399" s="27"/>
      <c r="H399" s="90"/>
      <c r="I399" s="373"/>
      <c r="J399" s="992"/>
      <c r="K399" s="924"/>
      <c r="L399" s="992"/>
      <c r="M399" s="992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938"/>
      <c r="Y399" s="938"/>
      <c r="Z399" s="938"/>
      <c r="AA399" s="938"/>
      <c r="AB399" s="938"/>
      <c r="AC399" s="938"/>
      <c r="AD399" s="938"/>
      <c r="AE399" s="938"/>
      <c r="AF399" s="938"/>
      <c r="AG399" s="938"/>
    </row>
    <row r="400" spans="1:33" s="3" customFormat="1" ht="19.5" customHeight="1">
      <c r="A400" s="191"/>
      <c r="B400" s="221" t="s">
        <v>208</v>
      </c>
      <c r="C400" s="230"/>
      <c r="D400" s="22"/>
      <c r="E400" s="16"/>
      <c r="F400" s="27"/>
      <c r="G400" s="27"/>
      <c r="H400" s="90">
        <v>60000</v>
      </c>
      <c r="I400" s="373"/>
      <c r="J400" s="992"/>
      <c r="K400" s="924"/>
      <c r="L400" s="992"/>
      <c r="M400" s="992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938"/>
      <c r="Y400" s="938"/>
      <c r="Z400" s="938"/>
      <c r="AA400" s="938"/>
      <c r="AB400" s="938"/>
      <c r="AC400" s="938"/>
      <c r="AD400" s="938"/>
      <c r="AE400" s="938"/>
      <c r="AF400" s="938"/>
      <c r="AG400" s="938"/>
    </row>
    <row r="401" spans="1:33" s="3" customFormat="1" ht="19.5" customHeight="1">
      <c r="A401" s="191"/>
      <c r="B401" s="221"/>
      <c r="C401" s="230"/>
      <c r="D401" s="22"/>
      <c r="E401" s="16"/>
      <c r="F401" s="27"/>
      <c r="G401" s="27"/>
      <c r="H401" s="90"/>
      <c r="I401" s="373"/>
      <c r="J401" s="992"/>
      <c r="K401" s="924"/>
      <c r="L401" s="992"/>
      <c r="M401" s="992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938"/>
      <c r="Y401" s="938"/>
      <c r="Z401" s="938"/>
      <c r="AA401" s="938"/>
      <c r="AB401" s="938"/>
      <c r="AC401" s="938"/>
      <c r="AD401" s="938"/>
      <c r="AE401" s="938"/>
      <c r="AF401" s="938"/>
      <c r="AG401" s="938"/>
    </row>
    <row r="402" spans="1:33" s="3" customFormat="1" ht="19.5" customHeight="1">
      <c r="A402" s="191" t="s">
        <v>128</v>
      </c>
      <c r="B402" s="221"/>
      <c r="C402" s="230"/>
      <c r="D402" s="22"/>
      <c r="E402" s="16"/>
      <c r="F402" s="27"/>
      <c r="G402" s="27"/>
      <c r="H402" s="25">
        <f>H404+H407</f>
        <v>318000</v>
      </c>
      <c r="I402" s="373"/>
      <c r="J402" s="992"/>
      <c r="K402" s="924"/>
      <c r="L402" s="992"/>
      <c r="M402" s="992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938"/>
      <c r="Y402" s="938"/>
      <c r="Z402" s="938"/>
      <c r="AA402" s="938"/>
      <c r="AB402" s="938"/>
      <c r="AC402" s="938"/>
      <c r="AD402" s="938"/>
      <c r="AE402" s="938"/>
      <c r="AF402" s="938"/>
      <c r="AG402" s="938"/>
    </row>
    <row r="403" spans="1:33" s="3" customFormat="1" ht="19.5" customHeight="1">
      <c r="A403" s="191" t="s">
        <v>319</v>
      </c>
      <c r="B403" s="221"/>
      <c r="C403" s="230"/>
      <c r="D403" s="22"/>
      <c r="E403" s="16"/>
      <c r="F403" s="27"/>
      <c r="G403" s="27"/>
      <c r="H403" s="90"/>
      <c r="I403" s="373"/>
      <c r="J403" s="992"/>
      <c r="K403" s="924"/>
      <c r="L403" s="992"/>
      <c r="M403" s="992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938"/>
      <c r="Y403" s="938"/>
      <c r="Z403" s="938"/>
      <c r="AA403" s="938"/>
      <c r="AB403" s="938"/>
      <c r="AC403" s="938"/>
      <c r="AD403" s="938"/>
      <c r="AE403" s="938"/>
      <c r="AF403" s="938"/>
      <c r="AG403" s="938"/>
    </row>
    <row r="404" spans="1:33" s="805" customFormat="1" ht="19.5" customHeight="1">
      <c r="A404" s="800"/>
      <c r="B404" s="425" t="s">
        <v>127</v>
      </c>
      <c r="C404" s="801"/>
      <c r="D404" s="802"/>
      <c r="E404" s="803"/>
      <c r="F404" s="804"/>
      <c r="G404" s="804"/>
      <c r="H404" s="91">
        <f>H405</f>
        <v>18000</v>
      </c>
      <c r="I404" s="999"/>
      <c r="J404" s="1000"/>
      <c r="K404" s="1001"/>
      <c r="L404" s="1000"/>
      <c r="M404" s="1000"/>
      <c r="N404" s="804"/>
      <c r="O404" s="804"/>
      <c r="P404" s="804"/>
      <c r="Q404" s="804"/>
      <c r="R404" s="804"/>
      <c r="S404" s="804"/>
      <c r="T404" s="804"/>
      <c r="U404" s="804"/>
      <c r="V404" s="804"/>
      <c r="W404" s="804"/>
      <c r="X404" s="1002"/>
      <c r="Y404" s="1002"/>
      <c r="Z404" s="1002"/>
      <c r="AA404" s="1002"/>
      <c r="AB404" s="1002"/>
      <c r="AC404" s="1002"/>
      <c r="AD404" s="1002"/>
      <c r="AE404" s="1002"/>
      <c r="AF404" s="1002"/>
      <c r="AG404" s="1002"/>
    </row>
    <row r="405" spans="1:33" s="3" customFormat="1" ht="19.5" customHeight="1">
      <c r="A405" s="191"/>
      <c r="B405" s="221" t="s">
        <v>126</v>
      </c>
      <c r="C405" s="230"/>
      <c r="D405" s="22"/>
      <c r="E405" s="16"/>
      <c r="F405" s="27"/>
      <c r="G405" s="27"/>
      <c r="H405" s="90">
        <v>18000</v>
      </c>
      <c r="I405" s="373"/>
      <c r="J405" s="992"/>
      <c r="K405" s="924"/>
      <c r="L405" s="992"/>
      <c r="M405" s="992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938"/>
      <c r="Y405" s="938"/>
      <c r="Z405" s="938"/>
      <c r="AA405" s="938"/>
      <c r="AB405" s="938"/>
      <c r="AC405" s="938"/>
      <c r="AD405" s="938"/>
      <c r="AE405" s="938"/>
      <c r="AF405" s="938"/>
      <c r="AG405" s="938"/>
    </row>
    <row r="406" spans="1:33" s="3" customFormat="1" ht="19.5" customHeight="1">
      <c r="A406" s="191"/>
      <c r="B406" s="221"/>
      <c r="C406" s="230"/>
      <c r="D406" s="22"/>
      <c r="E406" s="16"/>
      <c r="F406" s="27"/>
      <c r="G406" s="27"/>
      <c r="H406" s="90"/>
      <c r="I406" s="373"/>
      <c r="J406" s="992"/>
      <c r="K406" s="924"/>
      <c r="L406" s="992"/>
      <c r="M406" s="992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938"/>
      <c r="Y406" s="938"/>
      <c r="Z406" s="938"/>
      <c r="AA406" s="938"/>
      <c r="AB406" s="938"/>
      <c r="AC406" s="938"/>
      <c r="AD406" s="938"/>
      <c r="AE406" s="938"/>
      <c r="AF406" s="938"/>
      <c r="AG406" s="938"/>
    </row>
    <row r="407" spans="1:33" s="805" customFormat="1" ht="19.5" customHeight="1">
      <c r="A407" s="800"/>
      <c r="B407" s="425" t="s">
        <v>176</v>
      </c>
      <c r="C407" s="801"/>
      <c r="D407" s="802"/>
      <c r="E407" s="803"/>
      <c r="F407" s="804"/>
      <c r="G407" s="804"/>
      <c r="H407" s="91">
        <f>H408</f>
        <v>300000</v>
      </c>
      <c r="I407" s="999"/>
      <c r="J407" s="1000"/>
      <c r="K407" s="1001"/>
      <c r="L407" s="1000"/>
      <c r="M407" s="1000"/>
      <c r="N407" s="804"/>
      <c r="O407" s="804"/>
      <c r="P407" s="804"/>
      <c r="Q407" s="804"/>
      <c r="R407" s="804"/>
      <c r="S407" s="804"/>
      <c r="T407" s="804"/>
      <c r="U407" s="804"/>
      <c r="V407" s="804"/>
      <c r="W407" s="804"/>
      <c r="X407" s="1002"/>
      <c r="Y407" s="1002"/>
      <c r="Z407" s="1002"/>
      <c r="AA407" s="1002"/>
      <c r="AB407" s="1002"/>
      <c r="AC407" s="1002"/>
      <c r="AD407" s="1002"/>
      <c r="AE407" s="1002"/>
      <c r="AF407" s="1002"/>
      <c r="AG407" s="1002"/>
    </row>
    <row r="408" spans="1:33" s="3" customFormat="1" ht="19.5" customHeight="1">
      <c r="A408" s="191"/>
      <c r="B408" s="221" t="s">
        <v>445</v>
      </c>
      <c r="C408" s="230"/>
      <c r="D408" s="22"/>
      <c r="E408" s="16"/>
      <c r="F408" s="27"/>
      <c r="G408" s="27"/>
      <c r="H408" s="90">
        <v>300000</v>
      </c>
      <c r="I408" s="373"/>
      <c r="J408" s="992"/>
      <c r="K408" s="924"/>
      <c r="L408" s="992"/>
      <c r="M408" s="992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938"/>
      <c r="Y408" s="938"/>
      <c r="Z408" s="938"/>
      <c r="AA408" s="938"/>
      <c r="AB408" s="938"/>
      <c r="AC408" s="938"/>
      <c r="AD408" s="938"/>
      <c r="AE408" s="938"/>
      <c r="AF408" s="938"/>
      <c r="AG408" s="938"/>
    </row>
    <row r="409" spans="1:33" s="3" customFormat="1" ht="19.5" customHeight="1">
      <c r="A409" s="191"/>
      <c r="B409" s="221"/>
      <c r="C409" s="230"/>
      <c r="D409" s="22"/>
      <c r="E409" s="16"/>
      <c r="F409" s="27"/>
      <c r="G409" s="27"/>
      <c r="H409" s="90"/>
      <c r="I409" s="373"/>
      <c r="J409" s="992"/>
      <c r="K409" s="924"/>
      <c r="L409" s="992"/>
      <c r="M409" s="992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938"/>
      <c r="Y409" s="938"/>
      <c r="Z409" s="938"/>
      <c r="AA409" s="938"/>
      <c r="AB409" s="938"/>
      <c r="AC409" s="938"/>
      <c r="AD409" s="938"/>
      <c r="AE409" s="938"/>
      <c r="AF409" s="938"/>
      <c r="AG409" s="938"/>
    </row>
    <row r="410" spans="1:33" s="3" customFormat="1" ht="19.5" customHeight="1">
      <c r="A410" s="191" t="s">
        <v>239</v>
      </c>
      <c r="B410" s="221"/>
      <c r="C410" s="230"/>
      <c r="D410" s="22"/>
      <c r="E410" s="16"/>
      <c r="F410" s="27"/>
      <c r="G410" s="27"/>
      <c r="H410" s="25">
        <f>H412+H415+H420</f>
        <v>325000</v>
      </c>
      <c r="I410" s="373"/>
      <c r="J410" s="992"/>
      <c r="K410" s="924"/>
      <c r="L410" s="992"/>
      <c r="M410" s="992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938"/>
      <c r="Y410" s="938"/>
      <c r="Z410" s="938"/>
      <c r="AA410" s="938"/>
      <c r="AB410" s="938"/>
      <c r="AC410" s="938"/>
      <c r="AD410" s="938"/>
      <c r="AE410" s="938"/>
      <c r="AF410" s="938"/>
      <c r="AG410" s="938"/>
    </row>
    <row r="411" spans="1:33" s="3" customFormat="1" ht="19.5" customHeight="1">
      <c r="A411" s="191" t="s">
        <v>319</v>
      </c>
      <c r="B411" s="221"/>
      <c r="C411" s="230"/>
      <c r="D411" s="22"/>
      <c r="E411" s="16"/>
      <c r="F411" s="27"/>
      <c r="G411" s="27"/>
      <c r="H411" s="90"/>
      <c r="I411" s="373"/>
      <c r="J411" s="992"/>
      <c r="K411" s="924"/>
      <c r="L411" s="992"/>
      <c r="M411" s="992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938"/>
      <c r="Y411" s="938"/>
      <c r="Z411" s="938"/>
      <c r="AA411" s="938"/>
      <c r="AB411" s="938"/>
      <c r="AC411" s="938"/>
      <c r="AD411" s="938"/>
      <c r="AE411" s="938"/>
      <c r="AF411" s="938"/>
      <c r="AG411" s="938"/>
    </row>
    <row r="412" spans="1:33" s="3" customFormat="1" ht="19.5" customHeight="1">
      <c r="A412" s="191"/>
      <c r="B412" s="191" t="s">
        <v>240</v>
      </c>
      <c r="C412" s="230"/>
      <c r="D412" s="22"/>
      <c r="E412" s="16"/>
      <c r="F412" s="27"/>
      <c r="G412" s="27"/>
      <c r="H412" s="25">
        <f>H413</f>
        <v>60000</v>
      </c>
      <c r="I412" s="373"/>
      <c r="J412" s="992"/>
      <c r="K412" s="924"/>
      <c r="L412" s="992"/>
      <c r="M412" s="992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938"/>
      <c r="Y412" s="938"/>
      <c r="Z412" s="938"/>
      <c r="AA412" s="938"/>
      <c r="AB412" s="938"/>
      <c r="AC412" s="938"/>
      <c r="AD412" s="938"/>
      <c r="AE412" s="938"/>
      <c r="AF412" s="938"/>
      <c r="AG412" s="938"/>
    </row>
    <row r="413" spans="1:33" s="3" customFormat="1" ht="19.5" customHeight="1">
      <c r="A413" s="191"/>
      <c r="B413" s="221" t="s">
        <v>189</v>
      </c>
      <c r="C413" s="230"/>
      <c r="D413" s="22"/>
      <c r="E413" s="16"/>
      <c r="F413" s="27"/>
      <c r="G413" s="27"/>
      <c r="H413" s="90">
        <v>60000</v>
      </c>
      <c r="I413" s="373"/>
      <c r="J413" s="992"/>
      <c r="K413" s="924"/>
      <c r="L413" s="992"/>
      <c r="M413" s="992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938"/>
      <c r="Y413" s="938"/>
      <c r="Z413" s="938"/>
      <c r="AA413" s="938"/>
      <c r="AB413" s="938"/>
      <c r="AC413" s="938"/>
      <c r="AD413" s="938"/>
      <c r="AE413" s="938"/>
      <c r="AF413" s="938"/>
      <c r="AG413" s="938"/>
    </row>
    <row r="414" spans="1:33" s="3" customFormat="1" ht="19.5" customHeight="1">
      <c r="A414" s="191"/>
      <c r="B414" s="221"/>
      <c r="C414" s="230"/>
      <c r="D414" s="22"/>
      <c r="E414" s="16"/>
      <c r="F414" s="27"/>
      <c r="G414" s="27"/>
      <c r="H414" s="90"/>
      <c r="I414" s="373"/>
      <c r="J414" s="992"/>
      <c r="K414" s="924"/>
      <c r="L414" s="992"/>
      <c r="M414" s="992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938"/>
      <c r="Y414" s="938"/>
      <c r="Z414" s="938"/>
      <c r="AA414" s="938"/>
      <c r="AB414" s="938"/>
      <c r="AC414" s="938"/>
      <c r="AD414" s="938"/>
      <c r="AE414" s="938"/>
      <c r="AF414" s="938"/>
      <c r="AG414" s="938"/>
    </row>
    <row r="415" spans="1:33" s="3" customFormat="1" ht="19.5" customHeight="1">
      <c r="A415" s="191"/>
      <c r="B415" s="191" t="s">
        <v>241</v>
      </c>
      <c r="C415" s="230"/>
      <c r="D415" s="22"/>
      <c r="E415" s="16"/>
      <c r="F415" s="27"/>
      <c r="G415" s="27"/>
      <c r="H415" s="25">
        <f>H416+H417+H418</f>
        <v>45000</v>
      </c>
      <c r="I415" s="373"/>
      <c r="J415" s="992"/>
      <c r="K415" s="924"/>
      <c r="L415" s="992"/>
      <c r="M415" s="992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938"/>
      <c r="Y415" s="938"/>
      <c r="Z415" s="938"/>
      <c r="AA415" s="938"/>
      <c r="AB415" s="938"/>
      <c r="AC415" s="938"/>
      <c r="AD415" s="938"/>
      <c r="AE415" s="938"/>
      <c r="AF415" s="938"/>
      <c r="AG415" s="938"/>
    </row>
    <row r="416" spans="1:33" s="3" customFormat="1" ht="19.5" customHeight="1">
      <c r="A416" s="191"/>
      <c r="B416" s="221" t="s">
        <v>190</v>
      </c>
      <c r="C416" s="230"/>
      <c r="D416" s="22"/>
      <c r="E416" s="16"/>
      <c r="F416" s="27"/>
      <c r="G416" s="27"/>
      <c r="H416" s="90">
        <v>20000</v>
      </c>
      <c r="I416" s="373"/>
      <c r="J416" s="992"/>
      <c r="K416" s="924"/>
      <c r="L416" s="992"/>
      <c r="M416" s="992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938"/>
      <c r="Y416" s="938"/>
      <c r="Z416" s="938"/>
      <c r="AA416" s="938"/>
      <c r="AB416" s="938"/>
      <c r="AC416" s="938"/>
      <c r="AD416" s="938"/>
      <c r="AE416" s="938"/>
      <c r="AF416" s="938"/>
      <c r="AG416" s="938"/>
    </row>
    <row r="417" spans="1:33" s="3" customFormat="1" ht="19.5" customHeight="1">
      <c r="A417" s="191"/>
      <c r="B417" s="221" t="s">
        <v>191</v>
      </c>
      <c r="C417" s="230"/>
      <c r="D417" s="22"/>
      <c r="E417" s="16"/>
      <c r="F417" s="27"/>
      <c r="G417" s="27"/>
      <c r="H417" s="90">
        <v>20000</v>
      </c>
      <c r="I417" s="373"/>
      <c r="J417" s="992"/>
      <c r="K417" s="924"/>
      <c r="L417" s="992"/>
      <c r="M417" s="992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938"/>
      <c r="Y417" s="938"/>
      <c r="Z417" s="938"/>
      <c r="AA417" s="938"/>
      <c r="AB417" s="938"/>
      <c r="AC417" s="938"/>
      <c r="AD417" s="938"/>
      <c r="AE417" s="938"/>
      <c r="AF417" s="938"/>
      <c r="AG417" s="938"/>
    </row>
    <row r="418" spans="1:33" s="3" customFormat="1" ht="19.5" customHeight="1">
      <c r="A418" s="191"/>
      <c r="B418" s="221" t="s">
        <v>225</v>
      </c>
      <c r="C418" s="230"/>
      <c r="D418" s="22"/>
      <c r="E418" s="16"/>
      <c r="F418" s="27"/>
      <c r="G418" s="27"/>
      <c r="H418" s="90">
        <v>5000</v>
      </c>
      <c r="I418" s="373"/>
      <c r="J418" s="992"/>
      <c r="K418" s="924"/>
      <c r="L418" s="992"/>
      <c r="M418" s="992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938"/>
      <c r="Y418" s="938"/>
      <c r="Z418" s="938"/>
      <c r="AA418" s="938"/>
      <c r="AB418" s="938"/>
      <c r="AC418" s="938"/>
      <c r="AD418" s="938"/>
      <c r="AE418" s="938"/>
      <c r="AF418" s="938"/>
      <c r="AG418" s="938"/>
    </row>
    <row r="419" spans="1:33" s="3" customFormat="1" ht="19.5" customHeight="1">
      <c r="A419" s="191"/>
      <c r="B419" s="221"/>
      <c r="C419" s="230"/>
      <c r="D419" s="22"/>
      <c r="E419" s="16"/>
      <c r="F419" s="27"/>
      <c r="G419" s="27"/>
      <c r="H419" s="90"/>
      <c r="I419" s="373"/>
      <c r="J419" s="992"/>
      <c r="K419" s="924"/>
      <c r="L419" s="992"/>
      <c r="M419" s="992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938"/>
      <c r="Y419" s="938"/>
      <c r="Z419" s="938"/>
      <c r="AA419" s="938"/>
      <c r="AB419" s="938"/>
      <c r="AC419" s="938"/>
      <c r="AD419" s="938"/>
      <c r="AE419" s="938"/>
      <c r="AF419" s="938"/>
      <c r="AG419" s="938"/>
    </row>
    <row r="420" spans="1:33" s="3" customFormat="1" ht="19.5" customHeight="1">
      <c r="A420" s="191"/>
      <c r="B420" s="191" t="s">
        <v>242</v>
      </c>
      <c r="C420" s="230"/>
      <c r="D420" s="22"/>
      <c r="E420" s="16"/>
      <c r="F420" s="27"/>
      <c r="G420" s="27"/>
      <c r="H420" s="25">
        <f>H421</f>
        <v>220000</v>
      </c>
      <c r="I420" s="373"/>
      <c r="J420" s="992"/>
      <c r="K420" s="924"/>
      <c r="L420" s="992"/>
      <c r="M420" s="992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938"/>
      <c r="Y420" s="938"/>
      <c r="Z420" s="938"/>
      <c r="AA420" s="938"/>
      <c r="AB420" s="938"/>
      <c r="AC420" s="938"/>
      <c r="AD420" s="938"/>
      <c r="AE420" s="938"/>
      <c r="AF420" s="938"/>
      <c r="AG420" s="938"/>
    </row>
    <row r="421" spans="1:33" s="3" customFormat="1" ht="19.5" customHeight="1">
      <c r="A421" s="191"/>
      <c r="B421" s="221" t="s">
        <v>226</v>
      </c>
      <c r="C421" s="230"/>
      <c r="D421" s="22"/>
      <c r="E421" s="16"/>
      <c r="F421" s="27"/>
      <c r="G421" s="27"/>
      <c r="H421" s="90">
        <v>220000</v>
      </c>
      <c r="I421" s="373"/>
      <c r="J421" s="992"/>
      <c r="K421" s="924"/>
      <c r="L421" s="992"/>
      <c r="M421" s="992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938"/>
      <c r="Y421" s="938"/>
      <c r="Z421" s="938"/>
      <c r="AA421" s="938"/>
      <c r="AB421" s="938"/>
      <c r="AC421" s="938"/>
      <c r="AD421" s="938"/>
      <c r="AE421" s="938"/>
      <c r="AF421" s="938"/>
      <c r="AG421" s="938"/>
    </row>
    <row r="422" spans="1:33" s="3" customFormat="1" ht="19.5" customHeight="1">
      <c r="A422" s="191"/>
      <c r="B422" s="221"/>
      <c r="C422" s="230"/>
      <c r="D422" s="22"/>
      <c r="E422" s="16"/>
      <c r="F422" s="27"/>
      <c r="G422" s="27"/>
      <c r="H422" s="90"/>
      <c r="I422" s="373"/>
      <c r="J422" s="992"/>
      <c r="K422" s="924"/>
      <c r="L422" s="992"/>
      <c r="M422" s="992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938"/>
      <c r="Y422" s="938"/>
      <c r="Z422" s="938"/>
      <c r="AA422" s="938"/>
      <c r="AB422" s="938"/>
      <c r="AC422" s="938"/>
      <c r="AD422" s="938"/>
      <c r="AE422" s="938"/>
      <c r="AF422" s="938"/>
      <c r="AG422" s="938"/>
    </row>
    <row r="423" spans="1:33" s="3" customFormat="1" ht="19.5" customHeight="1">
      <c r="A423" s="191" t="s">
        <v>233</v>
      </c>
      <c r="B423" s="221"/>
      <c r="C423" s="230"/>
      <c r="D423" s="22"/>
      <c r="E423" s="16"/>
      <c r="F423" s="27"/>
      <c r="G423" s="27"/>
      <c r="H423" s="25">
        <f>H426+H428</f>
        <v>66553</v>
      </c>
      <c r="I423" s="373"/>
      <c r="J423" s="992"/>
      <c r="K423" s="924"/>
      <c r="L423" s="992"/>
      <c r="M423" s="992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938"/>
      <c r="Y423" s="938"/>
      <c r="Z423" s="938"/>
      <c r="AA423" s="938"/>
      <c r="AB423" s="938"/>
      <c r="AC423" s="938"/>
      <c r="AD423" s="938"/>
      <c r="AE423" s="938"/>
      <c r="AF423" s="938"/>
      <c r="AG423" s="938"/>
    </row>
    <row r="424" spans="1:33" s="3" customFormat="1" ht="19.5" customHeight="1">
      <c r="A424" s="191" t="s">
        <v>319</v>
      </c>
      <c r="B424" s="221"/>
      <c r="C424" s="230"/>
      <c r="D424" s="22"/>
      <c r="E424" s="16"/>
      <c r="F424" s="27"/>
      <c r="G424" s="27"/>
      <c r="H424" s="90"/>
      <c r="I424" s="373"/>
      <c r="J424" s="992"/>
      <c r="K424" s="924"/>
      <c r="L424" s="992"/>
      <c r="M424" s="992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938"/>
      <c r="Y424" s="938"/>
      <c r="Z424" s="938"/>
      <c r="AA424" s="938"/>
      <c r="AB424" s="938"/>
      <c r="AC424" s="938"/>
      <c r="AD424" s="938"/>
      <c r="AE424" s="938"/>
      <c r="AF424" s="938"/>
      <c r="AG424" s="938"/>
    </row>
    <row r="425" spans="1:33" s="3" customFormat="1" ht="19.5" customHeight="1">
      <c r="A425" s="191"/>
      <c r="B425" s="221" t="s">
        <v>235</v>
      </c>
      <c r="C425" s="230"/>
      <c r="D425" s="22"/>
      <c r="E425" s="16"/>
      <c r="F425" s="27"/>
      <c r="G425" s="27"/>
      <c r="H425" s="90"/>
      <c r="I425" s="373"/>
      <c r="J425" s="992"/>
      <c r="K425" s="924"/>
      <c r="L425" s="992"/>
      <c r="M425" s="992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938"/>
      <c r="Y425" s="938"/>
      <c r="Z425" s="938"/>
      <c r="AA425" s="938"/>
      <c r="AB425" s="938"/>
      <c r="AC425" s="938"/>
      <c r="AD425" s="938"/>
      <c r="AE425" s="938"/>
      <c r="AF425" s="938"/>
      <c r="AG425" s="938"/>
    </row>
    <row r="426" spans="1:33" s="3" customFormat="1" ht="19.5" customHeight="1">
      <c r="A426" s="191"/>
      <c r="B426" s="221" t="s">
        <v>236</v>
      </c>
      <c r="C426" s="230"/>
      <c r="D426" s="22"/>
      <c r="E426" s="16"/>
      <c r="F426" s="27"/>
      <c r="G426" s="27"/>
      <c r="H426" s="90">
        <v>2618</v>
      </c>
      <c r="I426" s="373"/>
      <c r="J426" s="992"/>
      <c r="K426" s="924"/>
      <c r="L426" s="992"/>
      <c r="M426" s="992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938"/>
      <c r="Y426" s="938"/>
      <c r="Z426" s="938"/>
      <c r="AA426" s="938"/>
      <c r="AB426" s="938"/>
      <c r="AC426" s="938"/>
      <c r="AD426" s="938"/>
      <c r="AE426" s="938"/>
      <c r="AF426" s="938"/>
      <c r="AG426" s="938"/>
    </row>
    <row r="427" spans="1:33" s="3" customFormat="1" ht="19.5" customHeight="1">
      <c r="A427" s="191"/>
      <c r="B427" s="221" t="s">
        <v>237</v>
      </c>
      <c r="C427" s="230"/>
      <c r="D427" s="22"/>
      <c r="E427" s="16"/>
      <c r="F427" s="27"/>
      <c r="G427" s="27"/>
      <c r="H427" s="90"/>
      <c r="I427" s="373"/>
      <c r="J427" s="992"/>
      <c r="K427" s="924"/>
      <c r="L427" s="992"/>
      <c r="M427" s="992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938"/>
      <c r="Y427" s="938"/>
      <c r="Z427" s="938"/>
      <c r="AA427" s="938"/>
      <c r="AB427" s="938"/>
      <c r="AC427" s="938"/>
      <c r="AD427" s="938"/>
      <c r="AE427" s="938"/>
      <c r="AF427" s="938"/>
      <c r="AG427" s="938"/>
    </row>
    <row r="428" spans="1:33" s="3" customFormat="1" ht="19.5" customHeight="1">
      <c r="A428" s="191"/>
      <c r="B428" s="221" t="s">
        <v>238</v>
      </c>
      <c r="C428" s="230"/>
      <c r="D428" s="22"/>
      <c r="E428" s="16"/>
      <c r="F428" s="27"/>
      <c r="G428" s="27"/>
      <c r="H428" s="90">
        <v>63935</v>
      </c>
      <c r="I428" s="373"/>
      <c r="J428" s="992"/>
      <c r="K428" s="924"/>
      <c r="L428" s="992"/>
      <c r="M428" s="992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938"/>
      <c r="Y428" s="938"/>
      <c r="Z428" s="938"/>
      <c r="AA428" s="938"/>
      <c r="AB428" s="938"/>
      <c r="AC428" s="938"/>
      <c r="AD428" s="938"/>
      <c r="AE428" s="938"/>
      <c r="AF428" s="938"/>
      <c r="AG428" s="938"/>
    </row>
    <row r="429" spans="1:33" s="3" customFormat="1" ht="19.5" customHeight="1">
      <c r="A429" s="191"/>
      <c r="B429" s="221"/>
      <c r="C429" s="230"/>
      <c r="D429" s="22"/>
      <c r="E429" s="16"/>
      <c r="F429" s="27"/>
      <c r="G429" s="27"/>
      <c r="H429" s="90"/>
      <c r="I429" s="373"/>
      <c r="J429" s="992"/>
      <c r="K429" s="924"/>
      <c r="L429" s="992"/>
      <c r="M429" s="992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938"/>
      <c r="Y429" s="938"/>
      <c r="Z429" s="938"/>
      <c r="AA429" s="938"/>
      <c r="AB429" s="938"/>
      <c r="AC429" s="938"/>
      <c r="AD429" s="938"/>
      <c r="AE429" s="938"/>
      <c r="AF429" s="938"/>
      <c r="AG429" s="938"/>
    </row>
    <row r="430" spans="1:33" s="3" customFormat="1" ht="19.5" customHeight="1">
      <c r="A430" s="191" t="s">
        <v>148</v>
      </c>
      <c r="B430" s="221"/>
      <c r="C430" s="230"/>
      <c r="D430" s="22"/>
      <c r="E430" s="16"/>
      <c r="F430" s="27"/>
      <c r="G430" s="27"/>
      <c r="H430" s="25">
        <f>H432+H438</f>
        <v>7703476</v>
      </c>
      <c r="I430" s="373"/>
      <c r="J430" s="992"/>
      <c r="K430" s="924"/>
      <c r="L430" s="992"/>
      <c r="M430" s="992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938"/>
      <c r="Y430" s="938"/>
      <c r="Z430" s="938"/>
      <c r="AA430" s="938"/>
      <c r="AB430" s="938"/>
      <c r="AC430" s="938"/>
      <c r="AD430" s="938"/>
      <c r="AE430" s="938"/>
      <c r="AF430" s="938"/>
      <c r="AG430" s="938"/>
    </row>
    <row r="431" spans="1:33" s="3" customFormat="1" ht="19.5" customHeight="1">
      <c r="A431" s="191" t="s">
        <v>319</v>
      </c>
      <c r="B431" s="221"/>
      <c r="C431" s="230"/>
      <c r="D431" s="22"/>
      <c r="E431" s="16"/>
      <c r="F431" s="27"/>
      <c r="G431" s="27"/>
      <c r="H431" s="90"/>
      <c r="I431" s="373"/>
      <c r="J431" s="992"/>
      <c r="K431" s="924"/>
      <c r="L431" s="992"/>
      <c r="M431" s="992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938"/>
      <c r="Y431" s="938"/>
      <c r="Z431" s="938"/>
      <c r="AA431" s="938"/>
      <c r="AB431" s="938"/>
      <c r="AC431" s="938"/>
      <c r="AD431" s="938"/>
      <c r="AE431" s="938"/>
      <c r="AF431" s="938"/>
      <c r="AG431" s="938"/>
    </row>
    <row r="432" spans="1:33" s="805" customFormat="1" ht="19.5" customHeight="1">
      <c r="A432" s="800" t="s">
        <v>145</v>
      </c>
      <c r="B432" s="425"/>
      <c r="C432" s="801"/>
      <c r="D432" s="802"/>
      <c r="E432" s="803"/>
      <c r="F432" s="804"/>
      <c r="G432" s="804"/>
      <c r="H432" s="91">
        <f>H434+H436</f>
        <v>30000</v>
      </c>
      <c r="I432" s="999"/>
      <c r="J432" s="1000"/>
      <c r="K432" s="1001"/>
      <c r="L432" s="1000"/>
      <c r="M432" s="1000"/>
      <c r="N432" s="804"/>
      <c r="O432" s="804"/>
      <c r="P432" s="804"/>
      <c r="Q432" s="804"/>
      <c r="R432" s="804"/>
      <c r="S432" s="804"/>
      <c r="T432" s="804"/>
      <c r="U432" s="804"/>
      <c r="V432" s="804"/>
      <c r="W432" s="804"/>
      <c r="X432" s="1002"/>
      <c r="Y432" s="1002"/>
      <c r="Z432" s="1002"/>
      <c r="AA432" s="1002"/>
      <c r="AB432" s="1002"/>
      <c r="AC432" s="1002"/>
      <c r="AD432" s="1002"/>
      <c r="AE432" s="1002"/>
      <c r="AF432" s="1002"/>
      <c r="AG432" s="1002"/>
    </row>
    <row r="433" spans="1:33" s="3" customFormat="1" ht="19.5" customHeight="1">
      <c r="A433" s="191" t="s">
        <v>17</v>
      </c>
      <c r="B433" s="221"/>
      <c r="C433" s="230"/>
      <c r="D433" s="22"/>
      <c r="E433" s="16"/>
      <c r="F433" s="27"/>
      <c r="G433" s="27"/>
      <c r="H433" s="90"/>
      <c r="I433" s="373"/>
      <c r="J433" s="992"/>
      <c r="K433" s="924"/>
      <c r="L433" s="992"/>
      <c r="M433" s="992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938"/>
      <c r="Y433" s="938"/>
      <c r="Z433" s="938"/>
      <c r="AA433" s="938"/>
      <c r="AB433" s="938"/>
      <c r="AC433" s="938"/>
      <c r="AD433" s="938"/>
      <c r="AE433" s="938"/>
      <c r="AF433" s="938"/>
      <c r="AG433" s="938"/>
    </row>
    <row r="434" spans="1:33" s="3" customFormat="1" ht="19.5" customHeight="1">
      <c r="A434" s="191"/>
      <c r="B434" s="221" t="s">
        <v>200</v>
      </c>
      <c r="C434" s="230"/>
      <c r="D434" s="22"/>
      <c r="E434" s="16"/>
      <c r="F434" s="27"/>
      <c r="G434" s="27"/>
      <c r="H434" s="90">
        <v>20000</v>
      </c>
      <c r="I434" s="373"/>
      <c r="J434" s="992"/>
      <c r="K434" s="924"/>
      <c r="L434" s="992"/>
      <c r="M434" s="992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938"/>
      <c r="Y434" s="938"/>
      <c r="Z434" s="938"/>
      <c r="AA434" s="938"/>
      <c r="AB434" s="938"/>
      <c r="AC434" s="938"/>
      <c r="AD434" s="938"/>
      <c r="AE434" s="938"/>
      <c r="AF434" s="938"/>
      <c r="AG434" s="938"/>
    </row>
    <row r="435" spans="1:33" s="3" customFormat="1" ht="19.5" customHeight="1">
      <c r="A435" s="191"/>
      <c r="B435" s="221" t="s">
        <v>192</v>
      </c>
      <c r="C435" s="230"/>
      <c r="D435" s="22"/>
      <c r="E435" s="16"/>
      <c r="F435" s="27"/>
      <c r="G435" s="27"/>
      <c r="H435" s="90"/>
      <c r="I435" s="373"/>
      <c r="J435" s="992"/>
      <c r="K435" s="924"/>
      <c r="L435" s="992"/>
      <c r="M435" s="992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938"/>
      <c r="Y435" s="938"/>
      <c r="Z435" s="938"/>
      <c r="AA435" s="938"/>
      <c r="AB435" s="938"/>
      <c r="AC435" s="938"/>
      <c r="AD435" s="938"/>
      <c r="AE435" s="938"/>
      <c r="AF435" s="938"/>
      <c r="AG435" s="938"/>
    </row>
    <row r="436" spans="1:33" s="3" customFormat="1" ht="19.5" customHeight="1">
      <c r="A436" s="191"/>
      <c r="B436" s="221" t="s">
        <v>210</v>
      </c>
      <c r="C436" s="230"/>
      <c r="D436" s="22"/>
      <c r="E436" s="16"/>
      <c r="F436" s="27"/>
      <c r="G436" s="27"/>
      <c r="H436" s="90">
        <v>10000</v>
      </c>
      <c r="I436" s="373"/>
      <c r="J436" s="992"/>
      <c r="K436" s="924"/>
      <c r="L436" s="992"/>
      <c r="M436" s="992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938"/>
      <c r="Y436" s="938"/>
      <c r="Z436" s="938"/>
      <c r="AA436" s="938"/>
      <c r="AB436" s="938"/>
      <c r="AC436" s="938"/>
      <c r="AD436" s="938"/>
      <c r="AE436" s="938"/>
      <c r="AF436" s="938"/>
      <c r="AG436" s="938"/>
    </row>
    <row r="437" spans="1:33" s="3" customFormat="1" ht="19.5" customHeight="1">
      <c r="A437" s="191"/>
      <c r="B437" s="221"/>
      <c r="C437" s="230"/>
      <c r="D437" s="22"/>
      <c r="E437" s="16"/>
      <c r="F437" s="27"/>
      <c r="G437" s="27"/>
      <c r="H437" s="90"/>
      <c r="I437" s="373"/>
      <c r="J437" s="992"/>
      <c r="K437" s="924"/>
      <c r="L437" s="992"/>
      <c r="M437" s="992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938"/>
      <c r="Y437" s="938"/>
      <c r="Z437" s="938"/>
      <c r="AA437" s="938"/>
      <c r="AB437" s="938"/>
      <c r="AC437" s="938"/>
      <c r="AD437" s="938"/>
      <c r="AE437" s="938"/>
      <c r="AF437" s="938"/>
      <c r="AG437" s="938"/>
    </row>
    <row r="438" spans="1:33" s="823" customFormat="1" ht="19.5" customHeight="1">
      <c r="A438" s="800" t="s">
        <v>146</v>
      </c>
      <c r="B438" s="821"/>
      <c r="C438" s="822"/>
      <c r="D438" s="526"/>
      <c r="E438" s="232"/>
      <c r="F438" s="804"/>
      <c r="G438" s="804"/>
      <c r="H438" s="91">
        <f>H440+H443</f>
        <v>7673476</v>
      </c>
      <c r="I438" s="999"/>
      <c r="J438" s="1000"/>
      <c r="K438" s="1001"/>
      <c r="L438" s="1000"/>
      <c r="M438" s="1000"/>
      <c r="N438" s="804"/>
      <c r="O438" s="804"/>
      <c r="P438" s="804"/>
      <c r="Q438" s="804"/>
      <c r="R438" s="804"/>
      <c r="S438" s="804"/>
      <c r="T438" s="804"/>
      <c r="U438" s="804"/>
      <c r="V438" s="804"/>
      <c r="W438" s="804"/>
      <c r="X438" s="1003"/>
      <c r="Y438" s="1003"/>
      <c r="Z438" s="1003"/>
      <c r="AA438" s="1003"/>
      <c r="AB438" s="1003"/>
      <c r="AC438" s="1003"/>
      <c r="AD438" s="1003"/>
      <c r="AE438" s="1003"/>
      <c r="AF438" s="1003"/>
      <c r="AG438" s="1003"/>
    </row>
    <row r="439" spans="1:33" s="3" customFormat="1" ht="19.5" customHeight="1">
      <c r="A439" s="191"/>
      <c r="B439" s="221" t="s">
        <v>319</v>
      </c>
      <c r="C439" s="230"/>
      <c r="D439" s="22"/>
      <c r="E439" s="16"/>
      <c r="F439" s="27"/>
      <c r="G439" s="27"/>
      <c r="H439" s="90"/>
      <c r="I439" s="373"/>
      <c r="J439" s="992"/>
      <c r="K439" s="924"/>
      <c r="L439" s="992"/>
      <c r="M439" s="992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938"/>
      <c r="Y439" s="938"/>
      <c r="Z439" s="938"/>
      <c r="AA439" s="938"/>
      <c r="AB439" s="938"/>
      <c r="AC439" s="938"/>
      <c r="AD439" s="938"/>
      <c r="AE439" s="938"/>
      <c r="AF439" s="938"/>
      <c r="AG439" s="938"/>
    </row>
    <row r="440" spans="1:33" s="805" customFormat="1" ht="19.5" customHeight="1">
      <c r="A440" s="800"/>
      <c r="B440" s="425" t="s">
        <v>147</v>
      </c>
      <c r="C440" s="801"/>
      <c r="D440" s="802"/>
      <c r="E440" s="803"/>
      <c r="F440" s="804"/>
      <c r="G440" s="804"/>
      <c r="H440" s="91">
        <f>H441</f>
        <v>3892000</v>
      </c>
      <c r="I440" s="999"/>
      <c r="J440" s="1000"/>
      <c r="K440" s="1001"/>
      <c r="L440" s="1000"/>
      <c r="M440" s="1000"/>
      <c r="N440" s="804"/>
      <c r="O440" s="804"/>
      <c r="P440" s="804"/>
      <c r="Q440" s="804"/>
      <c r="R440" s="804"/>
      <c r="S440" s="804"/>
      <c r="T440" s="804"/>
      <c r="U440" s="804"/>
      <c r="V440" s="804"/>
      <c r="W440" s="804"/>
      <c r="X440" s="1002"/>
      <c r="Y440" s="1002"/>
      <c r="Z440" s="1002"/>
      <c r="AA440" s="1002"/>
      <c r="AB440" s="1002"/>
      <c r="AC440" s="1002"/>
      <c r="AD440" s="1002"/>
      <c r="AE440" s="1002"/>
      <c r="AF440" s="1002"/>
      <c r="AG440" s="1002"/>
    </row>
    <row r="441" spans="1:33" s="3" customFormat="1" ht="19.5" customHeight="1">
      <c r="A441" s="191"/>
      <c r="B441" s="221" t="s">
        <v>469</v>
      </c>
      <c r="C441" s="230"/>
      <c r="D441" s="22"/>
      <c r="E441" s="16"/>
      <c r="F441" s="27"/>
      <c r="G441" s="27"/>
      <c r="H441" s="90">
        <v>3892000</v>
      </c>
      <c r="I441" s="373"/>
      <c r="J441" s="992"/>
      <c r="K441" s="924"/>
      <c r="L441" s="992"/>
      <c r="M441" s="992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938"/>
      <c r="Y441" s="938"/>
      <c r="Z441" s="938"/>
      <c r="AA441" s="938"/>
      <c r="AB441" s="938"/>
      <c r="AC441" s="938"/>
      <c r="AD441" s="938"/>
      <c r="AE441" s="938"/>
      <c r="AF441" s="938"/>
      <c r="AG441" s="938"/>
    </row>
    <row r="442" spans="1:33" s="3" customFormat="1" ht="19.5" customHeight="1">
      <c r="A442" s="191"/>
      <c r="B442" s="221"/>
      <c r="C442" s="230"/>
      <c r="D442" s="22"/>
      <c r="E442" s="16"/>
      <c r="F442" s="27"/>
      <c r="G442" s="27"/>
      <c r="H442" s="90"/>
      <c r="I442" s="373"/>
      <c r="J442" s="992"/>
      <c r="K442" s="924"/>
      <c r="L442" s="992"/>
      <c r="M442" s="992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938"/>
      <c r="Y442" s="938"/>
      <c r="Z442" s="938"/>
      <c r="AA442" s="938"/>
      <c r="AB442" s="938"/>
      <c r="AC442" s="938"/>
      <c r="AD442" s="938"/>
      <c r="AE442" s="938"/>
      <c r="AF442" s="938"/>
      <c r="AG442" s="938"/>
    </row>
    <row r="443" spans="1:33" s="805" customFormat="1" ht="19.5" customHeight="1">
      <c r="A443" s="800"/>
      <c r="B443" s="425" t="s">
        <v>127</v>
      </c>
      <c r="C443" s="824"/>
      <c r="D443" s="804"/>
      <c r="E443" s="804"/>
      <c r="F443" s="804"/>
      <c r="G443" s="804"/>
      <c r="H443" s="91">
        <f>H444+H446</f>
        <v>3781476</v>
      </c>
      <c r="I443" s="999"/>
      <c r="J443" s="1000"/>
      <c r="K443" s="1001"/>
      <c r="L443" s="1000"/>
      <c r="M443" s="1000"/>
      <c r="N443" s="804"/>
      <c r="O443" s="804"/>
      <c r="P443" s="804"/>
      <c r="Q443" s="804"/>
      <c r="R443" s="804"/>
      <c r="S443" s="804"/>
      <c r="T443" s="804"/>
      <c r="U443" s="804"/>
      <c r="V443" s="804"/>
      <c r="W443" s="804"/>
      <c r="X443" s="1002"/>
      <c r="Y443" s="1002"/>
      <c r="Z443" s="1002"/>
      <c r="AA443" s="1002"/>
      <c r="AB443" s="1002"/>
      <c r="AC443" s="1002"/>
      <c r="AD443" s="1002"/>
      <c r="AE443" s="1002"/>
      <c r="AF443" s="1002"/>
      <c r="AG443" s="1002"/>
    </row>
    <row r="444" spans="1:33" s="3" customFormat="1" ht="19.5" customHeight="1">
      <c r="A444" s="137"/>
      <c r="B444" s="221" t="s">
        <v>416</v>
      </c>
      <c r="C444" s="210"/>
      <c r="D444" s="89"/>
      <c r="E444" s="89"/>
      <c r="F444" s="89"/>
      <c r="G444" s="89"/>
      <c r="H444" s="90">
        <f>3600000+1476</f>
        <v>3601476</v>
      </c>
      <c r="I444" s="373"/>
      <c r="J444" s="992"/>
      <c r="K444" s="924"/>
      <c r="L444" s="992"/>
      <c r="M444" s="992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938"/>
      <c r="Y444" s="938"/>
      <c r="Z444" s="938"/>
      <c r="AA444" s="938"/>
      <c r="AB444" s="938"/>
      <c r="AC444" s="938"/>
      <c r="AD444" s="938"/>
      <c r="AE444" s="938"/>
      <c r="AF444" s="938"/>
      <c r="AG444" s="938"/>
    </row>
    <row r="445" spans="1:33" s="3" customFormat="1" ht="19.5" customHeight="1">
      <c r="A445" s="137"/>
      <c r="B445" s="221" t="s">
        <v>211</v>
      </c>
      <c r="C445" s="210"/>
      <c r="D445" s="89"/>
      <c r="E445" s="89"/>
      <c r="F445" s="89"/>
      <c r="G445" s="89"/>
      <c r="H445" s="90"/>
      <c r="I445" s="373"/>
      <c r="J445" s="992"/>
      <c r="K445" s="924"/>
      <c r="L445" s="992"/>
      <c r="M445" s="992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938"/>
      <c r="Y445" s="938"/>
      <c r="Z445" s="938"/>
      <c r="AA445" s="938"/>
      <c r="AB445" s="938"/>
      <c r="AC445" s="938"/>
      <c r="AD445" s="938"/>
      <c r="AE445" s="938"/>
      <c r="AF445" s="938"/>
      <c r="AG445" s="938"/>
    </row>
    <row r="446" spans="1:33" s="3" customFormat="1" ht="19.5" customHeight="1">
      <c r="A446" s="137"/>
      <c r="B446" s="221" t="s">
        <v>212</v>
      </c>
      <c r="C446" s="210"/>
      <c r="D446" s="89"/>
      <c r="E446" s="89"/>
      <c r="F446" s="89"/>
      <c r="G446" s="89"/>
      <c r="H446" s="90">
        <v>180000</v>
      </c>
      <c r="I446" s="373"/>
      <c r="J446" s="992"/>
      <c r="K446" s="924"/>
      <c r="L446" s="992"/>
      <c r="M446" s="992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938"/>
      <c r="Y446" s="938"/>
      <c r="Z446" s="938"/>
      <c r="AA446" s="938"/>
      <c r="AB446" s="938"/>
      <c r="AC446" s="938"/>
      <c r="AD446" s="938"/>
      <c r="AE446" s="938"/>
      <c r="AF446" s="938"/>
      <c r="AG446" s="938"/>
    </row>
    <row r="447" spans="1:33" s="3" customFormat="1" ht="19.5" customHeight="1">
      <c r="A447" s="137"/>
      <c r="B447" s="221"/>
      <c r="C447" s="210"/>
      <c r="D447" s="89"/>
      <c r="E447" s="89"/>
      <c r="F447" s="89"/>
      <c r="G447" s="89"/>
      <c r="H447" s="90"/>
      <c r="I447" s="373"/>
      <c r="J447" s="992"/>
      <c r="K447" s="924"/>
      <c r="L447" s="992"/>
      <c r="M447" s="992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938"/>
      <c r="Y447" s="938"/>
      <c r="Z447" s="938"/>
      <c r="AA447" s="938"/>
      <c r="AB447" s="938"/>
      <c r="AC447" s="938"/>
      <c r="AD447" s="938"/>
      <c r="AE447" s="938"/>
      <c r="AF447" s="938"/>
      <c r="AG447" s="938"/>
    </row>
    <row r="448" spans="1:33" s="3" customFormat="1" ht="19.5" customHeight="1">
      <c r="A448" s="191" t="s">
        <v>214</v>
      </c>
      <c r="B448" s="221"/>
      <c r="C448" s="210"/>
      <c r="D448" s="89"/>
      <c r="E448" s="89"/>
      <c r="F448" s="89"/>
      <c r="G448" s="89"/>
      <c r="H448" s="25">
        <f>H451</f>
        <v>10000</v>
      </c>
      <c r="I448" s="373"/>
      <c r="J448" s="992"/>
      <c r="K448" s="924"/>
      <c r="L448" s="992"/>
      <c r="M448" s="992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938"/>
      <c r="Y448" s="938"/>
      <c r="Z448" s="938"/>
      <c r="AA448" s="938"/>
      <c r="AB448" s="938"/>
      <c r="AC448" s="938"/>
      <c r="AD448" s="938"/>
      <c r="AE448" s="938"/>
      <c r="AF448" s="938"/>
      <c r="AG448" s="938"/>
    </row>
    <row r="449" spans="1:33" s="3" customFormat="1" ht="19.5" customHeight="1">
      <c r="A449" s="191" t="s">
        <v>319</v>
      </c>
      <c r="B449" s="221"/>
      <c r="C449" s="210"/>
      <c r="D449" s="89"/>
      <c r="E449" s="89"/>
      <c r="F449" s="89"/>
      <c r="G449" s="89"/>
      <c r="H449" s="90"/>
      <c r="I449" s="373"/>
      <c r="J449" s="992"/>
      <c r="K449" s="924"/>
      <c r="L449" s="992"/>
      <c r="M449" s="992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938"/>
      <c r="Y449" s="938"/>
      <c r="Z449" s="938"/>
      <c r="AA449" s="938"/>
      <c r="AB449" s="938"/>
      <c r="AC449" s="938"/>
      <c r="AD449" s="938"/>
      <c r="AE449" s="938"/>
      <c r="AF449" s="938"/>
      <c r="AG449" s="938"/>
    </row>
    <row r="450" spans="1:33" s="3" customFormat="1" ht="19.5" customHeight="1">
      <c r="A450" s="137"/>
      <c r="B450" s="221" t="s">
        <v>216</v>
      </c>
      <c r="C450" s="210"/>
      <c r="D450" s="89"/>
      <c r="E450" s="89"/>
      <c r="F450" s="89"/>
      <c r="G450" s="89"/>
      <c r="H450" s="90"/>
      <c r="I450" s="373"/>
      <c r="J450" s="992"/>
      <c r="K450" s="924"/>
      <c r="L450" s="992"/>
      <c r="M450" s="992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938"/>
      <c r="Y450" s="938"/>
      <c r="Z450" s="938"/>
      <c r="AA450" s="938"/>
      <c r="AB450" s="938"/>
      <c r="AC450" s="938"/>
      <c r="AD450" s="938"/>
      <c r="AE450" s="938"/>
      <c r="AF450" s="938"/>
      <c r="AG450" s="938"/>
    </row>
    <row r="451" spans="1:33" s="3" customFormat="1" ht="19.5" customHeight="1">
      <c r="A451" s="137"/>
      <c r="B451" s="221" t="s">
        <v>217</v>
      </c>
      <c r="C451" s="210"/>
      <c r="D451" s="89"/>
      <c r="E451" s="89"/>
      <c r="F451" s="89"/>
      <c r="G451" s="89"/>
      <c r="H451" s="90">
        <v>10000</v>
      </c>
      <c r="I451" s="373"/>
      <c r="J451" s="992"/>
      <c r="K451" s="924"/>
      <c r="L451" s="992"/>
      <c r="M451" s="992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938"/>
      <c r="Y451" s="938"/>
      <c r="Z451" s="938"/>
      <c r="AA451" s="938"/>
      <c r="AB451" s="938"/>
      <c r="AC451" s="938"/>
      <c r="AD451" s="938"/>
      <c r="AE451" s="938"/>
      <c r="AF451" s="938"/>
      <c r="AG451" s="938"/>
    </row>
    <row r="452" spans="1:33" s="3" customFormat="1" ht="19.5" customHeight="1">
      <c r="A452" s="137"/>
      <c r="B452" s="221"/>
      <c r="C452" s="210"/>
      <c r="D452" s="89"/>
      <c r="E452" s="89"/>
      <c r="F452" s="89"/>
      <c r="G452" s="89"/>
      <c r="H452" s="90"/>
      <c r="I452" s="373"/>
      <c r="J452" s="992"/>
      <c r="K452" s="924"/>
      <c r="L452" s="992"/>
      <c r="M452" s="992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938"/>
      <c r="Y452" s="938"/>
      <c r="Z452" s="938"/>
      <c r="AA452" s="938"/>
      <c r="AB452" s="938"/>
      <c r="AC452" s="938"/>
      <c r="AD452" s="938"/>
      <c r="AE452" s="938"/>
      <c r="AF452" s="938"/>
      <c r="AG452" s="938"/>
    </row>
    <row r="453" spans="1:33" s="3" customFormat="1" ht="19.5" customHeight="1">
      <c r="A453" s="191" t="s">
        <v>218</v>
      </c>
      <c r="B453" s="221"/>
      <c r="C453" s="230"/>
      <c r="D453" s="22"/>
      <c r="E453" s="89"/>
      <c r="F453" s="89"/>
      <c r="G453" s="89"/>
      <c r="H453" s="25">
        <f>H455+H460</f>
        <v>462000</v>
      </c>
      <c r="I453" s="373"/>
      <c r="J453" s="992"/>
      <c r="K453" s="924"/>
      <c r="L453" s="992"/>
      <c r="M453" s="992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938"/>
      <c r="Y453" s="938"/>
      <c r="Z453" s="938"/>
      <c r="AA453" s="938"/>
      <c r="AB453" s="938"/>
      <c r="AC453" s="938"/>
      <c r="AD453" s="938"/>
      <c r="AE453" s="938"/>
      <c r="AF453" s="938"/>
      <c r="AG453" s="938"/>
    </row>
    <row r="454" spans="1:33" s="3" customFormat="1" ht="19.5" customHeight="1">
      <c r="A454" s="191" t="s">
        <v>319</v>
      </c>
      <c r="B454" s="221"/>
      <c r="C454" s="230"/>
      <c r="D454" s="22"/>
      <c r="E454" s="89"/>
      <c r="F454" s="89"/>
      <c r="G454" s="89"/>
      <c r="H454" s="90"/>
      <c r="I454" s="373"/>
      <c r="J454" s="992"/>
      <c r="K454" s="924"/>
      <c r="L454" s="992"/>
      <c r="M454" s="992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938"/>
      <c r="Y454" s="938"/>
      <c r="Z454" s="938"/>
      <c r="AA454" s="938"/>
      <c r="AB454" s="938"/>
      <c r="AC454" s="938"/>
      <c r="AD454" s="938"/>
      <c r="AE454" s="938"/>
      <c r="AF454" s="938"/>
      <c r="AG454" s="938"/>
    </row>
    <row r="455" spans="1:33" s="3" customFormat="1" ht="19.5" customHeight="1">
      <c r="A455" s="800"/>
      <c r="B455" s="425" t="s">
        <v>127</v>
      </c>
      <c r="C455" s="801"/>
      <c r="D455" s="802"/>
      <c r="E455" s="89"/>
      <c r="F455" s="89"/>
      <c r="G455" s="89"/>
      <c r="H455" s="91">
        <f>H456+H457+H458</f>
        <v>350000</v>
      </c>
      <c r="I455" s="373"/>
      <c r="J455" s="992"/>
      <c r="K455" s="924"/>
      <c r="L455" s="992"/>
      <c r="M455" s="992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938"/>
      <c r="Y455" s="938"/>
      <c r="Z455" s="938"/>
      <c r="AA455" s="938"/>
      <c r="AB455" s="938"/>
      <c r="AC455" s="938"/>
      <c r="AD455" s="938"/>
      <c r="AE455" s="938"/>
      <c r="AF455" s="938"/>
      <c r="AG455" s="938"/>
    </row>
    <row r="456" spans="1:33" s="3" customFormat="1" ht="19.5" customHeight="1">
      <c r="A456" s="137"/>
      <c r="B456" s="221" t="s">
        <v>221</v>
      </c>
      <c r="C456" s="210"/>
      <c r="D456" s="89"/>
      <c r="E456" s="89"/>
      <c r="F456" s="89"/>
      <c r="G456" s="89"/>
      <c r="H456" s="90">
        <v>60000</v>
      </c>
      <c r="I456" s="373"/>
      <c r="J456" s="992"/>
      <c r="K456" s="924"/>
      <c r="L456" s="992"/>
      <c r="M456" s="992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938"/>
      <c r="Y456" s="938"/>
      <c r="Z456" s="938"/>
      <c r="AA456" s="938"/>
      <c r="AB456" s="938"/>
      <c r="AC456" s="938"/>
      <c r="AD456" s="938"/>
      <c r="AE456" s="938"/>
      <c r="AF456" s="938"/>
      <c r="AG456" s="938"/>
    </row>
    <row r="457" spans="1:33" s="3" customFormat="1" ht="19.5" customHeight="1">
      <c r="A457" s="137"/>
      <c r="B457" s="221" t="s">
        <v>222</v>
      </c>
      <c r="C457" s="210"/>
      <c r="D457" s="89"/>
      <c r="E457" s="89"/>
      <c r="F457" s="89"/>
      <c r="G457" s="89"/>
      <c r="H457" s="90">
        <v>110000</v>
      </c>
      <c r="I457" s="373"/>
      <c r="J457" s="992"/>
      <c r="K457" s="924"/>
      <c r="L457" s="992"/>
      <c r="M457" s="992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938"/>
      <c r="Y457" s="938"/>
      <c r="Z457" s="938"/>
      <c r="AA457" s="938"/>
      <c r="AB457" s="938"/>
      <c r="AC457" s="938"/>
      <c r="AD457" s="938"/>
      <c r="AE457" s="938"/>
      <c r="AF457" s="938"/>
      <c r="AG457" s="938"/>
    </row>
    <row r="458" spans="1:33" s="3" customFormat="1" ht="19.5" customHeight="1">
      <c r="A458" s="137"/>
      <c r="B458" s="221" t="s">
        <v>223</v>
      </c>
      <c r="C458" s="210"/>
      <c r="D458" s="89"/>
      <c r="E458" s="89"/>
      <c r="F458" s="89"/>
      <c r="G458" s="89"/>
      <c r="H458" s="90">
        <v>180000</v>
      </c>
      <c r="I458" s="373"/>
      <c r="J458" s="992"/>
      <c r="K458" s="924"/>
      <c r="L458" s="992"/>
      <c r="M458" s="992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938"/>
      <c r="Y458" s="938"/>
      <c r="Z458" s="938"/>
      <c r="AA458" s="938"/>
      <c r="AB458" s="938"/>
      <c r="AC458" s="938"/>
      <c r="AD458" s="938"/>
      <c r="AE458" s="938"/>
      <c r="AF458" s="938"/>
      <c r="AG458" s="938"/>
    </row>
    <row r="459" spans="1:33" s="3" customFormat="1" ht="19.5" customHeight="1">
      <c r="A459" s="137"/>
      <c r="B459" s="221"/>
      <c r="C459" s="210"/>
      <c r="D459" s="89"/>
      <c r="E459" s="89"/>
      <c r="F459" s="89"/>
      <c r="G459" s="89"/>
      <c r="H459" s="90"/>
      <c r="I459" s="373"/>
      <c r="J459" s="992"/>
      <c r="K459" s="924"/>
      <c r="L459" s="992"/>
      <c r="M459" s="992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938"/>
      <c r="Y459" s="938"/>
      <c r="Z459" s="938"/>
      <c r="AA459" s="938"/>
      <c r="AB459" s="938"/>
      <c r="AC459" s="938"/>
      <c r="AD459" s="938"/>
      <c r="AE459" s="938"/>
      <c r="AF459" s="938"/>
      <c r="AG459" s="938"/>
    </row>
    <row r="460" spans="1:33" s="3" customFormat="1" ht="19.5" customHeight="1">
      <c r="A460" s="137"/>
      <c r="B460" s="425" t="s">
        <v>176</v>
      </c>
      <c r="C460" s="801"/>
      <c r="D460" s="802"/>
      <c r="E460" s="89"/>
      <c r="F460" s="89"/>
      <c r="G460" s="89"/>
      <c r="H460" s="91">
        <f>H461</f>
        <v>112000</v>
      </c>
      <c r="I460" s="373"/>
      <c r="J460" s="992"/>
      <c r="K460" s="924"/>
      <c r="L460" s="992"/>
      <c r="M460" s="992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938"/>
      <c r="Y460" s="938"/>
      <c r="Z460" s="938"/>
      <c r="AA460" s="938"/>
      <c r="AB460" s="938"/>
      <c r="AC460" s="938"/>
      <c r="AD460" s="938"/>
      <c r="AE460" s="938"/>
      <c r="AF460" s="938"/>
      <c r="AG460" s="938"/>
    </row>
    <row r="461" spans="1:33" s="3" customFormat="1" ht="19.5" customHeight="1">
      <c r="A461" s="137"/>
      <c r="B461" s="221" t="s">
        <v>224</v>
      </c>
      <c r="C461" s="210"/>
      <c r="D461" s="89"/>
      <c r="E461" s="89"/>
      <c r="F461" s="89"/>
      <c r="G461" s="89"/>
      <c r="H461" s="90">
        <v>112000</v>
      </c>
      <c r="I461" s="373"/>
      <c r="J461" s="992"/>
      <c r="K461" s="924"/>
      <c r="L461" s="992"/>
      <c r="M461" s="992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938"/>
      <c r="Y461" s="938"/>
      <c r="Z461" s="938"/>
      <c r="AA461" s="938"/>
      <c r="AB461" s="938"/>
      <c r="AC461" s="938"/>
      <c r="AD461" s="938"/>
      <c r="AE461" s="938"/>
      <c r="AF461" s="938"/>
      <c r="AG461" s="938"/>
    </row>
    <row r="462" spans="1:33" s="3" customFormat="1" ht="19.5" customHeight="1">
      <c r="A462" s="137"/>
      <c r="B462" s="221"/>
      <c r="C462" s="210"/>
      <c r="D462" s="89"/>
      <c r="E462" s="89"/>
      <c r="F462" s="89"/>
      <c r="G462" s="89"/>
      <c r="H462" s="90"/>
      <c r="I462" s="373"/>
      <c r="J462" s="992"/>
      <c r="K462" s="924"/>
      <c r="L462" s="992"/>
      <c r="M462" s="992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938"/>
      <c r="Y462" s="938"/>
      <c r="Z462" s="938"/>
      <c r="AA462" s="938"/>
      <c r="AB462" s="938"/>
      <c r="AC462" s="938"/>
      <c r="AD462" s="938"/>
      <c r="AE462" s="938"/>
      <c r="AF462" s="938"/>
      <c r="AG462" s="938"/>
    </row>
    <row r="463" spans="1:33" s="3" customFormat="1" ht="19.5" customHeight="1">
      <c r="A463" s="137"/>
      <c r="B463" s="221"/>
      <c r="C463" s="210"/>
      <c r="D463" s="89"/>
      <c r="E463" s="89"/>
      <c r="F463" s="89"/>
      <c r="G463" s="89"/>
      <c r="H463" s="90"/>
      <c r="I463" s="373"/>
      <c r="J463" s="992"/>
      <c r="K463" s="924"/>
      <c r="L463" s="992"/>
      <c r="M463" s="992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938"/>
      <c r="Y463" s="938"/>
      <c r="Z463" s="938"/>
      <c r="AA463" s="938"/>
      <c r="AB463" s="938"/>
      <c r="AC463" s="938"/>
      <c r="AD463" s="938"/>
      <c r="AE463" s="938"/>
      <c r="AF463" s="938"/>
      <c r="AG463" s="938"/>
    </row>
    <row r="464" spans="1:33" s="3" customFormat="1" ht="19.5" customHeight="1">
      <c r="A464" s="225" t="s">
        <v>521</v>
      </c>
      <c r="B464" s="221"/>
      <c r="C464" s="210"/>
      <c r="D464" s="89"/>
      <c r="E464" s="89"/>
      <c r="F464" s="89"/>
      <c r="G464" s="89"/>
      <c r="H464" s="90"/>
      <c r="I464" s="373"/>
      <c r="J464" s="992"/>
      <c r="K464" s="924"/>
      <c r="L464" s="992"/>
      <c r="M464" s="992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938"/>
      <c r="Y464" s="938"/>
      <c r="Z464" s="938"/>
      <c r="AA464" s="938"/>
      <c r="AB464" s="938"/>
      <c r="AC464" s="938"/>
      <c r="AD464" s="938"/>
      <c r="AE464" s="938"/>
      <c r="AF464" s="938"/>
      <c r="AG464" s="938"/>
    </row>
    <row r="465" spans="1:33" s="3" customFormat="1" ht="19.5" customHeight="1">
      <c r="A465" s="225"/>
      <c r="B465" s="221"/>
      <c r="C465" s="210"/>
      <c r="D465" s="89"/>
      <c r="E465" s="89"/>
      <c r="F465" s="89"/>
      <c r="G465" s="89"/>
      <c r="H465" s="90"/>
      <c r="I465" s="373"/>
      <c r="J465" s="992"/>
      <c r="K465" s="924"/>
      <c r="L465" s="992"/>
      <c r="M465" s="992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938"/>
      <c r="Y465" s="938"/>
      <c r="Z465" s="938"/>
      <c r="AA465" s="938"/>
      <c r="AB465" s="938"/>
      <c r="AC465" s="938"/>
      <c r="AD465" s="938"/>
      <c r="AE465" s="938"/>
      <c r="AF465" s="938"/>
      <c r="AG465" s="938"/>
    </row>
    <row r="466" spans="1:33" s="3" customFormat="1" ht="19.5" customHeight="1">
      <c r="A466" s="225"/>
      <c r="B466" s="221"/>
      <c r="C466" s="210"/>
      <c r="D466" s="89"/>
      <c r="E466" s="89"/>
      <c r="F466" s="89"/>
      <c r="G466" s="89"/>
      <c r="H466" s="90"/>
      <c r="I466" s="373"/>
      <c r="J466" s="992"/>
      <c r="K466" s="924"/>
      <c r="L466" s="992"/>
      <c r="M466" s="992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938"/>
      <c r="Y466" s="938"/>
      <c r="Z466" s="938"/>
      <c r="AA466" s="938"/>
      <c r="AB466" s="938"/>
      <c r="AC466" s="938"/>
      <c r="AD466" s="938"/>
      <c r="AE466" s="938"/>
      <c r="AF466" s="938"/>
      <c r="AG466" s="938"/>
    </row>
    <row r="467" spans="1:33" s="3" customFormat="1" ht="19.5" customHeight="1">
      <c r="A467" s="227" t="s">
        <v>546</v>
      </c>
      <c r="B467" s="226"/>
      <c r="C467" s="210"/>
      <c r="D467" s="89"/>
      <c r="E467" s="89"/>
      <c r="F467" s="89"/>
      <c r="G467" s="89"/>
      <c r="H467" s="25">
        <f>H469</f>
        <v>596200</v>
      </c>
      <c r="I467" s="373"/>
      <c r="J467" s="992"/>
      <c r="K467" s="924"/>
      <c r="L467" s="992"/>
      <c r="M467" s="992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938"/>
      <c r="Y467" s="938"/>
      <c r="Z467" s="938"/>
      <c r="AA467" s="938"/>
      <c r="AB467" s="938"/>
      <c r="AC467" s="938"/>
      <c r="AD467" s="938"/>
      <c r="AE467" s="938"/>
      <c r="AF467" s="938"/>
      <c r="AG467" s="938"/>
    </row>
    <row r="468" spans="1:33" s="3" customFormat="1" ht="19.5" customHeight="1">
      <c r="A468" s="137" t="s">
        <v>319</v>
      </c>
      <c r="B468" s="229"/>
      <c r="C468" s="210"/>
      <c r="D468" s="89"/>
      <c r="E468" s="89"/>
      <c r="F468" s="89"/>
      <c r="G468" s="89"/>
      <c r="H468" s="90"/>
      <c r="I468" s="373"/>
      <c r="J468" s="992"/>
      <c r="K468" s="924"/>
      <c r="L468" s="992"/>
      <c r="M468" s="992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938"/>
      <c r="Y468" s="938"/>
      <c r="Z468" s="938"/>
      <c r="AA468" s="938"/>
      <c r="AB468" s="938"/>
      <c r="AC468" s="938"/>
      <c r="AD468" s="938"/>
      <c r="AE468" s="938"/>
      <c r="AF468" s="938"/>
      <c r="AG468" s="938"/>
    </row>
    <row r="469" spans="1:33" s="3" customFormat="1" ht="19.5" customHeight="1">
      <c r="A469" s="191" t="s">
        <v>99</v>
      </c>
      <c r="B469" s="229"/>
      <c r="C469" s="210"/>
      <c r="D469" s="89"/>
      <c r="E469" s="89"/>
      <c r="F469" s="89"/>
      <c r="G469" s="89"/>
      <c r="H469" s="90">
        <f>H471+H472+H473</f>
        <v>596200</v>
      </c>
      <c r="I469" s="373"/>
      <c r="J469" s="992"/>
      <c r="K469" s="924"/>
      <c r="L469" s="992"/>
      <c r="M469" s="992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938"/>
      <c r="Y469" s="938"/>
      <c r="Z469" s="938"/>
      <c r="AA469" s="938"/>
      <c r="AB469" s="938"/>
      <c r="AC469" s="938"/>
      <c r="AD469" s="938"/>
      <c r="AE469" s="938"/>
      <c r="AF469" s="938"/>
      <c r="AG469" s="938"/>
    </row>
    <row r="470" spans="1:33" s="3" customFormat="1" ht="19.5" customHeight="1">
      <c r="A470" s="137" t="s">
        <v>319</v>
      </c>
      <c r="B470" s="229"/>
      <c r="C470" s="210"/>
      <c r="D470" s="89"/>
      <c r="E470" s="89"/>
      <c r="F470" s="89"/>
      <c r="G470" s="89"/>
      <c r="H470" s="90"/>
      <c r="I470" s="373"/>
      <c r="J470" s="992"/>
      <c r="K470" s="924"/>
      <c r="L470" s="992"/>
      <c r="M470" s="992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938"/>
      <c r="Y470" s="938"/>
      <c r="Z470" s="938"/>
      <c r="AA470" s="938"/>
      <c r="AB470" s="938"/>
      <c r="AC470" s="938"/>
      <c r="AD470" s="938"/>
      <c r="AE470" s="938"/>
      <c r="AF470" s="938"/>
      <c r="AG470" s="938"/>
    </row>
    <row r="471" spans="1:33" s="3" customFormat="1" ht="19.5" customHeight="1">
      <c r="A471" s="137"/>
      <c r="B471" s="778" t="s">
        <v>20</v>
      </c>
      <c r="C471" s="230"/>
      <c r="D471" s="22"/>
      <c r="E471" s="16"/>
      <c r="F471" s="27"/>
      <c r="G471" s="89"/>
      <c r="H471" s="90">
        <v>16200</v>
      </c>
      <c r="I471" s="373"/>
      <c r="J471" s="992"/>
      <c r="K471" s="924"/>
      <c r="L471" s="992"/>
      <c r="M471" s="992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938"/>
      <c r="Y471" s="938"/>
      <c r="Z471" s="938"/>
      <c r="AA471" s="938"/>
      <c r="AB471" s="938"/>
      <c r="AC471" s="938"/>
      <c r="AD471" s="938"/>
      <c r="AE471" s="938"/>
      <c r="AF471" s="938"/>
      <c r="AG471" s="938"/>
    </row>
    <row r="472" spans="1:33" s="3" customFormat="1" ht="19.5" customHeight="1">
      <c r="A472" s="137"/>
      <c r="B472" s="229" t="s">
        <v>477</v>
      </c>
      <c r="C472" s="210"/>
      <c r="D472" s="89"/>
      <c r="E472" s="89"/>
      <c r="F472" s="89"/>
      <c r="G472" s="89"/>
      <c r="H472" s="90">
        <v>500000</v>
      </c>
      <c r="I472" s="373"/>
      <c r="J472" s="992"/>
      <c r="K472" s="924"/>
      <c r="L472" s="992"/>
      <c r="M472" s="992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938"/>
      <c r="Y472" s="938"/>
      <c r="Z472" s="938"/>
      <c r="AA472" s="938"/>
      <c r="AB472" s="938"/>
      <c r="AC472" s="938"/>
      <c r="AD472" s="938"/>
      <c r="AE472" s="938"/>
      <c r="AF472" s="938"/>
      <c r="AG472" s="938"/>
    </row>
    <row r="473" spans="1:33" s="3" customFormat="1" ht="19.5" customHeight="1">
      <c r="A473" s="137"/>
      <c r="B473" s="229" t="s">
        <v>476</v>
      </c>
      <c r="C473" s="210"/>
      <c r="D473" s="89"/>
      <c r="E473" s="89"/>
      <c r="F473" s="89"/>
      <c r="G473" s="89"/>
      <c r="H473" s="90">
        <v>80000</v>
      </c>
      <c r="I473" s="373"/>
      <c r="J473" s="992"/>
      <c r="K473" s="924"/>
      <c r="L473" s="992"/>
      <c r="M473" s="992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938"/>
      <c r="Y473" s="938"/>
      <c r="Z473" s="938"/>
      <c r="AA473" s="938"/>
      <c r="AB473" s="938"/>
      <c r="AC473" s="938"/>
      <c r="AD473" s="938"/>
      <c r="AE473" s="938"/>
      <c r="AF473" s="938"/>
      <c r="AG473" s="938"/>
    </row>
    <row r="474" spans="1:33" s="3" customFormat="1" ht="19.5" customHeight="1">
      <c r="A474" s="137"/>
      <c r="B474" s="229"/>
      <c r="C474" s="210"/>
      <c r="D474" s="89"/>
      <c r="E474" s="89"/>
      <c r="F474" s="89"/>
      <c r="G474" s="89"/>
      <c r="H474" s="90"/>
      <c r="I474" s="373"/>
      <c r="J474" s="992"/>
      <c r="K474" s="924"/>
      <c r="L474" s="992"/>
      <c r="M474" s="992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938"/>
      <c r="Y474" s="938"/>
      <c r="Z474" s="938"/>
      <c r="AA474" s="938"/>
      <c r="AB474" s="938"/>
      <c r="AC474" s="938"/>
      <c r="AD474" s="938"/>
      <c r="AE474" s="938"/>
      <c r="AF474" s="938"/>
      <c r="AG474" s="938"/>
    </row>
    <row r="475" spans="1:33" s="3" customFormat="1" ht="19.5" customHeight="1">
      <c r="A475" s="137"/>
      <c r="B475" s="221"/>
      <c r="C475" s="210"/>
      <c r="D475" s="89"/>
      <c r="E475" s="89"/>
      <c r="F475" s="89"/>
      <c r="G475" s="89"/>
      <c r="H475" s="90"/>
      <c r="I475" s="373"/>
      <c r="J475" s="992"/>
      <c r="K475" s="924"/>
      <c r="L475" s="992"/>
      <c r="M475" s="992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938"/>
      <c r="Y475" s="938"/>
      <c r="Z475" s="938"/>
      <c r="AA475" s="938"/>
      <c r="AB475" s="938"/>
      <c r="AC475" s="938"/>
      <c r="AD475" s="938"/>
      <c r="AE475" s="938"/>
      <c r="AF475" s="938"/>
      <c r="AG475" s="938"/>
    </row>
    <row r="476" spans="1:33" s="3" customFormat="1" ht="19.5" customHeight="1">
      <c r="A476" s="227" t="s">
        <v>360</v>
      </c>
      <c r="B476" s="221"/>
      <c r="C476" s="210"/>
      <c r="D476" s="89"/>
      <c r="E476" s="89"/>
      <c r="F476" s="89"/>
      <c r="G476" s="89"/>
      <c r="H476" s="25">
        <f>H478+H488+H492</f>
        <v>904000</v>
      </c>
      <c r="I476" s="373"/>
      <c r="J476" s="992"/>
      <c r="K476" s="924"/>
      <c r="L476" s="992"/>
      <c r="M476" s="992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938"/>
      <c r="Y476" s="938"/>
      <c r="Z476" s="938"/>
      <c r="AA476" s="938"/>
      <c r="AB476" s="938"/>
      <c r="AC476" s="938"/>
      <c r="AD476" s="938"/>
      <c r="AE476" s="938"/>
      <c r="AF476" s="938"/>
      <c r="AG476" s="938"/>
    </row>
    <row r="477" spans="1:33" s="3" customFormat="1" ht="19.5" customHeight="1">
      <c r="A477" s="137" t="s">
        <v>319</v>
      </c>
      <c r="B477" s="221"/>
      <c r="C477" s="210"/>
      <c r="D477" s="89"/>
      <c r="E477" s="89"/>
      <c r="F477" s="89"/>
      <c r="G477" s="89"/>
      <c r="H477" s="90"/>
      <c r="I477" s="373"/>
      <c r="J477" s="992"/>
      <c r="K477" s="924"/>
      <c r="L477" s="992"/>
      <c r="M477" s="992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938"/>
      <c r="Y477" s="938"/>
      <c r="Z477" s="938"/>
      <c r="AA477" s="938"/>
      <c r="AB477" s="938"/>
      <c r="AC477" s="938"/>
      <c r="AD477" s="938"/>
      <c r="AE477" s="938"/>
      <c r="AF477" s="938"/>
      <c r="AG477" s="938"/>
    </row>
    <row r="478" spans="1:33" s="3" customFormat="1" ht="19.5" customHeight="1">
      <c r="A478" s="191" t="s">
        <v>545</v>
      </c>
      <c r="B478" s="221"/>
      <c r="C478" s="210"/>
      <c r="D478" s="89"/>
      <c r="E478" s="89"/>
      <c r="F478" s="89"/>
      <c r="G478" s="89"/>
      <c r="H478" s="25">
        <f>H481+H482+H484+H486</f>
        <v>631000</v>
      </c>
      <c r="I478" s="373"/>
      <c r="J478" s="992"/>
      <c r="K478" s="924"/>
      <c r="L478" s="992"/>
      <c r="M478" s="992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938"/>
      <c r="Y478" s="938"/>
      <c r="Z478" s="938"/>
      <c r="AA478" s="938"/>
      <c r="AB478" s="938"/>
      <c r="AC478" s="938"/>
      <c r="AD478" s="938"/>
      <c r="AE478" s="938"/>
      <c r="AF478" s="938"/>
      <c r="AG478" s="938"/>
    </row>
    <row r="479" spans="1:33" s="3" customFormat="1" ht="19.5" customHeight="1">
      <c r="A479" s="137" t="s">
        <v>319</v>
      </c>
      <c r="B479" s="229"/>
      <c r="C479" s="230"/>
      <c r="D479" s="22"/>
      <c r="E479" s="16"/>
      <c r="F479" s="27"/>
      <c r="G479" s="89"/>
      <c r="H479" s="90"/>
      <c r="I479" s="373"/>
      <c r="J479" s="992"/>
      <c r="K479" s="924"/>
      <c r="L479" s="992"/>
      <c r="M479" s="992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938"/>
      <c r="Y479" s="938"/>
      <c r="Z479" s="938"/>
      <c r="AA479" s="938"/>
      <c r="AB479" s="938"/>
      <c r="AC479" s="938"/>
      <c r="AD479" s="938"/>
      <c r="AE479" s="938"/>
      <c r="AF479" s="938"/>
      <c r="AG479" s="938"/>
    </row>
    <row r="480" spans="1:33" s="3" customFormat="1" ht="19.5" customHeight="1">
      <c r="A480" s="137"/>
      <c r="B480" s="229" t="s">
        <v>116</v>
      </c>
      <c r="C480" s="230"/>
      <c r="D480" s="22"/>
      <c r="E480" s="16"/>
      <c r="F480" s="27"/>
      <c r="G480" s="89"/>
      <c r="H480" s="90"/>
      <c r="I480" s="373"/>
      <c r="J480" s="992"/>
      <c r="K480" s="924"/>
      <c r="L480" s="992"/>
      <c r="M480" s="992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938"/>
      <c r="Y480" s="938"/>
      <c r="Z480" s="938"/>
      <c r="AA480" s="938"/>
      <c r="AB480" s="938"/>
      <c r="AC480" s="938"/>
      <c r="AD480" s="938"/>
      <c r="AE480" s="938"/>
      <c r="AF480" s="938"/>
      <c r="AG480" s="938"/>
    </row>
    <row r="481" spans="1:33" s="3" customFormat="1" ht="19.5" customHeight="1">
      <c r="A481" s="137"/>
      <c r="B481" s="229" t="s">
        <v>117</v>
      </c>
      <c r="C481" s="230"/>
      <c r="D481" s="22"/>
      <c r="E481" s="16"/>
      <c r="F481" s="27"/>
      <c r="G481" s="89"/>
      <c r="H481" s="90">
        <v>3000</v>
      </c>
      <c r="I481" s="373"/>
      <c r="J481" s="992"/>
      <c r="K481" s="924"/>
      <c r="L481" s="992"/>
      <c r="M481" s="992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938"/>
      <c r="Y481" s="938"/>
      <c r="Z481" s="938"/>
      <c r="AA481" s="938"/>
      <c r="AB481" s="938"/>
      <c r="AC481" s="938"/>
      <c r="AD481" s="938"/>
      <c r="AE481" s="938"/>
      <c r="AF481" s="938"/>
      <c r="AG481" s="938"/>
    </row>
    <row r="482" spans="1:33" s="3" customFormat="1" ht="19.5" customHeight="1">
      <c r="A482" s="137"/>
      <c r="B482" s="229" t="s">
        <v>526</v>
      </c>
      <c r="C482" s="230"/>
      <c r="D482" s="22"/>
      <c r="E482" s="16"/>
      <c r="F482" s="27"/>
      <c r="G482" s="89"/>
      <c r="H482" s="90">
        <v>500000</v>
      </c>
      <c r="I482" s="373"/>
      <c r="J482" s="992"/>
      <c r="K482" s="924"/>
      <c r="L482" s="992"/>
      <c r="M482" s="992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938"/>
      <c r="Y482" s="938"/>
      <c r="Z482" s="938"/>
      <c r="AA482" s="938"/>
      <c r="AB482" s="938"/>
      <c r="AC482" s="938"/>
      <c r="AD482" s="938"/>
      <c r="AE482" s="938"/>
      <c r="AF482" s="938"/>
      <c r="AG482" s="938"/>
    </row>
    <row r="483" spans="1:33" s="3" customFormat="1" ht="19.5" customHeight="1">
      <c r="A483" s="137"/>
      <c r="B483" s="229" t="s">
        <v>227</v>
      </c>
      <c r="C483" s="230"/>
      <c r="D483" s="22"/>
      <c r="E483" s="16"/>
      <c r="F483" s="27"/>
      <c r="G483" s="89"/>
      <c r="H483" s="90"/>
      <c r="I483" s="373"/>
      <c r="J483" s="992"/>
      <c r="K483" s="924"/>
      <c r="L483" s="992"/>
      <c r="M483" s="992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938"/>
      <c r="Y483" s="938"/>
      <c r="Z483" s="938"/>
      <c r="AA483" s="938"/>
      <c r="AB483" s="938"/>
      <c r="AC483" s="938"/>
      <c r="AD483" s="938"/>
      <c r="AE483" s="938"/>
      <c r="AF483" s="938"/>
      <c r="AG483" s="938"/>
    </row>
    <row r="484" spans="1:33" s="3" customFormat="1" ht="19.5" customHeight="1">
      <c r="A484" s="137"/>
      <c r="B484" s="229" t="s">
        <v>228</v>
      </c>
      <c r="C484" s="230"/>
      <c r="D484" s="22"/>
      <c r="E484" s="16"/>
      <c r="F484" s="27"/>
      <c r="G484" s="89"/>
      <c r="H484" s="90">
        <v>103000</v>
      </c>
      <c r="I484" s="373"/>
      <c r="J484" s="992"/>
      <c r="K484" s="924"/>
      <c r="L484" s="992"/>
      <c r="M484" s="992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938"/>
      <c r="Y484" s="938"/>
      <c r="Z484" s="938"/>
      <c r="AA484" s="938"/>
      <c r="AB484" s="938"/>
      <c r="AC484" s="938"/>
      <c r="AD484" s="938"/>
      <c r="AE484" s="938"/>
      <c r="AF484" s="938"/>
      <c r="AG484" s="938"/>
    </row>
    <row r="485" spans="1:33" s="3" customFormat="1" ht="19.5" customHeight="1">
      <c r="A485" s="137"/>
      <c r="B485" s="229" t="s">
        <v>229</v>
      </c>
      <c r="C485" s="230"/>
      <c r="D485" s="22"/>
      <c r="E485" s="16"/>
      <c r="F485" s="27"/>
      <c r="G485" s="89"/>
      <c r="H485" s="90"/>
      <c r="I485" s="373"/>
      <c r="J485" s="992"/>
      <c r="K485" s="924"/>
      <c r="L485" s="992"/>
      <c r="M485" s="992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938"/>
      <c r="Y485" s="938"/>
      <c r="Z485" s="938"/>
      <c r="AA485" s="938"/>
      <c r="AB485" s="938"/>
      <c r="AC485" s="938"/>
      <c r="AD485" s="938"/>
      <c r="AE485" s="938"/>
      <c r="AF485" s="938"/>
      <c r="AG485" s="938"/>
    </row>
    <row r="486" spans="1:33" s="3" customFormat="1" ht="19.5" customHeight="1">
      <c r="A486" s="137"/>
      <c r="B486" s="229" t="s">
        <v>187</v>
      </c>
      <c r="C486" s="230"/>
      <c r="D486" s="22"/>
      <c r="E486" s="16"/>
      <c r="F486" s="27"/>
      <c r="G486" s="89"/>
      <c r="H486" s="90">
        <v>25000</v>
      </c>
      <c r="I486" s="373"/>
      <c r="J486" s="992"/>
      <c r="K486" s="924"/>
      <c r="L486" s="992"/>
      <c r="M486" s="992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938"/>
      <c r="Y486" s="938"/>
      <c r="Z486" s="938"/>
      <c r="AA486" s="938"/>
      <c r="AB486" s="938"/>
      <c r="AC486" s="938"/>
      <c r="AD486" s="938"/>
      <c r="AE486" s="938"/>
      <c r="AF486" s="938"/>
      <c r="AG486" s="938"/>
    </row>
    <row r="487" spans="1:33" s="3" customFormat="1" ht="19.5" customHeight="1">
      <c r="A487" s="137"/>
      <c r="B487" s="229"/>
      <c r="C487" s="230"/>
      <c r="D487" s="22"/>
      <c r="E487" s="16"/>
      <c r="F487" s="27"/>
      <c r="G487" s="89"/>
      <c r="H487" s="90"/>
      <c r="I487" s="373"/>
      <c r="J487" s="992"/>
      <c r="K487" s="924"/>
      <c r="L487" s="992"/>
      <c r="M487" s="992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938"/>
      <c r="Y487" s="938"/>
      <c r="Z487" s="938"/>
      <c r="AA487" s="938"/>
      <c r="AB487" s="938"/>
      <c r="AC487" s="938"/>
      <c r="AD487" s="938"/>
      <c r="AE487" s="938"/>
      <c r="AF487" s="938"/>
      <c r="AG487" s="938"/>
    </row>
    <row r="488" spans="1:33" s="3" customFormat="1" ht="19.5" customHeight="1">
      <c r="A488" s="191" t="s">
        <v>230</v>
      </c>
      <c r="B488" s="229"/>
      <c r="C488" s="230"/>
      <c r="D488" s="22"/>
      <c r="E488" s="16"/>
      <c r="F488" s="27"/>
      <c r="G488" s="89"/>
      <c r="H488" s="25">
        <f>H490</f>
        <v>220000</v>
      </c>
      <c r="I488" s="373"/>
      <c r="J488" s="992"/>
      <c r="K488" s="924"/>
      <c r="L488" s="992"/>
      <c r="M488" s="992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938"/>
      <c r="Y488" s="938"/>
      <c r="Z488" s="938"/>
      <c r="AA488" s="938"/>
      <c r="AB488" s="938"/>
      <c r="AC488" s="938"/>
      <c r="AD488" s="938"/>
      <c r="AE488" s="938"/>
      <c r="AF488" s="938"/>
      <c r="AG488" s="938"/>
    </row>
    <row r="489" spans="1:33" s="3" customFormat="1" ht="19.5" customHeight="1">
      <c r="A489" s="137" t="s">
        <v>319</v>
      </c>
      <c r="B489" s="229"/>
      <c r="C489" s="230"/>
      <c r="D489" s="22"/>
      <c r="E489" s="16"/>
      <c r="F489" s="27"/>
      <c r="G489" s="89"/>
      <c r="H489" s="90"/>
      <c r="I489" s="373"/>
      <c r="J489" s="992"/>
      <c r="K489" s="924"/>
      <c r="L489" s="992"/>
      <c r="M489" s="992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938"/>
      <c r="Y489" s="938"/>
      <c r="Z489" s="938"/>
      <c r="AA489" s="938"/>
      <c r="AB489" s="938"/>
      <c r="AC489" s="938"/>
      <c r="AD489" s="938"/>
      <c r="AE489" s="938"/>
      <c r="AF489" s="938"/>
      <c r="AG489" s="938"/>
    </row>
    <row r="490" spans="1:33" s="3" customFormat="1" ht="19.5" customHeight="1">
      <c r="A490" s="137"/>
      <c r="B490" s="229" t="s">
        <v>213</v>
      </c>
      <c r="C490" s="230"/>
      <c r="D490" s="22"/>
      <c r="E490" s="16"/>
      <c r="F490" s="27"/>
      <c r="G490" s="89"/>
      <c r="H490" s="90">
        <v>220000</v>
      </c>
      <c r="I490" s="373"/>
      <c r="J490" s="992"/>
      <c r="K490" s="924"/>
      <c r="L490" s="992"/>
      <c r="M490" s="992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938"/>
      <c r="Y490" s="938"/>
      <c r="Z490" s="938"/>
      <c r="AA490" s="938"/>
      <c r="AB490" s="938"/>
      <c r="AC490" s="938"/>
      <c r="AD490" s="938"/>
      <c r="AE490" s="938"/>
      <c r="AF490" s="938"/>
      <c r="AG490" s="938"/>
    </row>
    <row r="491" spans="1:33" s="3" customFormat="1" ht="19.5" customHeight="1">
      <c r="A491" s="137"/>
      <c r="B491" s="229"/>
      <c r="C491" s="230"/>
      <c r="D491" s="22"/>
      <c r="E491" s="16"/>
      <c r="F491" s="27"/>
      <c r="G491" s="89"/>
      <c r="H491" s="90"/>
      <c r="I491" s="373"/>
      <c r="J491" s="992"/>
      <c r="K491" s="924"/>
      <c r="L491" s="992"/>
      <c r="M491" s="992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938"/>
      <c r="Y491" s="938"/>
      <c r="Z491" s="938"/>
      <c r="AA491" s="938"/>
      <c r="AB491" s="938"/>
      <c r="AC491" s="938"/>
      <c r="AD491" s="938"/>
      <c r="AE491" s="938"/>
      <c r="AF491" s="938"/>
      <c r="AG491" s="938"/>
    </row>
    <row r="492" spans="1:33" s="3" customFormat="1" ht="19.5" customHeight="1">
      <c r="A492" s="191" t="s">
        <v>100</v>
      </c>
      <c r="B492" s="229"/>
      <c r="C492" s="230"/>
      <c r="D492" s="22"/>
      <c r="E492" s="16"/>
      <c r="F492" s="27"/>
      <c r="G492" s="89"/>
      <c r="H492" s="25">
        <f>H494</f>
        <v>53000</v>
      </c>
      <c r="I492" s="373"/>
      <c r="J492" s="992"/>
      <c r="K492" s="924"/>
      <c r="L492" s="992"/>
      <c r="M492" s="992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938"/>
      <c r="Y492" s="938"/>
      <c r="Z492" s="938"/>
      <c r="AA492" s="938"/>
      <c r="AB492" s="938"/>
      <c r="AC492" s="938"/>
      <c r="AD492" s="938"/>
      <c r="AE492" s="938"/>
      <c r="AF492" s="938"/>
      <c r="AG492" s="938"/>
    </row>
    <row r="493" spans="1:33" s="3" customFormat="1" ht="19.5" customHeight="1">
      <c r="A493" s="137" t="s">
        <v>319</v>
      </c>
      <c r="B493" s="229"/>
      <c r="C493" s="230"/>
      <c r="D493" s="22"/>
      <c r="E493" s="16"/>
      <c r="F493" s="27"/>
      <c r="G493" s="89"/>
      <c r="H493" s="90"/>
      <c r="I493" s="373"/>
      <c r="J493" s="992"/>
      <c r="K493" s="924"/>
      <c r="L493" s="992"/>
      <c r="M493" s="992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938"/>
      <c r="Y493" s="938"/>
      <c r="Z493" s="938"/>
      <c r="AA493" s="938"/>
      <c r="AB493" s="938"/>
      <c r="AC493" s="938"/>
      <c r="AD493" s="938"/>
      <c r="AE493" s="938"/>
      <c r="AF493" s="938"/>
      <c r="AG493" s="938"/>
    </row>
    <row r="494" spans="1:33" s="3" customFormat="1" ht="19.5" customHeight="1">
      <c r="A494" s="137"/>
      <c r="B494" s="229" t="s">
        <v>96</v>
      </c>
      <c r="C494" s="230"/>
      <c r="D494" s="22"/>
      <c r="E494" s="16"/>
      <c r="F494" s="27"/>
      <c r="G494" s="89"/>
      <c r="H494" s="90">
        <v>53000</v>
      </c>
      <c r="I494" s="373"/>
      <c r="J494" s="992"/>
      <c r="K494" s="924"/>
      <c r="L494" s="992"/>
      <c r="M494" s="992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938"/>
      <c r="Y494" s="938"/>
      <c r="Z494" s="938"/>
      <c r="AA494" s="938"/>
      <c r="AB494" s="938"/>
      <c r="AC494" s="938"/>
      <c r="AD494" s="938"/>
      <c r="AE494" s="938"/>
      <c r="AF494" s="938"/>
      <c r="AG494" s="938"/>
    </row>
    <row r="495" spans="1:33" s="3" customFormat="1" ht="19.5" customHeight="1">
      <c r="A495" s="137"/>
      <c r="B495" s="229"/>
      <c r="C495" s="230"/>
      <c r="D495" s="22"/>
      <c r="E495" s="16"/>
      <c r="F495" s="27"/>
      <c r="G495" s="89"/>
      <c r="H495" s="90"/>
      <c r="I495" s="373"/>
      <c r="J495" s="992"/>
      <c r="K495" s="924"/>
      <c r="L495" s="992"/>
      <c r="M495" s="992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938"/>
      <c r="Y495" s="938"/>
      <c r="Z495" s="938"/>
      <c r="AA495" s="938"/>
      <c r="AB495" s="938"/>
      <c r="AC495" s="938"/>
      <c r="AD495" s="938"/>
      <c r="AE495" s="938"/>
      <c r="AF495" s="938"/>
      <c r="AG495" s="938"/>
    </row>
    <row r="496" spans="1:33" s="3" customFormat="1" ht="19.5" customHeight="1">
      <c r="A496" s="137"/>
      <c r="B496" s="229"/>
      <c r="C496" s="230"/>
      <c r="D496" s="22"/>
      <c r="E496" s="16"/>
      <c r="F496" s="27"/>
      <c r="G496" s="89"/>
      <c r="H496" s="90"/>
      <c r="I496" s="373"/>
      <c r="J496" s="992"/>
      <c r="K496" s="924"/>
      <c r="L496" s="992"/>
      <c r="M496" s="992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938"/>
      <c r="Y496" s="938"/>
      <c r="Z496" s="938"/>
      <c r="AA496" s="938"/>
      <c r="AB496" s="938"/>
      <c r="AC496" s="938"/>
      <c r="AD496" s="938"/>
      <c r="AE496" s="938"/>
      <c r="AF496" s="938"/>
      <c r="AG496" s="938"/>
    </row>
    <row r="497" spans="1:33" s="3" customFormat="1" ht="19.5" customHeight="1">
      <c r="A497" s="231" t="s">
        <v>390</v>
      </c>
      <c r="B497" s="231"/>
      <c r="C497" s="224"/>
      <c r="D497" s="22"/>
      <c r="E497" s="16"/>
      <c r="F497" s="89"/>
      <c r="G497" s="89"/>
      <c r="H497" s="90"/>
      <c r="I497" s="373"/>
      <c r="J497" s="998"/>
      <c r="K497" s="924"/>
      <c r="L497" s="998"/>
      <c r="M497" s="998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938"/>
      <c r="Y497" s="938"/>
      <c r="Z497" s="938"/>
      <c r="AA497" s="938"/>
      <c r="AB497" s="938"/>
      <c r="AC497" s="938"/>
      <c r="AD497" s="938"/>
      <c r="AE497" s="938"/>
      <c r="AF497" s="938"/>
      <c r="AG497" s="938"/>
    </row>
    <row r="498" spans="1:33" s="3" customFormat="1" ht="19.5" customHeight="1">
      <c r="A498" s="231" t="s">
        <v>391</v>
      </c>
      <c r="B498" s="231"/>
      <c r="C498" s="224"/>
      <c r="D498" s="22"/>
      <c r="E498" s="16"/>
      <c r="F498" s="89"/>
      <c r="G498" s="89"/>
      <c r="H498" s="90"/>
      <c r="I498" s="373"/>
      <c r="J498" s="998"/>
      <c r="K498" s="924"/>
      <c r="L498" s="998"/>
      <c r="M498" s="998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938"/>
      <c r="Y498" s="938"/>
      <c r="Z498" s="938"/>
      <c r="AA498" s="938"/>
      <c r="AB498" s="938"/>
      <c r="AC498" s="938"/>
      <c r="AD498" s="938"/>
      <c r="AE498" s="938"/>
      <c r="AF498" s="938"/>
      <c r="AG498" s="938"/>
    </row>
    <row r="499" spans="1:33" s="3" customFormat="1" ht="19.5" customHeight="1">
      <c r="A499" s="231"/>
      <c r="B499" s="231"/>
      <c r="C499" s="224"/>
      <c r="D499" s="22"/>
      <c r="E499" s="16"/>
      <c r="F499" s="89"/>
      <c r="G499" s="89"/>
      <c r="H499" s="90"/>
      <c r="I499" s="373"/>
      <c r="J499" s="998"/>
      <c r="K499" s="924"/>
      <c r="L499" s="998"/>
      <c r="M499" s="998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938"/>
      <c r="Y499" s="938"/>
      <c r="Z499" s="938"/>
      <c r="AA499" s="938"/>
      <c r="AB499" s="938"/>
      <c r="AC499" s="938"/>
      <c r="AD499" s="938"/>
      <c r="AE499" s="938"/>
      <c r="AF499" s="938"/>
      <c r="AG499" s="938"/>
    </row>
    <row r="500" spans="1:33" s="3" customFormat="1" ht="19.5" customHeight="1">
      <c r="A500" s="231"/>
      <c r="B500" s="231"/>
      <c r="C500" s="224"/>
      <c r="D500" s="22"/>
      <c r="E500" s="16"/>
      <c r="F500" s="89"/>
      <c r="G500" s="89"/>
      <c r="H500" s="90"/>
      <c r="I500" s="373"/>
      <c r="J500" s="998"/>
      <c r="K500" s="924"/>
      <c r="L500" s="998"/>
      <c r="M500" s="998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938"/>
      <c r="Y500" s="938"/>
      <c r="Z500" s="938"/>
      <c r="AA500" s="938"/>
      <c r="AB500" s="938"/>
      <c r="AC500" s="938"/>
      <c r="AD500" s="938"/>
      <c r="AE500" s="938"/>
      <c r="AF500" s="938"/>
      <c r="AG500" s="938"/>
    </row>
    <row r="501" spans="1:33" s="3" customFormat="1" ht="19.5" customHeight="1">
      <c r="A501" s="231" t="s">
        <v>22</v>
      </c>
      <c r="B501" s="231"/>
      <c r="C501" s="224"/>
      <c r="D501" s="22"/>
      <c r="E501" s="16"/>
      <c r="F501" s="89"/>
      <c r="G501" s="89"/>
      <c r="H501" s="90"/>
      <c r="I501" s="373"/>
      <c r="J501" s="998"/>
      <c r="K501" s="924"/>
      <c r="L501" s="998"/>
      <c r="M501" s="998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938"/>
      <c r="Y501" s="938"/>
      <c r="Z501" s="938"/>
      <c r="AA501" s="938"/>
      <c r="AB501" s="938"/>
      <c r="AC501" s="938"/>
      <c r="AD501" s="938"/>
      <c r="AE501" s="938"/>
      <c r="AF501" s="938"/>
      <c r="AG501" s="938"/>
    </row>
    <row r="502" spans="1:33" s="3" customFormat="1" ht="19.5" customHeight="1">
      <c r="A502" s="695" t="s">
        <v>11</v>
      </c>
      <c r="B502" s="695"/>
      <c r="C502" s="696"/>
      <c r="D502" s="526"/>
      <c r="E502" s="232"/>
      <c r="F502" s="697"/>
      <c r="G502" s="89"/>
      <c r="H502" s="90"/>
      <c r="I502" s="373"/>
      <c r="J502" s="998"/>
      <c r="K502" s="924"/>
      <c r="L502" s="998"/>
      <c r="M502" s="998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938"/>
      <c r="Y502" s="938"/>
      <c r="Z502" s="938"/>
      <c r="AA502" s="938"/>
      <c r="AB502" s="938"/>
      <c r="AC502" s="938"/>
      <c r="AD502" s="938"/>
      <c r="AE502" s="938"/>
      <c r="AF502" s="938"/>
      <c r="AG502" s="938"/>
    </row>
    <row r="503" spans="1:33" s="3" customFormat="1" ht="19.5" customHeight="1">
      <c r="A503" s="695" t="s">
        <v>12</v>
      </c>
      <c r="B503" s="695"/>
      <c r="C503" s="696"/>
      <c r="D503" s="526"/>
      <c r="E503" s="232"/>
      <c r="F503" s="697"/>
      <c r="G503" s="89"/>
      <c r="H503" s="90"/>
      <c r="I503" s="373"/>
      <c r="J503" s="998"/>
      <c r="K503" s="924"/>
      <c r="L503" s="998"/>
      <c r="M503" s="998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938"/>
      <c r="Y503" s="938"/>
      <c r="Z503" s="938"/>
      <c r="AA503" s="938"/>
      <c r="AB503" s="938"/>
      <c r="AC503" s="938"/>
      <c r="AD503" s="938"/>
      <c r="AE503" s="938"/>
      <c r="AF503" s="938"/>
      <c r="AG503" s="938"/>
    </row>
    <row r="504" spans="1:33" s="3" customFormat="1" ht="19.5" customHeight="1">
      <c r="A504" s="231" t="s">
        <v>13</v>
      </c>
      <c r="B504" s="231"/>
      <c r="C504" s="224"/>
      <c r="D504" s="22"/>
      <c r="E504" s="16"/>
      <c r="F504" s="89"/>
      <c r="G504" s="89"/>
      <c r="H504" s="90"/>
      <c r="I504" s="373"/>
      <c r="J504" s="998"/>
      <c r="K504" s="924"/>
      <c r="L504" s="998"/>
      <c r="M504" s="998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938"/>
      <c r="Y504" s="938"/>
      <c r="Z504" s="938"/>
      <c r="AA504" s="938"/>
      <c r="AB504" s="938"/>
      <c r="AC504" s="938"/>
      <c r="AD504" s="938"/>
      <c r="AE504" s="938"/>
      <c r="AF504" s="938"/>
      <c r="AG504" s="938"/>
    </row>
    <row r="505" spans="1:33" s="3" customFormat="1" ht="19.5" customHeight="1">
      <c r="A505" s="231"/>
      <c r="B505" s="231"/>
      <c r="C505" s="224"/>
      <c r="D505" s="22"/>
      <c r="E505" s="16"/>
      <c r="F505" s="89"/>
      <c r="G505" s="89"/>
      <c r="H505" s="90"/>
      <c r="I505" s="373"/>
      <c r="J505" s="998"/>
      <c r="K505" s="924"/>
      <c r="L505" s="998"/>
      <c r="M505" s="998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938"/>
      <c r="Y505" s="938"/>
      <c r="Z505" s="938"/>
      <c r="AA505" s="938"/>
      <c r="AB505" s="938"/>
      <c r="AC505" s="938"/>
      <c r="AD505" s="938"/>
      <c r="AE505" s="938"/>
      <c r="AF505" s="938"/>
      <c r="AG505" s="938"/>
    </row>
    <row r="506" spans="1:33" s="3" customFormat="1" ht="19.5" customHeight="1">
      <c r="A506" s="231"/>
      <c r="B506" s="231"/>
      <c r="C506" s="224"/>
      <c r="D506" s="22"/>
      <c r="E506" s="16"/>
      <c r="F506" s="89"/>
      <c r="G506" s="89"/>
      <c r="H506" s="90"/>
      <c r="I506" s="373"/>
      <c r="J506" s="998"/>
      <c r="K506" s="924"/>
      <c r="L506" s="998"/>
      <c r="M506" s="998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938"/>
      <c r="Y506" s="938"/>
      <c r="Z506" s="938"/>
      <c r="AA506" s="938"/>
      <c r="AB506" s="938"/>
      <c r="AC506" s="938"/>
      <c r="AD506" s="938"/>
      <c r="AE506" s="938"/>
      <c r="AF506" s="938"/>
      <c r="AG506" s="938"/>
    </row>
    <row r="507" spans="1:33" s="3" customFormat="1" ht="19.5" customHeight="1">
      <c r="A507" s="371" t="s">
        <v>538</v>
      </c>
      <c r="B507" s="372"/>
      <c r="C507" s="372"/>
      <c r="D507" s="232"/>
      <c r="E507" s="232"/>
      <c r="F507" s="89"/>
      <c r="G507" s="89"/>
      <c r="H507" s="90"/>
      <c r="I507" s="373"/>
      <c r="J507" s="998"/>
      <c r="K507" s="924"/>
      <c r="L507" s="998"/>
      <c r="M507" s="998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938"/>
      <c r="Y507" s="938"/>
      <c r="Z507" s="938"/>
      <c r="AA507" s="938"/>
      <c r="AB507" s="938"/>
      <c r="AC507" s="938"/>
      <c r="AD507" s="938"/>
      <c r="AE507" s="938"/>
      <c r="AF507" s="938"/>
      <c r="AG507" s="938"/>
    </row>
    <row r="508" spans="1:33" s="3" customFormat="1" ht="19.5" customHeight="1">
      <c r="A508" s="374" t="s">
        <v>536</v>
      </c>
      <c r="B508" s="372"/>
      <c r="C508" s="372"/>
      <c r="D508" s="232"/>
      <c r="E508" s="232"/>
      <c r="F508" s="89"/>
      <c r="G508" s="89"/>
      <c r="H508" s="90"/>
      <c r="I508" s="373"/>
      <c r="J508" s="998"/>
      <c r="K508" s="924"/>
      <c r="L508" s="998"/>
      <c r="M508" s="998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938"/>
      <c r="Y508" s="938"/>
      <c r="Z508" s="938"/>
      <c r="AA508" s="938"/>
      <c r="AB508" s="938"/>
      <c r="AC508" s="938"/>
      <c r="AD508" s="938"/>
      <c r="AE508" s="938"/>
      <c r="AF508" s="938"/>
      <c r="AG508" s="938"/>
    </row>
    <row r="509" spans="1:33" s="3" customFormat="1" ht="19.5" customHeight="1">
      <c r="A509" s="374" t="s">
        <v>14</v>
      </c>
      <c r="B509" s="188"/>
      <c r="C509" s="134"/>
      <c r="D509" s="16"/>
      <c r="E509" s="16"/>
      <c r="F509" s="89"/>
      <c r="G509" s="89"/>
      <c r="H509" s="90"/>
      <c r="I509" s="373"/>
      <c r="J509" s="998"/>
      <c r="K509" s="924"/>
      <c r="L509" s="998"/>
      <c r="M509" s="998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938"/>
      <c r="Y509" s="938"/>
      <c r="Z509" s="938"/>
      <c r="AA509" s="938"/>
      <c r="AB509" s="938"/>
      <c r="AC509" s="938"/>
      <c r="AD509" s="938"/>
      <c r="AE509" s="938"/>
      <c r="AF509" s="938"/>
      <c r="AG509" s="938"/>
    </row>
    <row r="510" spans="1:33" s="3" customFormat="1" ht="19.5" customHeight="1">
      <c r="A510" s="371"/>
      <c r="B510" s="134"/>
      <c r="C510" s="134"/>
      <c r="D510" s="16"/>
      <c r="E510" s="16"/>
      <c r="F510" s="89"/>
      <c r="G510" s="89"/>
      <c r="H510" s="90"/>
      <c r="I510" s="373"/>
      <c r="J510" s="998"/>
      <c r="K510" s="924"/>
      <c r="L510" s="998"/>
      <c r="M510" s="998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938"/>
      <c r="Y510" s="938"/>
      <c r="Z510" s="938"/>
      <c r="AA510" s="938"/>
      <c r="AB510" s="938"/>
      <c r="AC510" s="938"/>
      <c r="AD510" s="938"/>
      <c r="AE510" s="938"/>
      <c r="AF510" s="938"/>
      <c r="AG510" s="938"/>
    </row>
    <row r="511" spans="1:33" s="3" customFormat="1" ht="19.5" customHeight="1">
      <c r="A511" s="371"/>
      <c r="B511" s="134"/>
      <c r="C511" s="134"/>
      <c r="D511" s="16"/>
      <c r="E511" s="16"/>
      <c r="F511" s="89"/>
      <c r="G511" s="89"/>
      <c r="H511" s="90"/>
      <c r="I511" s="373"/>
      <c r="J511" s="998"/>
      <c r="K511" s="924"/>
      <c r="L511" s="998"/>
      <c r="M511" s="998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938"/>
      <c r="Y511" s="938"/>
      <c r="Z511" s="938"/>
      <c r="AA511" s="938"/>
      <c r="AB511" s="938"/>
      <c r="AC511" s="938"/>
      <c r="AD511" s="938"/>
      <c r="AE511" s="938"/>
      <c r="AF511" s="938"/>
      <c r="AG511" s="938"/>
    </row>
    <row r="512" spans="1:33" s="3" customFormat="1" ht="19.5" customHeight="1">
      <c r="A512" s="371" t="s">
        <v>23</v>
      </c>
      <c r="B512" s="372"/>
      <c r="C512" s="372"/>
      <c r="D512" s="232"/>
      <c r="E512" s="232"/>
      <c r="F512" s="232"/>
      <c r="G512" s="232"/>
      <c r="H512" s="90"/>
      <c r="I512" s="373"/>
      <c r="J512" s="998"/>
      <c r="K512" s="924"/>
      <c r="L512" s="998"/>
      <c r="M512" s="998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938"/>
      <c r="Y512" s="938"/>
      <c r="Z512" s="938"/>
      <c r="AA512" s="938"/>
      <c r="AB512" s="938"/>
      <c r="AC512" s="938"/>
      <c r="AD512" s="938"/>
      <c r="AE512" s="938"/>
      <c r="AF512" s="938"/>
      <c r="AG512" s="938"/>
    </row>
    <row r="513" spans="1:33" s="3" customFormat="1" ht="19.5" customHeight="1">
      <c r="A513" s="374" t="s">
        <v>15</v>
      </c>
      <c r="B513" s="372"/>
      <c r="C513" s="372"/>
      <c r="D513" s="232"/>
      <c r="E513" s="232"/>
      <c r="F513" s="232"/>
      <c r="G513" s="232"/>
      <c r="H513" s="90"/>
      <c r="I513" s="373"/>
      <c r="J513" s="998"/>
      <c r="K513" s="924"/>
      <c r="L513" s="998"/>
      <c r="M513" s="998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938"/>
      <c r="Y513" s="938"/>
      <c r="Z513" s="938"/>
      <c r="AA513" s="938"/>
      <c r="AB513" s="938"/>
      <c r="AC513" s="938"/>
      <c r="AD513" s="938"/>
      <c r="AE513" s="938"/>
      <c r="AF513" s="938"/>
      <c r="AG513" s="938"/>
    </row>
    <row r="514" spans="1:33" s="3" customFormat="1" ht="19.5" customHeight="1">
      <c r="A514" s="371" t="s">
        <v>16</v>
      </c>
      <c r="B514" s="188"/>
      <c r="C514" s="134"/>
      <c r="D514" s="232"/>
      <c r="E514" s="232"/>
      <c r="F514" s="232"/>
      <c r="G514" s="232"/>
      <c r="H514" s="90"/>
      <c r="I514" s="373"/>
      <c r="J514" s="998"/>
      <c r="K514" s="924"/>
      <c r="L514" s="998"/>
      <c r="M514" s="998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938"/>
      <c r="Y514" s="938"/>
      <c r="Z514" s="938"/>
      <c r="AA514" s="938"/>
      <c r="AB514" s="938"/>
      <c r="AC514" s="938"/>
      <c r="AD514" s="938"/>
      <c r="AE514" s="938"/>
      <c r="AF514" s="938"/>
      <c r="AG514" s="938"/>
    </row>
    <row r="515" spans="1:33" s="3" customFormat="1" ht="19.5" customHeight="1">
      <c r="A515" s="371"/>
      <c r="B515" s="134"/>
      <c r="C515" s="134"/>
      <c r="D515" s="16"/>
      <c r="E515" s="16"/>
      <c r="F515" s="89"/>
      <c r="G515" s="89"/>
      <c r="H515" s="90"/>
      <c r="I515" s="373"/>
      <c r="J515" s="998"/>
      <c r="K515" s="924"/>
      <c r="L515" s="998"/>
      <c r="M515" s="998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938"/>
      <c r="Y515" s="938"/>
      <c r="Z515" s="938"/>
      <c r="AA515" s="938"/>
      <c r="AB515" s="938"/>
      <c r="AC515" s="938"/>
      <c r="AD515" s="938"/>
      <c r="AE515" s="938"/>
      <c r="AF515" s="938"/>
      <c r="AG515" s="938"/>
    </row>
    <row r="516" spans="1:33" s="3" customFormat="1" ht="19.5" customHeight="1">
      <c r="A516" s="371"/>
      <c r="B516" s="134"/>
      <c r="C516" s="134"/>
      <c r="D516" s="16"/>
      <c r="E516" s="16"/>
      <c r="F516" s="89"/>
      <c r="G516" s="89"/>
      <c r="H516" s="90"/>
      <c r="I516" s="373"/>
      <c r="J516" s="998"/>
      <c r="K516" s="924"/>
      <c r="L516" s="998"/>
      <c r="M516" s="998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938"/>
      <c r="Y516" s="938"/>
      <c r="Z516" s="938"/>
      <c r="AA516" s="938"/>
      <c r="AB516" s="938"/>
      <c r="AC516" s="938"/>
      <c r="AD516" s="938"/>
      <c r="AE516" s="938"/>
      <c r="AF516" s="938"/>
      <c r="AG516" s="938"/>
    </row>
    <row r="517" spans="1:33" s="3" customFormat="1" ht="19.5" customHeight="1">
      <c r="A517" s="812" t="s">
        <v>282</v>
      </c>
      <c r="B517" s="812"/>
      <c r="C517" s="813"/>
      <c r="D517" s="793"/>
      <c r="E517" s="19"/>
      <c r="F517" s="528"/>
      <c r="G517" s="528"/>
      <c r="H517" s="90"/>
      <c r="I517" s="373"/>
      <c r="J517" s="998"/>
      <c r="K517" s="924"/>
      <c r="L517" s="998"/>
      <c r="M517" s="998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938"/>
      <c r="Y517" s="938"/>
      <c r="Z517" s="938"/>
      <c r="AA517" s="938"/>
      <c r="AB517" s="938"/>
      <c r="AC517" s="938"/>
      <c r="AD517" s="938"/>
      <c r="AE517" s="938"/>
      <c r="AF517" s="938"/>
      <c r="AG517" s="938"/>
    </row>
    <row r="518" spans="1:33" s="3" customFormat="1" ht="19.5" customHeight="1">
      <c r="A518" s="812"/>
      <c r="B518" s="812"/>
      <c r="C518" s="813"/>
      <c r="D518" s="793"/>
      <c r="E518" s="19"/>
      <c r="F518" s="528"/>
      <c r="G518" s="528"/>
      <c r="H518" s="90"/>
      <c r="I518" s="373"/>
      <c r="J518" s="998"/>
      <c r="K518" s="924"/>
      <c r="L518" s="998"/>
      <c r="M518" s="998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938"/>
      <c r="Y518" s="938"/>
      <c r="Z518" s="938"/>
      <c r="AA518" s="938"/>
      <c r="AB518" s="938"/>
      <c r="AC518" s="938"/>
      <c r="AD518" s="938"/>
      <c r="AE518" s="938"/>
      <c r="AF518" s="938"/>
      <c r="AG518" s="938"/>
    </row>
    <row r="519" spans="1:33" s="3" customFormat="1" ht="19.5" customHeight="1">
      <c r="A519" s="812"/>
      <c r="B519" s="812"/>
      <c r="C519" s="813"/>
      <c r="D519" s="793"/>
      <c r="E519" s="19"/>
      <c r="F519" s="528"/>
      <c r="G519" s="528"/>
      <c r="H519" s="90"/>
      <c r="I519" s="373"/>
      <c r="J519" s="998"/>
      <c r="K519" s="924"/>
      <c r="L519" s="998"/>
      <c r="M519" s="998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938"/>
      <c r="Y519" s="938"/>
      <c r="Z519" s="938"/>
      <c r="AA519" s="938"/>
      <c r="AB519" s="938"/>
      <c r="AC519" s="938"/>
      <c r="AD519" s="938"/>
      <c r="AE519" s="938"/>
      <c r="AF519" s="938"/>
      <c r="AG519" s="938"/>
    </row>
    <row r="520" spans="1:33" s="3" customFormat="1" ht="19.5" customHeight="1">
      <c r="A520" s="812" t="s">
        <v>196</v>
      </c>
      <c r="B520" s="812"/>
      <c r="C520" s="813"/>
      <c r="D520" s="793"/>
      <c r="E520" s="19"/>
      <c r="F520" s="528"/>
      <c r="G520" s="528"/>
      <c r="H520" s="90"/>
      <c r="I520" s="373"/>
      <c r="J520" s="998"/>
      <c r="K520" s="924"/>
      <c r="L520" s="998"/>
      <c r="M520" s="998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938"/>
      <c r="Y520" s="938"/>
      <c r="Z520" s="938"/>
      <c r="AA520" s="938"/>
      <c r="AB520" s="938"/>
      <c r="AC520" s="938"/>
      <c r="AD520" s="938"/>
      <c r="AE520" s="938"/>
      <c r="AF520" s="938"/>
      <c r="AG520" s="938"/>
    </row>
    <row r="521" spans="1:33" s="3" customFormat="1" ht="19.5" customHeight="1">
      <c r="A521" s="812" t="s">
        <v>197</v>
      </c>
      <c r="B521" s="812"/>
      <c r="C521" s="813"/>
      <c r="D521" s="793"/>
      <c r="E521" s="19"/>
      <c r="F521" s="528"/>
      <c r="G521" s="528"/>
      <c r="H521" s="90"/>
      <c r="I521" s="373"/>
      <c r="J521" s="998"/>
      <c r="K521" s="924"/>
      <c r="L521" s="998"/>
      <c r="M521" s="998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938"/>
      <c r="Y521" s="938"/>
      <c r="Z521" s="938"/>
      <c r="AA521" s="938"/>
      <c r="AB521" s="938"/>
      <c r="AC521" s="938"/>
      <c r="AD521" s="938"/>
      <c r="AE521" s="938"/>
      <c r="AF521" s="938"/>
      <c r="AG521" s="938"/>
    </row>
    <row r="522" spans="1:33" s="3" customFormat="1" ht="19.5" customHeight="1">
      <c r="A522" s="812"/>
      <c r="B522" s="812"/>
      <c r="C522" s="813"/>
      <c r="D522" s="793"/>
      <c r="E522" s="19"/>
      <c r="F522" s="528"/>
      <c r="G522" s="528"/>
      <c r="H522" s="90"/>
      <c r="I522" s="373"/>
      <c r="J522" s="998"/>
      <c r="K522" s="924"/>
      <c r="L522" s="998"/>
      <c r="M522" s="998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938"/>
      <c r="Y522" s="938"/>
      <c r="Z522" s="938"/>
      <c r="AA522" s="938"/>
      <c r="AB522" s="938"/>
      <c r="AC522" s="938"/>
      <c r="AD522" s="938"/>
      <c r="AE522" s="938"/>
      <c r="AF522" s="938"/>
      <c r="AG522" s="938"/>
    </row>
    <row r="523" spans="1:33" s="3" customFormat="1" ht="19.5" customHeight="1">
      <c r="A523" s="812" t="s">
        <v>138</v>
      </c>
      <c r="B523" s="812"/>
      <c r="C523" s="813"/>
      <c r="D523" s="793"/>
      <c r="E523" s="19"/>
      <c r="F523" s="528"/>
      <c r="G523" s="528"/>
      <c r="H523" s="90"/>
      <c r="I523" s="373"/>
      <c r="J523" s="998"/>
      <c r="K523" s="924"/>
      <c r="L523" s="998"/>
      <c r="M523" s="998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938"/>
      <c r="Y523" s="938"/>
      <c r="Z523" s="938"/>
      <c r="AA523" s="938"/>
      <c r="AB523" s="938"/>
      <c r="AC523" s="938"/>
      <c r="AD523" s="938"/>
      <c r="AE523" s="938"/>
      <c r="AF523" s="938"/>
      <c r="AG523" s="938"/>
    </row>
    <row r="524" spans="1:33" s="3" customFormat="1" ht="19.5" customHeight="1">
      <c r="A524" s="812"/>
      <c r="B524" s="812"/>
      <c r="C524" s="813"/>
      <c r="D524" s="793"/>
      <c r="E524" s="19"/>
      <c r="F524" s="528"/>
      <c r="G524" s="528"/>
      <c r="H524" s="90"/>
      <c r="I524" s="373"/>
      <c r="J524" s="998"/>
      <c r="K524" s="924"/>
      <c r="L524" s="998"/>
      <c r="M524" s="998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938"/>
      <c r="Y524" s="938"/>
      <c r="Z524" s="938"/>
      <c r="AA524" s="938"/>
      <c r="AB524" s="938"/>
      <c r="AC524" s="938"/>
      <c r="AD524" s="938"/>
      <c r="AE524" s="938"/>
      <c r="AF524" s="938"/>
      <c r="AG524" s="938"/>
    </row>
    <row r="525" spans="1:33" s="3" customFormat="1" ht="19.5" customHeight="1">
      <c r="A525" s="812" t="s">
        <v>320</v>
      </c>
      <c r="B525" s="812" t="s">
        <v>131</v>
      </c>
      <c r="C525" s="813"/>
      <c r="D525" s="793"/>
      <c r="E525" s="19"/>
      <c r="F525" s="89">
        <v>27168179</v>
      </c>
      <c r="G525" s="528" t="s">
        <v>132</v>
      </c>
      <c r="H525" s="90"/>
      <c r="I525" s="373"/>
      <c r="J525" s="998"/>
      <c r="K525" s="924"/>
      <c r="L525" s="998"/>
      <c r="M525" s="998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938"/>
      <c r="Y525" s="938"/>
      <c r="Z525" s="938"/>
      <c r="AA525" s="938"/>
      <c r="AB525" s="938"/>
      <c r="AC525" s="938"/>
      <c r="AD525" s="938"/>
      <c r="AE525" s="938"/>
      <c r="AF525" s="938"/>
      <c r="AG525" s="938"/>
    </row>
    <row r="526" spans="1:33" s="3" customFormat="1" ht="19.5" customHeight="1">
      <c r="A526" s="812"/>
      <c r="B526" s="812" t="s">
        <v>133</v>
      </c>
      <c r="C526" s="813"/>
      <c r="D526" s="793"/>
      <c r="E526" s="19"/>
      <c r="F526" s="89">
        <v>13440424.92</v>
      </c>
      <c r="G526" s="528" t="s">
        <v>134</v>
      </c>
      <c r="H526" s="90"/>
      <c r="I526" s="373"/>
      <c r="J526" s="998"/>
      <c r="K526" s="924"/>
      <c r="L526" s="998"/>
      <c r="M526" s="998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938"/>
      <c r="Y526" s="938"/>
      <c r="Z526" s="938"/>
      <c r="AA526" s="938"/>
      <c r="AB526" s="938"/>
      <c r="AC526" s="938"/>
      <c r="AD526" s="938"/>
      <c r="AE526" s="938"/>
      <c r="AF526" s="938"/>
      <c r="AG526" s="938"/>
    </row>
    <row r="527" spans="1:33" s="3" customFormat="1" ht="19.5" customHeight="1">
      <c r="A527" s="812"/>
      <c r="B527" s="812"/>
      <c r="C527" s="813"/>
      <c r="D527" s="793"/>
      <c r="E527" s="19"/>
      <c r="F527" s="528"/>
      <c r="G527" s="528"/>
      <c r="H527" s="90"/>
      <c r="I527" s="373"/>
      <c r="J527" s="998"/>
      <c r="K527" s="924"/>
      <c r="L527" s="998"/>
      <c r="M527" s="998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938"/>
      <c r="Y527" s="938"/>
      <c r="Z527" s="938"/>
      <c r="AA527" s="938"/>
      <c r="AB527" s="938"/>
      <c r="AC527" s="938"/>
      <c r="AD527" s="938"/>
      <c r="AE527" s="938"/>
      <c r="AF527" s="938"/>
      <c r="AG527" s="938"/>
    </row>
    <row r="528" spans="1:33" s="3" customFormat="1" ht="19.5" customHeight="1">
      <c r="A528" s="812"/>
      <c r="B528" s="812"/>
      <c r="C528" s="813"/>
      <c r="D528" s="793"/>
      <c r="E528" s="19"/>
      <c r="F528" s="528"/>
      <c r="G528" s="528"/>
      <c r="H528" s="90"/>
      <c r="I528" s="373"/>
      <c r="J528" s="998"/>
      <c r="K528" s="924"/>
      <c r="L528" s="998"/>
      <c r="M528" s="998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938"/>
      <c r="Y528" s="938"/>
      <c r="Z528" s="938"/>
      <c r="AA528" s="938"/>
      <c r="AB528" s="938"/>
      <c r="AC528" s="938"/>
      <c r="AD528" s="938"/>
      <c r="AE528" s="938"/>
      <c r="AF528" s="938"/>
      <c r="AG528" s="938"/>
    </row>
    <row r="529" spans="1:33" s="3" customFormat="1" ht="19.5" customHeight="1">
      <c r="A529" s="814" t="s">
        <v>135</v>
      </c>
      <c r="B529" s="657"/>
      <c r="C529" s="372"/>
      <c r="D529" s="232"/>
      <c r="E529" s="232"/>
      <c r="F529" s="232"/>
      <c r="G529" s="232"/>
      <c r="H529" s="90"/>
      <c r="I529" s="373"/>
      <c r="J529" s="998"/>
      <c r="K529" s="924"/>
      <c r="L529" s="998"/>
      <c r="M529" s="998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938"/>
      <c r="Y529" s="938"/>
      <c r="Z529" s="938"/>
      <c r="AA529" s="938"/>
      <c r="AB529" s="938"/>
      <c r="AC529" s="938"/>
      <c r="AD529" s="938"/>
      <c r="AE529" s="938"/>
      <c r="AF529" s="938"/>
      <c r="AG529" s="938"/>
    </row>
    <row r="530" spans="1:33" s="3" customFormat="1" ht="19.5" customHeight="1">
      <c r="A530" s="815" t="s">
        <v>275</v>
      </c>
      <c r="B530" s="657"/>
      <c r="C530" s="372"/>
      <c r="D530" s="232"/>
      <c r="E530" s="232"/>
      <c r="F530" s="232"/>
      <c r="G530" s="232"/>
      <c r="H530" s="90"/>
      <c r="I530" s="373"/>
      <c r="J530" s="998"/>
      <c r="K530" s="924"/>
      <c r="L530" s="998"/>
      <c r="M530" s="998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938"/>
      <c r="Y530" s="938"/>
      <c r="Z530" s="938"/>
      <c r="AA530" s="938"/>
      <c r="AB530" s="938"/>
      <c r="AC530" s="938"/>
      <c r="AD530" s="938"/>
      <c r="AE530" s="938"/>
      <c r="AF530" s="938"/>
      <c r="AG530" s="938"/>
    </row>
    <row r="531" spans="1:33" s="3" customFormat="1" ht="19.5" customHeight="1">
      <c r="A531" s="371"/>
      <c r="B531" s="134"/>
      <c r="C531" s="134"/>
      <c r="D531" s="16"/>
      <c r="E531" s="16"/>
      <c r="F531" s="89"/>
      <c r="G531" s="89"/>
      <c r="H531" s="90"/>
      <c r="I531" s="373"/>
      <c r="J531" s="998"/>
      <c r="K531" s="924"/>
      <c r="L531" s="998"/>
      <c r="M531" s="998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938"/>
      <c r="Y531" s="938"/>
      <c r="Z531" s="938"/>
      <c r="AA531" s="938"/>
      <c r="AB531" s="938"/>
      <c r="AC531" s="938"/>
      <c r="AD531" s="938"/>
      <c r="AE531" s="938"/>
      <c r="AF531" s="938"/>
      <c r="AG531" s="938"/>
    </row>
    <row r="532" spans="1:33" s="3" customFormat="1" ht="19.5" customHeight="1">
      <c r="A532" s="371"/>
      <c r="B532" s="134"/>
      <c r="C532" s="134"/>
      <c r="D532" s="16"/>
      <c r="E532" s="16"/>
      <c r="F532" s="89"/>
      <c r="G532" s="89"/>
      <c r="H532" s="90"/>
      <c r="I532" s="373"/>
      <c r="J532" s="998"/>
      <c r="K532" s="924"/>
      <c r="L532" s="998"/>
      <c r="M532" s="998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938"/>
      <c r="Y532" s="938"/>
      <c r="Z532" s="938"/>
      <c r="AA532" s="938"/>
      <c r="AB532" s="938"/>
      <c r="AC532" s="938"/>
      <c r="AD532" s="938"/>
      <c r="AE532" s="938"/>
      <c r="AF532" s="938"/>
      <c r="AG532" s="938"/>
    </row>
    <row r="533" spans="1:33" s="3" customFormat="1" ht="19.5" customHeight="1">
      <c r="A533" s="814" t="s">
        <v>136</v>
      </c>
      <c r="B533" s="816"/>
      <c r="C533" s="816"/>
      <c r="D533" s="816"/>
      <c r="E533" s="816"/>
      <c r="F533" s="527"/>
      <c r="G533" s="528"/>
      <c r="H533" s="25">
        <f>H535+H537</f>
        <v>15100000</v>
      </c>
      <c r="I533" s="373"/>
      <c r="J533" s="998"/>
      <c r="K533" s="924"/>
      <c r="L533" s="998"/>
      <c r="M533" s="998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938"/>
      <c r="Y533" s="938"/>
      <c r="Z533" s="938"/>
      <c r="AA533" s="938"/>
      <c r="AB533" s="938"/>
      <c r="AC533" s="938"/>
      <c r="AD533" s="938"/>
      <c r="AE533" s="938"/>
      <c r="AF533" s="938"/>
      <c r="AG533" s="938"/>
    </row>
    <row r="534" spans="1:33" s="3" customFormat="1" ht="19.5" customHeight="1">
      <c r="A534" s="814" t="s">
        <v>319</v>
      </c>
      <c r="B534" s="816"/>
      <c r="C534" s="816"/>
      <c r="D534" s="816"/>
      <c r="E534" s="816"/>
      <c r="F534" s="527"/>
      <c r="G534" s="528"/>
      <c r="H534" s="25"/>
      <c r="I534" s="373"/>
      <c r="J534" s="998"/>
      <c r="K534" s="924"/>
      <c r="L534" s="998"/>
      <c r="M534" s="998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938"/>
      <c r="Y534" s="938"/>
      <c r="Z534" s="938"/>
      <c r="AA534" s="938"/>
      <c r="AB534" s="938"/>
      <c r="AC534" s="938"/>
      <c r="AD534" s="938"/>
      <c r="AE534" s="938"/>
      <c r="AF534" s="938"/>
      <c r="AG534" s="938"/>
    </row>
    <row r="535" spans="1:33" s="3" customFormat="1" ht="19.5" customHeight="1">
      <c r="A535" s="814"/>
      <c r="B535" s="816" t="s">
        <v>137</v>
      </c>
      <c r="C535" s="816"/>
      <c r="D535" s="816"/>
      <c r="E535" s="816"/>
      <c r="F535" s="527"/>
      <c r="G535" s="89"/>
      <c r="H535" s="90">
        <v>10700000</v>
      </c>
      <c r="I535" s="373"/>
      <c r="J535" s="998"/>
      <c r="K535" s="924"/>
      <c r="L535" s="998"/>
      <c r="M535" s="998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938"/>
      <c r="Y535" s="938"/>
      <c r="Z535" s="938"/>
      <c r="AA535" s="938"/>
      <c r="AB535" s="938"/>
      <c r="AC535" s="938"/>
      <c r="AD535" s="938"/>
      <c r="AE535" s="938"/>
      <c r="AF535" s="938"/>
      <c r="AG535" s="938"/>
    </row>
    <row r="536" spans="1:33" s="3" customFormat="1" ht="19.5" customHeight="1">
      <c r="A536" s="814"/>
      <c r="B536" s="816"/>
      <c r="C536" s="816"/>
      <c r="D536" s="816"/>
      <c r="E536" s="816"/>
      <c r="F536" s="527"/>
      <c r="G536" s="89"/>
      <c r="H536" s="90"/>
      <c r="I536" s="373"/>
      <c r="J536" s="998"/>
      <c r="K536" s="924"/>
      <c r="L536" s="998"/>
      <c r="M536" s="998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938"/>
      <c r="Y536" s="938"/>
      <c r="Z536" s="938"/>
      <c r="AA536" s="938"/>
      <c r="AB536" s="938"/>
      <c r="AC536" s="938"/>
      <c r="AD536" s="938"/>
      <c r="AE536" s="938"/>
      <c r="AF536" s="938"/>
      <c r="AG536" s="938"/>
    </row>
    <row r="537" spans="1:33" s="3" customFormat="1" ht="19.5" customHeight="1">
      <c r="A537" s="814"/>
      <c r="B537" s="816" t="s">
        <v>139</v>
      </c>
      <c r="C537" s="816"/>
      <c r="D537" s="816"/>
      <c r="E537" s="816"/>
      <c r="F537" s="527"/>
      <c r="G537" s="89"/>
      <c r="H537" s="90">
        <f>4400000</f>
        <v>4400000</v>
      </c>
      <c r="I537" s="373"/>
      <c r="J537" s="998"/>
      <c r="K537" s="924"/>
      <c r="L537" s="998"/>
      <c r="M537" s="998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938"/>
      <c r="Y537" s="938"/>
      <c r="Z537" s="938"/>
      <c r="AA537" s="938"/>
      <c r="AB537" s="938"/>
      <c r="AC537" s="938"/>
      <c r="AD537" s="938"/>
      <c r="AE537" s="938"/>
      <c r="AF537" s="938"/>
      <c r="AG537" s="938"/>
    </row>
    <row r="538" spans="1:33" s="3" customFormat="1" ht="19.5" customHeight="1">
      <c r="A538" s="814"/>
      <c r="B538" s="816"/>
      <c r="C538" s="816"/>
      <c r="D538" s="816"/>
      <c r="E538" s="816"/>
      <c r="F538" s="527"/>
      <c r="G538" s="89"/>
      <c r="H538" s="90"/>
      <c r="I538" s="373"/>
      <c r="J538" s="998"/>
      <c r="K538" s="924"/>
      <c r="L538" s="998"/>
      <c r="M538" s="998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938"/>
      <c r="Y538" s="938"/>
      <c r="Z538" s="938"/>
      <c r="AA538" s="938"/>
      <c r="AB538" s="938"/>
      <c r="AC538" s="938"/>
      <c r="AD538" s="938"/>
      <c r="AE538" s="938"/>
      <c r="AF538" s="938"/>
      <c r="AG538" s="938"/>
    </row>
    <row r="539" spans="1:33" s="3" customFormat="1" ht="19.5" customHeight="1">
      <c r="A539" s="814"/>
      <c r="B539" s="816"/>
      <c r="C539" s="816"/>
      <c r="D539" s="816"/>
      <c r="E539" s="816"/>
      <c r="F539" s="527"/>
      <c r="G539" s="89"/>
      <c r="H539" s="90"/>
      <c r="I539" s="373"/>
      <c r="J539" s="998"/>
      <c r="K539" s="924"/>
      <c r="L539" s="998"/>
      <c r="M539" s="998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938"/>
      <c r="Y539" s="938"/>
      <c r="Z539" s="938"/>
      <c r="AA539" s="938"/>
      <c r="AB539" s="938"/>
      <c r="AC539" s="938"/>
      <c r="AD539" s="938"/>
      <c r="AE539" s="938"/>
      <c r="AF539" s="938"/>
      <c r="AG539" s="938"/>
    </row>
    <row r="540" spans="1:33" s="3" customFormat="1" ht="19.5" customHeight="1">
      <c r="A540" s="814" t="s">
        <v>140</v>
      </c>
      <c r="B540" s="816"/>
      <c r="C540" s="816"/>
      <c r="D540" s="816"/>
      <c r="E540" s="816"/>
      <c r="F540" s="527"/>
      <c r="G540" s="89"/>
      <c r="H540" s="25">
        <f>H542</f>
        <v>75900</v>
      </c>
      <c r="I540" s="373"/>
      <c r="J540" s="998"/>
      <c r="K540" s="924"/>
      <c r="L540" s="998"/>
      <c r="M540" s="998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938"/>
      <c r="Y540" s="938"/>
      <c r="Z540" s="938"/>
      <c r="AA540" s="938"/>
      <c r="AB540" s="938"/>
      <c r="AC540" s="938"/>
      <c r="AD540" s="938"/>
      <c r="AE540" s="938"/>
      <c r="AF540" s="938"/>
      <c r="AG540" s="938"/>
    </row>
    <row r="541" spans="1:33" s="3" customFormat="1" ht="19.5" customHeight="1">
      <c r="A541" s="814" t="s">
        <v>319</v>
      </c>
      <c r="B541" s="816"/>
      <c r="C541" s="816"/>
      <c r="D541" s="816"/>
      <c r="E541" s="816"/>
      <c r="F541" s="527"/>
      <c r="G541" s="89"/>
      <c r="H541" s="90"/>
      <c r="I541" s="373"/>
      <c r="J541" s="998"/>
      <c r="K541" s="924"/>
      <c r="L541" s="998"/>
      <c r="M541" s="998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938"/>
      <c r="Y541" s="938"/>
      <c r="Z541" s="938"/>
      <c r="AA541" s="938"/>
      <c r="AB541" s="938"/>
      <c r="AC541" s="938"/>
      <c r="AD541" s="938"/>
      <c r="AE541" s="938"/>
      <c r="AF541" s="938"/>
      <c r="AG541" s="938"/>
    </row>
    <row r="542" spans="1:33" s="3" customFormat="1" ht="19.5" customHeight="1">
      <c r="A542" s="814"/>
      <c r="B542" s="816" t="s">
        <v>141</v>
      </c>
      <c r="C542" s="816"/>
      <c r="D542" s="816"/>
      <c r="E542" s="816"/>
      <c r="F542" s="527"/>
      <c r="G542" s="89"/>
      <c r="H542" s="90">
        <v>75900</v>
      </c>
      <c r="I542" s="373"/>
      <c r="J542" s="998"/>
      <c r="K542" s="924"/>
      <c r="L542" s="998"/>
      <c r="M542" s="998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938"/>
      <c r="Y542" s="938"/>
      <c r="Z542" s="938"/>
      <c r="AA542" s="938"/>
      <c r="AB542" s="938"/>
      <c r="AC542" s="938"/>
      <c r="AD542" s="938"/>
      <c r="AE542" s="938"/>
      <c r="AF542" s="938"/>
      <c r="AG542" s="938"/>
    </row>
    <row r="543" spans="1:33" s="3" customFormat="1" ht="19.5" customHeight="1">
      <c r="A543" s="814"/>
      <c r="B543" s="816"/>
      <c r="C543" s="382"/>
      <c r="D543" s="19"/>
      <c r="E543" s="19"/>
      <c r="F543" s="19"/>
      <c r="G543" s="19"/>
      <c r="H543" s="818"/>
      <c r="I543" s="373"/>
      <c r="J543" s="998"/>
      <c r="K543" s="924"/>
      <c r="L543" s="998"/>
      <c r="M543" s="998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938"/>
      <c r="Y543" s="938"/>
      <c r="Z543" s="938"/>
      <c r="AA543" s="938"/>
      <c r="AB543" s="938"/>
      <c r="AC543" s="938"/>
      <c r="AD543" s="938"/>
      <c r="AE543" s="938"/>
      <c r="AF543" s="938"/>
      <c r="AG543" s="938"/>
    </row>
    <row r="544" spans="1:33" s="3" customFormat="1" ht="19.5" customHeight="1">
      <c r="A544" s="812" t="s">
        <v>272</v>
      </c>
      <c r="B544" s="812"/>
      <c r="C544" s="813"/>
      <c r="D544" s="793"/>
      <c r="E544" s="19"/>
      <c r="F544" s="528"/>
      <c r="G544" s="528"/>
      <c r="H544" s="817"/>
      <c r="I544" s="373"/>
      <c r="J544" s="998"/>
      <c r="K544" s="924"/>
      <c r="L544" s="998"/>
      <c r="M544" s="998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938"/>
      <c r="Y544" s="938"/>
      <c r="Z544" s="938"/>
      <c r="AA544" s="938"/>
      <c r="AB544" s="938"/>
      <c r="AC544" s="938"/>
      <c r="AD544" s="938"/>
      <c r="AE544" s="938"/>
      <c r="AF544" s="938"/>
      <c r="AG544" s="938"/>
    </row>
    <row r="545" spans="1:33" s="3" customFormat="1" ht="19.5" customHeight="1">
      <c r="A545" s="812" t="s">
        <v>391</v>
      </c>
      <c r="B545" s="812"/>
      <c r="C545" s="813"/>
      <c r="D545" s="793"/>
      <c r="E545" s="19"/>
      <c r="F545" s="528"/>
      <c r="G545" s="528"/>
      <c r="H545" s="817"/>
      <c r="I545" s="373"/>
      <c r="J545" s="998"/>
      <c r="K545" s="924"/>
      <c r="L545" s="998"/>
      <c r="M545" s="998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938"/>
      <c r="Y545" s="938"/>
      <c r="Z545" s="938"/>
      <c r="AA545" s="938"/>
      <c r="AB545" s="938"/>
      <c r="AC545" s="938"/>
      <c r="AD545" s="938"/>
      <c r="AE545" s="938"/>
      <c r="AF545" s="938"/>
      <c r="AG545" s="938"/>
    </row>
    <row r="546" spans="1:33" s="3" customFormat="1" ht="19.5" customHeight="1">
      <c r="A546" s="814"/>
      <c r="B546" s="657"/>
      <c r="C546" s="372"/>
      <c r="D546" s="232"/>
      <c r="E546" s="232"/>
      <c r="F546" s="232"/>
      <c r="G546" s="232"/>
      <c r="H546" s="819"/>
      <c r="I546" s="373"/>
      <c r="J546" s="998"/>
      <c r="K546" s="924"/>
      <c r="L546" s="998"/>
      <c r="M546" s="998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938"/>
      <c r="Y546" s="938"/>
      <c r="Z546" s="938"/>
      <c r="AA546" s="938"/>
      <c r="AB546" s="938"/>
      <c r="AC546" s="938"/>
      <c r="AD546" s="938"/>
      <c r="AE546" s="938"/>
      <c r="AF546" s="938"/>
      <c r="AG546" s="938"/>
    </row>
    <row r="547" spans="1:33" s="3" customFormat="1" ht="19.5" customHeight="1">
      <c r="A547" s="814"/>
      <c r="B547" s="657"/>
      <c r="C547" s="372"/>
      <c r="D547" s="232"/>
      <c r="E547" s="232"/>
      <c r="F547" s="232"/>
      <c r="G547" s="232"/>
      <c r="H547" s="819"/>
      <c r="I547" s="373"/>
      <c r="J547" s="998"/>
      <c r="K547" s="924"/>
      <c r="L547" s="998"/>
      <c r="M547" s="998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938"/>
      <c r="Y547" s="938"/>
      <c r="Z547" s="938"/>
      <c r="AA547" s="938"/>
      <c r="AB547" s="938"/>
      <c r="AC547" s="938"/>
      <c r="AD547" s="938"/>
      <c r="AE547" s="938"/>
      <c r="AF547" s="938"/>
      <c r="AG547" s="938"/>
    </row>
    <row r="548" spans="1:33" s="3" customFormat="1" ht="19.5" customHeight="1">
      <c r="A548" s="371" t="s">
        <v>283</v>
      </c>
      <c r="B548" s="372"/>
      <c r="C548" s="372"/>
      <c r="D548" s="232"/>
      <c r="E548" s="232"/>
      <c r="F548" s="232"/>
      <c r="G548" s="232"/>
      <c r="H548" s="195"/>
      <c r="I548" s="373"/>
      <c r="J548" s="998"/>
      <c r="K548" s="924"/>
      <c r="L548" s="998"/>
      <c r="M548" s="998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938"/>
      <c r="Y548" s="938"/>
      <c r="Z548" s="938"/>
      <c r="AA548" s="938"/>
      <c r="AB548" s="938"/>
      <c r="AC548" s="938"/>
      <c r="AD548" s="938"/>
      <c r="AE548" s="938"/>
      <c r="AF548" s="938"/>
      <c r="AG548" s="938"/>
    </row>
    <row r="549" spans="1:33" s="3" customFormat="1" ht="19.5" customHeight="1">
      <c r="A549" s="374" t="s">
        <v>274</v>
      </c>
      <c r="B549" s="372"/>
      <c r="C549" s="372"/>
      <c r="D549" s="232"/>
      <c r="E549" s="232"/>
      <c r="F549" s="232"/>
      <c r="G549" s="232"/>
      <c r="H549" s="195"/>
      <c r="I549" s="373"/>
      <c r="J549" s="998"/>
      <c r="K549" s="924"/>
      <c r="L549" s="998"/>
      <c r="M549" s="998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938"/>
      <c r="Y549" s="938"/>
      <c r="Z549" s="938"/>
      <c r="AA549" s="938"/>
      <c r="AB549" s="938"/>
      <c r="AC549" s="938"/>
      <c r="AD549" s="938"/>
      <c r="AE549" s="938"/>
      <c r="AF549" s="938"/>
      <c r="AG549" s="938"/>
    </row>
    <row r="550" spans="1:33" s="3" customFormat="1" ht="19.5" customHeight="1">
      <c r="A550" s="371" t="s">
        <v>273</v>
      </c>
      <c r="B550" s="188"/>
      <c r="C550" s="134"/>
      <c r="D550" s="232"/>
      <c r="E550" s="232"/>
      <c r="F550" s="232"/>
      <c r="G550" s="232"/>
      <c r="H550" s="195"/>
      <c r="I550" s="373"/>
      <c r="J550" s="998"/>
      <c r="K550" s="924"/>
      <c r="L550" s="998"/>
      <c r="M550" s="998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938"/>
      <c r="Y550" s="938"/>
      <c r="Z550" s="938"/>
      <c r="AA550" s="938"/>
      <c r="AB550" s="938"/>
      <c r="AC550" s="938"/>
      <c r="AD550" s="938"/>
      <c r="AE550" s="938"/>
      <c r="AF550" s="938"/>
      <c r="AG550" s="938"/>
    </row>
    <row r="551" spans="1:33" s="3" customFormat="1" ht="19.5" customHeight="1">
      <c r="A551" s="814"/>
      <c r="B551" s="657"/>
      <c r="C551" s="372"/>
      <c r="D551" s="232"/>
      <c r="E551" s="232"/>
      <c r="F551" s="232"/>
      <c r="G551" s="232"/>
      <c r="H551" s="819"/>
      <c r="I551" s="373"/>
      <c r="J551" s="998"/>
      <c r="K551" s="924"/>
      <c r="L551" s="998"/>
      <c r="M551" s="998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938"/>
      <c r="Y551" s="938"/>
      <c r="Z551" s="938"/>
      <c r="AA551" s="938"/>
      <c r="AB551" s="938"/>
      <c r="AC551" s="938"/>
      <c r="AD551" s="938"/>
      <c r="AE551" s="938"/>
      <c r="AF551" s="938"/>
      <c r="AG551" s="938"/>
    </row>
    <row r="552" spans="1:33" s="3" customFormat="1" ht="19.5" customHeight="1">
      <c r="A552" s="814"/>
      <c r="B552" s="657"/>
      <c r="C552" s="372"/>
      <c r="D552" s="232"/>
      <c r="E552" s="232"/>
      <c r="F552" s="232"/>
      <c r="G552" s="232"/>
      <c r="H552" s="819"/>
      <c r="I552" s="373"/>
      <c r="J552" s="998"/>
      <c r="K552" s="924"/>
      <c r="L552" s="998"/>
      <c r="M552" s="998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938"/>
      <c r="Y552" s="938"/>
      <c r="Z552" s="938"/>
      <c r="AA552" s="938"/>
      <c r="AB552" s="938"/>
      <c r="AC552" s="938"/>
      <c r="AD552" s="938"/>
      <c r="AE552" s="938"/>
      <c r="AF552" s="938"/>
      <c r="AG552" s="938"/>
    </row>
    <row r="553" spans="1:23" ht="19.5" customHeight="1">
      <c r="A553" s="375" t="s">
        <v>284</v>
      </c>
      <c r="B553" s="134"/>
      <c r="C553" s="134"/>
      <c r="D553" s="16"/>
      <c r="E553" s="16"/>
      <c r="F553" s="16"/>
      <c r="G553" s="201"/>
      <c r="H553" s="17"/>
      <c r="I553" s="974"/>
      <c r="J553" s="967"/>
      <c r="K553" s="968"/>
      <c r="L553" s="969"/>
      <c r="M553" s="969"/>
      <c r="N553" s="970"/>
      <c r="O553" s="970"/>
      <c r="P553" s="12"/>
      <c r="Q553" s="971"/>
      <c r="R553" s="971"/>
      <c r="S553" s="971"/>
      <c r="T553" s="971"/>
      <c r="U553" s="971"/>
      <c r="V553" s="971"/>
      <c r="W553" s="971"/>
    </row>
    <row r="554" spans="1:23" ht="19.5" customHeight="1">
      <c r="A554" s="233"/>
      <c r="B554" s="134"/>
      <c r="C554" s="134"/>
      <c r="D554" s="16"/>
      <c r="E554" s="16"/>
      <c r="F554" s="16"/>
      <c r="G554" s="201"/>
      <c r="H554" s="195"/>
      <c r="I554" s="974"/>
      <c r="J554" s="967"/>
      <c r="K554" s="968"/>
      <c r="L554" s="969"/>
      <c r="M554" s="969"/>
      <c r="N554" s="970"/>
      <c r="O554" s="970"/>
      <c r="P554" s="12"/>
      <c r="Q554" s="971"/>
      <c r="R554" s="971"/>
      <c r="S554" s="971"/>
      <c r="T554" s="971"/>
      <c r="U554" s="971"/>
      <c r="V554" s="971"/>
      <c r="W554" s="971"/>
    </row>
    <row r="555" spans="1:23" ht="19.5" customHeight="1">
      <c r="A555" s="233"/>
      <c r="B555" s="134"/>
      <c r="C555" s="134"/>
      <c r="D555" s="16"/>
      <c r="E555" s="16"/>
      <c r="F555" s="16"/>
      <c r="G555" s="201"/>
      <c r="H555" s="195"/>
      <c r="I555" s="974"/>
      <c r="J555" s="967"/>
      <c r="K555" s="968"/>
      <c r="L555" s="969"/>
      <c r="M555" s="969"/>
      <c r="N555" s="970"/>
      <c r="O555" s="970"/>
      <c r="P555" s="12"/>
      <c r="Q555" s="971"/>
      <c r="R555" s="971"/>
      <c r="S555" s="971"/>
      <c r="T555" s="971"/>
      <c r="U555" s="971"/>
      <c r="V555" s="971"/>
      <c r="W555" s="971"/>
    </row>
    <row r="556" spans="1:23" ht="19.5" customHeight="1">
      <c r="A556" s="382" t="s">
        <v>396</v>
      </c>
      <c r="B556" s="205"/>
      <c r="C556" s="383"/>
      <c r="D556" s="384"/>
      <c r="E556" s="16"/>
      <c r="F556" s="16"/>
      <c r="G556" s="195"/>
      <c r="H556" s="195">
        <f>H560+H563</f>
        <v>1208901.33</v>
      </c>
      <c r="I556" s="974"/>
      <c r="J556" s="990"/>
      <c r="K556" s="968"/>
      <c r="L556" s="969"/>
      <c r="M556" s="969"/>
      <c r="N556" s="970"/>
      <c r="O556" s="970"/>
      <c r="P556" s="12"/>
      <c r="Q556" s="971"/>
      <c r="R556" s="971"/>
      <c r="S556" s="971"/>
      <c r="T556" s="971"/>
      <c r="U556" s="971"/>
      <c r="V556" s="971"/>
      <c r="W556" s="971"/>
    </row>
    <row r="557" spans="1:23" ht="19.5" customHeight="1">
      <c r="A557" s="382" t="s">
        <v>392</v>
      </c>
      <c r="B557" s="205"/>
      <c r="C557" s="383"/>
      <c r="D557" s="384"/>
      <c r="E557" s="16"/>
      <c r="F557" s="16"/>
      <c r="G557" s="195"/>
      <c r="H557" s="195">
        <f>H561+H564</f>
        <v>1219451.33</v>
      </c>
      <c r="I557" s="974"/>
      <c r="J557" s="967"/>
      <c r="K557" s="968"/>
      <c r="L557" s="969"/>
      <c r="M557" s="969"/>
      <c r="N557" s="970"/>
      <c r="O557" s="970"/>
      <c r="P557" s="12"/>
      <c r="Q557" s="971"/>
      <c r="R557" s="971"/>
      <c r="S557" s="971"/>
      <c r="T557" s="971"/>
      <c r="U557" s="971"/>
      <c r="V557" s="971"/>
      <c r="W557" s="971"/>
    </row>
    <row r="558" spans="1:23" ht="19.5" customHeight="1">
      <c r="A558" s="205" t="s">
        <v>393</v>
      </c>
      <c r="B558" s="205"/>
      <c r="C558" s="383"/>
      <c r="D558" s="384"/>
      <c r="E558" s="16"/>
      <c r="F558" s="16"/>
      <c r="G558" s="195"/>
      <c r="H558" s="195"/>
      <c r="I558" s="974"/>
      <c r="J558" s="967"/>
      <c r="K558" s="968"/>
      <c r="L558" s="969"/>
      <c r="M558" s="969"/>
      <c r="N558" s="970"/>
      <c r="O558" s="970"/>
      <c r="P558" s="12"/>
      <c r="Q558" s="971"/>
      <c r="R558" s="971"/>
      <c r="S558" s="971"/>
      <c r="T558" s="971"/>
      <c r="U558" s="971"/>
      <c r="V558" s="971"/>
      <c r="W558" s="971"/>
    </row>
    <row r="559" spans="1:23" ht="19.5" customHeight="1">
      <c r="A559" s="205"/>
      <c r="B559" s="205"/>
      <c r="C559" s="383"/>
      <c r="D559" s="384"/>
      <c r="E559" s="16"/>
      <c r="F559" s="16"/>
      <c r="G559" s="195"/>
      <c r="H559" s="195"/>
      <c r="I559" s="974"/>
      <c r="J559" s="967"/>
      <c r="K559" s="968"/>
      <c r="L559" s="969"/>
      <c r="M559" s="969"/>
      <c r="N559" s="970"/>
      <c r="O559" s="970"/>
      <c r="P559" s="12"/>
      <c r="Q559" s="971"/>
      <c r="R559" s="971"/>
      <c r="S559" s="971"/>
      <c r="T559" s="971"/>
      <c r="U559" s="971"/>
      <c r="V559" s="971"/>
      <c r="W559" s="971"/>
    </row>
    <row r="560" spans="1:23" ht="19.5" customHeight="1">
      <c r="A560" s="205"/>
      <c r="B560" s="205" t="s">
        <v>394</v>
      </c>
      <c r="C560" s="383"/>
      <c r="D560" s="384"/>
      <c r="E560" s="16"/>
      <c r="F560" s="16"/>
      <c r="G560" s="195"/>
      <c r="H560" s="195">
        <v>272799.82</v>
      </c>
      <c r="I560" s="974"/>
      <c r="J560" s="967"/>
      <c r="K560" s="968"/>
      <c r="L560" s="969"/>
      <c r="M560" s="969"/>
      <c r="N560" s="970"/>
      <c r="O560" s="970"/>
      <c r="P560" s="12"/>
      <c r="Q560" s="971"/>
      <c r="R560" s="971"/>
      <c r="S560" s="971"/>
      <c r="T560" s="971"/>
      <c r="U560" s="971"/>
      <c r="V560" s="971"/>
      <c r="W560" s="971"/>
    </row>
    <row r="561" spans="1:23" ht="19.5" customHeight="1">
      <c r="A561" s="205"/>
      <c r="B561" s="205" t="s">
        <v>395</v>
      </c>
      <c r="C561" s="383"/>
      <c r="D561" s="384"/>
      <c r="E561" s="16"/>
      <c r="F561" s="16"/>
      <c r="G561" s="195"/>
      <c r="H561" s="195">
        <f>H560-D216</f>
        <v>263389.82</v>
      </c>
      <c r="I561" s="974"/>
      <c r="J561" s="967"/>
      <c r="K561" s="968"/>
      <c r="L561" s="969"/>
      <c r="M561" s="969"/>
      <c r="N561" s="970"/>
      <c r="O561" s="970"/>
      <c r="P561" s="12"/>
      <c r="Q561" s="971"/>
      <c r="R561" s="971"/>
      <c r="S561" s="971"/>
      <c r="T561" s="971"/>
      <c r="U561" s="971"/>
      <c r="V561" s="971"/>
      <c r="W561" s="971"/>
    </row>
    <row r="562" spans="1:23" ht="19.5" customHeight="1">
      <c r="A562" s="137"/>
      <c r="B562" s="137"/>
      <c r="C562" s="204"/>
      <c r="D562" s="18"/>
      <c r="E562" s="16"/>
      <c r="F562" s="16"/>
      <c r="G562" s="195"/>
      <c r="H562" s="195"/>
      <c r="I562" s="974"/>
      <c r="J562" s="967"/>
      <c r="K562" s="968"/>
      <c r="L562" s="969"/>
      <c r="M562" s="969"/>
      <c r="N562" s="970"/>
      <c r="O562" s="970"/>
      <c r="P562" s="12"/>
      <c r="Q562" s="971"/>
      <c r="R562" s="971"/>
      <c r="S562" s="971"/>
      <c r="T562" s="971"/>
      <c r="U562" s="971"/>
      <c r="V562" s="971"/>
      <c r="W562" s="971"/>
    </row>
    <row r="563" spans="1:23" ht="19.5" customHeight="1">
      <c r="A563" s="205"/>
      <c r="B563" s="205" t="s">
        <v>522</v>
      </c>
      <c r="C563" s="383"/>
      <c r="D563" s="234"/>
      <c r="E563" s="16"/>
      <c r="F563" s="16"/>
      <c r="G563" s="195"/>
      <c r="H563" s="195">
        <v>936101.51</v>
      </c>
      <c r="I563" s="974"/>
      <c r="J563" s="967"/>
      <c r="K563" s="968"/>
      <c r="L563" s="969"/>
      <c r="M563" s="969"/>
      <c r="N563" s="970"/>
      <c r="O563" s="970"/>
      <c r="P563" s="12"/>
      <c r="Q563" s="971"/>
      <c r="R563" s="971"/>
      <c r="S563" s="971"/>
      <c r="T563" s="971"/>
      <c r="U563" s="971"/>
      <c r="V563" s="971"/>
      <c r="W563" s="971"/>
    </row>
    <row r="564" spans="1:23" ht="19.5" customHeight="1">
      <c r="A564" s="205"/>
      <c r="B564" s="205" t="s">
        <v>395</v>
      </c>
      <c r="C564" s="383"/>
      <c r="D564" s="234"/>
      <c r="E564" s="16"/>
      <c r="F564" s="16"/>
      <c r="G564" s="195"/>
      <c r="H564" s="195">
        <f>H563+F317</f>
        <v>956061.51</v>
      </c>
      <c r="I564" s="974"/>
      <c r="J564" s="967"/>
      <c r="K564" s="968"/>
      <c r="L564" s="969"/>
      <c r="M564" s="969"/>
      <c r="N564" s="970"/>
      <c r="O564" s="970"/>
      <c r="P564" s="12"/>
      <c r="Q564" s="971"/>
      <c r="R564" s="971"/>
      <c r="S564" s="971"/>
      <c r="T564" s="971"/>
      <c r="U564" s="971"/>
      <c r="V564" s="971"/>
      <c r="W564" s="971"/>
    </row>
    <row r="565" spans="1:23" ht="19.5" customHeight="1">
      <c r="A565" s="137"/>
      <c r="B565" s="137"/>
      <c r="C565" s="204"/>
      <c r="D565" s="18"/>
      <c r="E565" s="16"/>
      <c r="F565" s="16"/>
      <c r="G565" s="195"/>
      <c r="H565" s="195"/>
      <c r="I565" s="974"/>
      <c r="J565" s="967"/>
      <c r="K565" s="968"/>
      <c r="L565" s="969"/>
      <c r="M565" s="969"/>
      <c r="N565" s="970"/>
      <c r="O565" s="970"/>
      <c r="P565" s="12"/>
      <c r="Q565" s="971"/>
      <c r="R565" s="971"/>
      <c r="S565" s="971"/>
      <c r="T565" s="971"/>
      <c r="U565" s="971"/>
      <c r="V565" s="971"/>
      <c r="W565" s="971"/>
    </row>
    <row r="566" spans="1:23" ht="19.5" customHeight="1">
      <c r="A566" s="137"/>
      <c r="B566" s="137"/>
      <c r="C566" s="204"/>
      <c r="D566" s="18"/>
      <c r="E566" s="16"/>
      <c r="F566" s="16"/>
      <c r="G566" s="195"/>
      <c r="H566" s="195"/>
      <c r="I566" s="974"/>
      <c r="J566" s="967"/>
      <c r="K566" s="968"/>
      <c r="L566" s="969"/>
      <c r="M566" s="969"/>
      <c r="N566" s="970"/>
      <c r="O566" s="970"/>
      <c r="P566" s="12"/>
      <c r="Q566" s="971"/>
      <c r="R566" s="971"/>
      <c r="S566" s="971"/>
      <c r="T566" s="971"/>
      <c r="U566" s="971"/>
      <c r="V566" s="971"/>
      <c r="W566" s="971"/>
    </row>
    <row r="567" spans="1:13" ht="19.5" customHeight="1">
      <c r="A567" s="158" t="s">
        <v>397</v>
      </c>
      <c r="B567" s="158"/>
      <c r="C567" s="235"/>
      <c r="D567" s="236"/>
      <c r="E567" s="236"/>
      <c r="F567" s="237"/>
      <c r="G567" s="236"/>
      <c r="H567" s="195"/>
      <c r="I567" s="949"/>
      <c r="J567" s="943"/>
      <c r="K567" s="1004"/>
      <c r="L567" s="632"/>
      <c r="M567" s="632"/>
    </row>
    <row r="568" spans="1:13" ht="19.5" customHeight="1">
      <c r="A568" s="158"/>
      <c r="B568" s="158"/>
      <c r="C568" s="235"/>
      <c r="D568" s="236"/>
      <c r="E568" s="236"/>
      <c r="F568" s="237"/>
      <c r="G568" s="236"/>
      <c r="H568" s="195"/>
      <c r="I568" s="949"/>
      <c r="J568" s="943"/>
      <c r="K568" s="1004"/>
      <c r="L568" s="632"/>
      <c r="M568" s="632"/>
    </row>
    <row r="569" spans="1:13" ht="19.5" customHeight="1">
      <c r="A569" s="158"/>
      <c r="B569" s="158"/>
      <c r="C569" s="235"/>
      <c r="D569" s="236"/>
      <c r="E569" s="236"/>
      <c r="F569" s="237"/>
      <c r="G569" s="236"/>
      <c r="H569" s="195"/>
      <c r="I569" s="949"/>
      <c r="J569" s="943"/>
      <c r="K569" s="1004"/>
      <c r="L569" s="632"/>
      <c r="M569" s="632"/>
    </row>
    <row r="570" spans="1:13" ht="19.5" customHeight="1">
      <c r="A570" s="238" t="s">
        <v>398</v>
      </c>
      <c r="B570" s="238"/>
      <c r="C570" s="239"/>
      <c r="D570" s="240"/>
      <c r="E570" s="240"/>
      <c r="F570" s="241"/>
      <c r="G570" s="240"/>
      <c r="H570" s="17"/>
      <c r="I570" s="949"/>
      <c r="J570" s="943"/>
      <c r="K570" s="1004"/>
      <c r="L570" s="632"/>
      <c r="M570" s="632"/>
    </row>
    <row r="571" spans="1:13" ht="19.5" customHeight="1">
      <c r="A571" s="238"/>
      <c r="B571" s="238"/>
      <c r="C571" s="239"/>
      <c r="D571" s="240"/>
      <c r="E571" s="240"/>
      <c r="F571" s="241"/>
      <c r="G571" s="240"/>
      <c r="H571" s="17"/>
      <c r="I571" s="949"/>
      <c r="J571" s="943"/>
      <c r="K571" s="1004"/>
      <c r="L571" s="632"/>
      <c r="M571" s="632"/>
    </row>
    <row r="572" spans="1:13" ht="19.5" customHeight="1">
      <c r="A572" s="158" t="s">
        <v>399</v>
      </c>
      <c r="B572" s="158"/>
      <c r="C572" s="235"/>
      <c r="D572" s="236"/>
      <c r="E572" s="236"/>
      <c r="F572" s="237"/>
      <c r="G572" s="236"/>
      <c r="H572" s="195"/>
      <c r="I572" s="949"/>
      <c r="J572" s="943"/>
      <c r="K572" s="1004"/>
      <c r="L572" s="632"/>
      <c r="M572" s="632"/>
    </row>
    <row r="573" spans="1:13" ht="19.5" customHeight="1">
      <c r="A573" s="158"/>
      <c r="B573" s="158"/>
      <c r="C573" s="235"/>
      <c r="D573" s="236"/>
      <c r="E573" s="236"/>
      <c r="F573" s="237"/>
      <c r="G573" s="236"/>
      <c r="H573" s="195"/>
      <c r="I573" s="949"/>
      <c r="J573" s="943"/>
      <c r="K573" s="1004"/>
      <c r="L573" s="632"/>
      <c r="M573" s="632"/>
    </row>
    <row r="574" spans="1:13" ht="19.5" customHeight="1">
      <c r="A574" s="238"/>
      <c r="B574" s="238"/>
      <c r="C574" s="239"/>
      <c r="D574" s="240"/>
      <c r="E574" s="240"/>
      <c r="F574" s="241"/>
      <c r="G574" s="240"/>
      <c r="H574" s="17"/>
      <c r="I574" s="1005"/>
      <c r="J574" s="943"/>
      <c r="K574" s="1004"/>
      <c r="L574" s="531"/>
      <c r="M574" s="632"/>
    </row>
    <row r="575" spans="1:13" ht="19.5" customHeight="1">
      <c r="A575" s="238" t="s">
        <v>400</v>
      </c>
      <c r="B575" s="238"/>
      <c r="C575" s="239"/>
      <c r="D575" s="240"/>
      <c r="E575" s="240"/>
      <c r="F575" s="241"/>
      <c r="G575" s="240"/>
      <c r="I575" s="1005"/>
      <c r="J575" s="943"/>
      <c r="K575" s="1004"/>
      <c r="L575" s="531"/>
      <c r="M575" s="632"/>
    </row>
    <row r="576" spans="1:13" ht="19.5" customHeight="1">
      <c r="A576" s="238"/>
      <c r="B576" s="238"/>
      <c r="C576" s="239"/>
      <c r="D576" s="240"/>
      <c r="E576" s="240"/>
      <c r="F576" s="241"/>
      <c r="G576" s="240"/>
      <c r="I576" s="1005"/>
      <c r="J576" s="943"/>
      <c r="K576" s="1004"/>
      <c r="L576" s="531"/>
      <c r="M576" s="632"/>
    </row>
    <row r="577" spans="1:13" ht="19.5" customHeight="1">
      <c r="A577" s="238"/>
      <c r="B577" s="238"/>
      <c r="C577" s="239"/>
      <c r="D577" s="240"/>
      <c r="E577" s="240"/>
      <c r="F577" s="241"/>
      <c r="G577" s="240"/>
      <c r="I577" s="1005"/>
      <c r="J577" s="943"/>
      <c r="K577" s="1004"/>
      <c r="L577" s="531"/>
      <c r="M577" s="632"/>
    </row>
    <row r="578" spans="1:13" ht="19.5" customHeight="1">
      <c r="A578" s="238"/>
      <c r="B578" s="238"/>
      <c r="C578" s="239"/>
      <c r="D578" s="240"/>
      <c r="E578" s="240"/>
      <c r="F578" s="241"/>
      <c r="G578" s="240"/>
      <c r="I578" s="1005"/>
      <c r="J578" s="943"/>
      <c r="K578" s="1004"/>
      <c r="L578" s="531"/>
      <c r="M578" s="632"/>
    </row>
    <row r="579" spans="1:11" ht="19.5" customHeight="1">
      <c r="A579" s="155"/>
      <c r="B579" s="155"/>
      <c r="C579" s="156"/>
      <c r="D579" s="242"/>
      <c r="E579" s="242"/>
      <c r="F579" s="243" t="s">
        <v>401</v>
      </c>
      <c r="G579" s="242"/>
      <c r="I579" s="949"/>
      <c r="K579" s="948"/>
    </row>
    <row r="580" spans="1:11" ht="19.5" customHeight="1">
      <c r="A580" s="155"/>
      <c r="B580" s="155"/>
      <c r="C580" s="156"/>
      <c r="D580" s="242"/>
      <c r="E580" s="242"/>
      <c r="F580" s="243" t="s">
        <v>402</v>
      </c>
      <c r="G580" s="242"/>
      <c r="I580" s="949"/>
      <c r="K580" s="948"/>
    </row>
    <row r="581" spans="1:11" ht="19.5" customHeight="1">
      <c r="A581" s="155"/>
      <c r="B581" s="155"/>
      <c r="C581" s="156"/>
      <c r="D581" s="242"/>
      <c r="E581" s="242"/>
      <c r="F581" s="243"/>
      <c r="G581" s="242"/>
      <c r="I581" s="949"/>
      <c r="K581" s="948"/>
    </row>
    <row r="582" spans="1:11" ht="19.5" customHeight="1">
      <c r="A582" s="155"/>
      <c r="B582" s="155"/>
      <c r="C582" s="156"/>
      <c r="D582" s="242"/>
      <c r="E582" s="242"/>
      <c r="F582" s="244" t="s">
        <v>403</v>
      </c>
      <c r="G582" s="242"/>
      <c r="I582" s="949"/>
      <c r="K582" s="948"/>
    </row>
    <row r="583" spans="1:11" ht="19.5" customHeight="1">
      <c r="A583" s="134"/>
      <c r="B583" s="134"/>
      <c r="C583" s="134"/>
      <c r="I583" s="949"/>
      <c r="K583" s="948"/>
    </row>
    <row r="584" spans="1:11" ht="19.5" customHeight="1">
      <c r="A584" s="134"/>
      <c r="B584" s="134"/>
      <c r="C584" s="134"/>
      <c r="I584" s="949"/>
      <c r="K584" s="948"/>
    </row>
    <row r="585" spans="1:11" ht="19.5" customHeight="1">
      <c r="A585" s="134"/>
      <c r="B585" s="134"/>
      <c r="C585" s="134"/>
      <c r="I585" s="949"/>
      <c r="K585" s="94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4.57421875" style="265" customWidth="1"/>
    <col min="2" max="2" width="5.140625" style="119" customWidth="1"/>
    <col min="3" max="3" width="6.57421875" style="119" customWidth="1"/>
    <col min="4" max="4" width="5.28125" style="357" customWidth="1"/>
    <col min="5" max="5" width="48.57421875" style="120" customWidth="1"/>
    <col min="6" max="6" width="14.8515625" style="265" customWidth="1"/>
    <col min="7" max="7" width="13.421875" style="265" customWidth="1"/>
    <col min="8" max="8" width="7.421875" style="119" customWidth="1"/>
    <col min="9" max="9" width="20.8515625" style="119" customWidth="1"/>
    <col min="10" max="10" width="14.7109375" style="119" customWidth="1"/>
    <col min="11" max="16384" width="9.140625" style="119" customWidth="1"/>
  </cols>
  <sheetData>
    <row r="1" spans="1:7" ht="20.25">
      <c r="A1" s="279"/>
      <c r="B1" s="36"/>
      <c r="C1" s="36"/>
      <c r="D1" s="279"/>
      <c r="E1" s="98"/>
      <c r="F1" s="264" t="s">
        <v>493</v>
      </c>
      <c r="G1" s="245"/>
    </row>
    <row r="2" spans="1:7" ht="18.75">
      <c r="A2" s="279"/>
      <c r="B2" s="36"/>
      <c r="C2" s="36"/>
      <c r="D2" s="279"/>
      <c r="E2" s="98"/>
      <c r="F2" s="154" t="s">
        <v>633</v>
      </c>
      <c r="G2" s="245"/>
    </row>
    <row r="3" spans="1:7" ht="18.75">
      <c r="A3" s="279"/>
      <c r="B3" s="36"/>
      <c r="C3" s="36"/>
      <c r="D3" s="279"/>
      <c r="E3" s="98"/>
      <c r="F3" s="154" t="s">
        <v>402</v>
      </c>
      <c r="G3" s="245"/>
    </row>
    <row r="4" spans="1:7" ht="15.75">
      <c r="A4" s="279"/>
      <c r="B4" s="36"/>
      <c r="C4" s="36"/>
      <c r="D4" s="279"/>
      <c r="E4" s="98"/>
      <c r="F4" s="1" t="s">
        <v>122</v>
      </c>
      <c r="G4" s="245"/>
    </row>
    <row r="5" spans="1:7" ht="12.75">
      <c r="A5" s="279"/>
      <c r="B5" s="36"/>
      <c r="C5" s="36"/>
      <c r="D5" s="279"/>
      <c r="E5" s="98"/>
      <c r="F5" s="245"/>
      <c r="G5" s="245"/>
    </row>
    <row r="6" spans="1:7" ht="12.75">
      <c r="A6" s="279"/>
      <c r="B6" s="36"/>
      <c r="C6" s="36"/>
      <c r="D6" s="279"/>
      <c r="E6" s="98"/>
      <c r="F6" s="245"/>
      <c r="G6" s="245"/>
    </row>
    <row r="7" spans="1:7" ht="19.5">
      <c r="A7" s="279"/>
      <c r="B7" s="38"/>
      <c r="C7" s="39" t="s">
        <v>430</v>
      </c>
      <c r="D7" s="280"/>
      <c r="E7" s="99"/>
      <c r="F7" s="281"/>
      <c r="G7" s="281"/>
    </row>
    <row r="8" spans="1:7" ht="19.5">
      <c r="A8" s="279"/>
      <c r="B8" s="38"/>
      <c r="C8" s="39" t="s">
        <v>431</v>
      </c>
      <c r="D8" s="280"/>
      <c r="E8" s="99"/>
      <c r="F8" s="281"/>
      <c r="G8" s="282"/>
    </row>
    <row r="9" spans="1:7" ht="18.75">
      <c r="A9" s="279"/>
      <c r="B9" s="38"/>
      <c r="C9" s="40"/>
      <c r="D9" s="280"/>
      <c r="E9" s="99"/>
      <c r="F9" s="281"/>
      <c r="G9" s="281"/>
    </row>
    <row r="10" spans="1:7" ht="12.75">
      <c r="A10" s="279"/>
      <c r="B10" s="38" t="s">
        <v>320</v>
      </c>
      <c r="C10" s="41"/>
      <c r="D10" s="283"/>
      <c r="E10" s="99"/>
      <c r="F10" s="284" t="s">
        <v>330</v>
      </c>
      <c r="G10" s="284"/>
    </row>
    <row r="11" spans="1:7" ht="18.75" customHeight="1">
      <c r="A11" s="285"/>
      <c r="B11" s="100"/>
      <c r="C11" s="42"/>
      <c r="D11" s="286"/>
      <c r="E11" s="101"/>
      <c r="F11" s="287" t="s">
        <v>432</v>
      </c>
      <c r="G11" s="288"/>
    </row>
    <row r="12" spans="1:7" ht="16.5" customHeight="1">
      <c r="A12" s="255" t="s">
        <v>361</v>
      </c>
      <c r="B12" s="102" t="s">
        <v>331</v>
      </c>
      <c r="C12" s="43" t="s">
        <v>328</v>
      </c>
      <c r="D12" s="43" t="s">
        <v>323</v>
      </c>
      <c r="E12" s="103" t="s">
        <v>332</v>
      </c>
      <c r="F12" s="289"/>
      <c r="G12" s="290" t="s">
        <v>319</v>
      </c>
    </row>
    <row r="13" spans="1:10" ht="46.5" customHeight="1">
      <c r="A13" s="291"/>
      <c r="B13" s="104"/>
      <c r="C13" s="44"/>
      <c r="D13" s="292"/>
      <c r="E13" s="105"/>
      <c r="F13" s="293" t="s">
        <v>333</v>
      </c>
      <c r="G13" s="294" t="s">
        <v>334</v>
      </c>
      <c r="I13" s="295"/>
      <c r="J13" s="295"/>
    </row>
    <row r="14" spans="1:10" ht="21" customHeight="1">
      <c r="A14" s="285"/>
      <c r="B14" s="45" t="s">
        <v>335</v>
      </c>
      <c r="C14" s="46"/>
      <c r="D14" s="296"/>
      <c r="E14" s="106"/>
      <c r="F14" s="297">
        <f>F15+F39+F47+F53+F58+F61+F96+F99+F103+F112+F136+F141</f>
        <v>41219794.88</v>
      </c>
      <c r="G14" s="297">
        <f>G15+G39+G47+G53+G58+G61+G96+G99+G103+G112+G136+G141</f>
        <v>5445793</v>
      </c>
      <c r="I14" s="298"/>
      <c r="J14" s="298"/>
    </row>
    <row r="15" spans="1:10" ht="19.5" customHeight="1">
      <c r="A15" s="246"/>
      <c r="B15" s="49">
        <v>600</v>
      </c>
      <c r="C15" s="49"/>
      <c r="D15" s="299"/>
      <c r="E15" s="107" t="s">
        <v>336</v>
      </c>
      <c r="F15" s="108">
        <f>F16+F18</f>
        <v>11394923.05</v>
      </c>
      <c r="G15" s="128">
        <f>G16+G18</f>
        <v>2500000</v>
      </c>
      <c r="I15" s="300"/>
      <c r="J15" s="300"/>
    </row>
    <row r="16" spans="1:10" s="416" customFormat="1" ht="19.5" customHeight="1">
      <c r="A16" s="291"/>
      <c r="B16" s="65"/>
      <c r="C16" s="58">
        <v>60004</v>
      </c>
      <c r="D16" s="250"/>
      <c r="E16" s="413" t="s">
        <v>531</v>
      </c>
      <c r="F16" s="121">
        <f>F17</f>
        <v>20000</v>
      </c>
      <c r="G16" s="122"/>
      <c r="H16" s="414"/>
      <c r="I16" s="415"/>
      <c r="J16" s="415"/>
    </row>
    <row r="17" spans="1:10" s="416" customFormat="1" ht="19.5" customHeight="1">
      <c r="A17" s="291">
        <v>1</v>
      </c>
      <c r="B17" s="65"/>
      <c r="C17" s="58"/>
      <c r="D17" s="250">
        <v>6050</v>
      </c>
      <c r="E17" s="413" t="s">
        <v>530</v>
      </c>
      <c r="F17" s="121">
        <v>20000</v>
      </c>
      <c r="G17" s="122"/>
      <c r="H17" s="414"/>
      <c r="I17" s="415"/>
      <c r="J17" s="415"/>
    </row>
    <row r="18" spans="1:7" ht="18" customHeight="1">
      <c r="A18" s="291"/>
      <c r="B18" s="86"/>
      <c r="C18" s="83">
        <v>60016</v>
      </c>
      <c r="D18" s="301"/>
      <c r="E18" s="77" t="s">
        <v>337</v>
      </c>
      <c r="F18" s="109">
        <f>SUM(F19:F38)</f>
        <v>11374923.05</v>
      </c>
      <c r="G18" s="116">
        <f>SUM(G19:G38)</f>
        <v>2500000</v>
      </c>
    </row>
    <row r="19" spans="1:9" s="252" customFormat="1" ht="26.25" customHeight="1">
      <c r="A19" s="246">
        <v>2</v>
      </c>
      <c r="B19" s="248"/>
      <c r="C19" s="386"/>
      <c r="D19" s="250">
        <v>6050</v>
      </c>
      <c r="E19" s="67" t="s">
        <v>408</v>
      </c>
      <c r="F19" s="122">
        <v>3013000</v>
      </c>
      <c r="G19" s="122">
        <v>2000000</v>
      </c>
      <c r="H19" s="251"/>
      <c r="I19" s="251"/>
    </row>
    <row r="20" spans="1:8" s="252" customFormat="1" ht="38.25" customHeight="1">
      <c r="A20" s="246">
        <v>3</v>
      </c>
      <c r="B20" s="248"/>
      <c r="C20" s="386"/>
      <c r="D20" s="250">
        <v>6050</v>
      </c>
      <c r="E20" s="253" t="s">
        <v>409</v>
      </c>
      <c r="F20" s="121">
        <v>1857.05</v>
      </c>
      <c r="G20" s="122">
        <v>0</v>
      </c>
      <c r="H20" s="251"/>
    </row>
    <row r="21" spans="1:9" s="252" customFormat="1" ht="29.25" customHeight="1">
      <c r="A21" s="246">
        <v>4</v>
      </c>
      <c r="B21" s="254"/>
      <c r="C21" s="387"/>
      <c r="D21" s="250">
        <v>6050</v>
      </c>
      <c r="E21" s="55" t="s">
        <v>433</v>
      </c>
      <c r="F21" s="121">
        <f>1500000-15444.76</f>
        <v>1484555.24</v>
      </c>
      <c r="G21" s="122">
        <v>0</v>
      </c>
      <c r="I21" s="251"/>
    </row>
    <row r="22" spans="1:7" s="252" customFormat="1" ht="31.5" customHeight="1">
      <c r="A22" s="246">
        <v>5</v>
      </c>
      <c r="B22" s="254"/>
      <c r="C22" s="387"/>
      <c r="D22" s="250">
        <v>6050</v>
      </c>
      <c r="E22" s="55" t="s">
        <v>434</v>
      </c>
      <c r="F22" s="121">
        <v>90000</v>
      </c>
      <c r="G22" s="122">
        <v>0</v>
      </c>
    </row>
    <row r="23" spans="1:7" s="252" customFormat="1" ht="27" customHeight="1">
      <c r="A23" s="246">
        <v>6</v>
      </c>
      <c r="B23" s="254"/>
      <c r="C23" s="387"/>
      <c r="D23" s="250">
        <v>6050</v>
      </c>
      <c r="E23" s="55" t="s">
        <v>435</v>
      </c>
      <c r="F23" s="121">
        <f>2000000-78000</f>
        <v>1922000</v>
      </c>
      <c r="G23" s="777">
        <f>104918.45+100000</f>
        <v>204918.45</v>
      </c>
    </row>
    <row r="24" spans="1:7" s="252" customFormat="1" ht="23.25" customHeight="1">
      <c r="A24" s="246">
        <v>7</v>
      </c>
      <c r="B24" s="254"/>
      <c r="C24" s="387"/>
      <c r="D24" s="250">
        <v>6050</v>
      </c>
      <c r="E24" s="55" t="s">
        <v>436</v>
      </c>
      <c r="F24" s="121">
        <v>1200000</v>
      </c>
      <c r="G24" s="777">
        <f>400000-104918.45</f>
        <v>295081.55</v>
      </c>
    </row>
    <row r="25" spans="1:7" s="252" customFormat="1" ht="48.75" customHeight="1">
      <c r="A25" s="246">
        <v>9</v>
      </c>
      <c r="B25" s="254"/>
      <c r="C25" s="387"/>
      <c r="D25" s="250">
        <v>6050</v>
      </c>
      <c r="E25" s="55" t="s">
        <v>437</v>
      </c>
      <c r="F25" s="121">
        <f>148000-8000-41000</f>
        <v>99000</v>
      </c>
      <c r="G25" s="122">
        <v>0</v>
      </c>
    </row>
    <row r="26" spans="1:7" s="252" customFormat="1" ht="24.75" customHeight="1">
      <c r="A26" s="246">
        <v>9</v>
      </c>
      <c r="B26" s="254"/>
      <c r="C26" s="387"/>
      <c r="D26" s="250">
        <v>6050</v>
      </c>
      <c r="E26" s="55" t="s">
        <v>438</v>
      </c>
      <c r="F26" s="788">
        <f>45000+32121</f>
        <v>77121</v>
      </c>
      <c r="G26" s="122">
        <v>0</v>
      </c>
    </row>
    <row r="27" spans="1:7" s="252" customFormat="1" ht="32.25" customHeight="1">
      <c r="A27" s="291">
        <v>10</v>
      </c>
      <c r="B27" s="254"/>
      <c r="C27" s="387"/>
      <c r="D27" s="250">
        <v>6050</v>
      </c>
      <c r="E27" s="55" t="s">
        <v>439</v>
      </c>
      <c r="F27" s="121">
        <f>500+41000</f>
        <v>41500</v>
      </c>
      <c r="G27" s="122">
        <v>0</v>
      </c>
    </row>
    <row r="28" spans="1:7" s="252" customFormat="1" ht="29.25" customHeight="1">
      <c r="A28" s="291">
        <v>11</v>
      </c>
      <c r="B28" s="254"/>
      <c r="C28" s="387"/>
      <c r="D28" s="250">
        <v>6050</v>
      </c>
      <c r="E28" s="55" t="s">
        <v>440</v>
      </c>
      <c r="F28" s="121">
        <f>21000-5095.24</f>
        <v>15904.76</v>
      </c>
      <c r="G28" s="122">
        <v>0</v>
      </c>
    </row>
    <row r="29" spans="1:7" s="252" customFormat="1" ht="30.75" customHeight="1">
      <c r="A29" s="291">
        <v>12</v>
      </c>
      <c r="B29" s="254"/>
      <c r="C29" s="387"/>
      <c r="D29" s="250">
        <v>6050</v>
      </c>
      <c r="E29" s="55" t="s">
        <v>441</v>
      </c>
      <c r="F29" s="121">
        <v>30000</v>
      </c>
      <c r="G29" s="122">
        <v>0</v>
      </c>
    </row>
    <row r="30" spans="1:7" s="252" customFormat="1" ht="30.75" customHeight="1">
      <c r="A30" s="291">
        <v>13</v>
      </c>
      <c r="B30" s="254"/>
      <c r="C30" s="255"/>
      <c r="D30" s="250">
        <v>6050</v>
      </c>
      <c r="E30" s="55" t="s">
        <v>525</v>
      </c>
      <c r="F30" s="788">
        <f>3000+2500000</f>
        <v>2503000</v>
      </c>
      <c r="G30" s="122">
        <v>0</v>
      </c>
    </row>
    <row r="31" spans="1:7" s="252" customFormat="1" ht="30.75" customHeight="1">
      <c r="A31" s="291">
        <v>14</v>
      </c>
      <c r="B31" s="254"/>
      <c r="C31" s="255"/>
      <c r="D31" s="250">
        <v>6050</v>
      </c>
      <c r="E31" s="55" t="s">
        <v>549</v>
      </c>
      <c r="F31" s="121">
        <v>64000</v>
      </c>
      <c r="G31" s="122"/>
    </row>
    <row r="32" spans="1:7" s="252" customFormat="1" ht="30.75" customHeight="1">
      <c r="A32" s="291"/>
      <c r="B32" s="254"/>
      <c r="C32" s="255"/>
      <c r="D32" s="786">
        <v>6050</v>
      </c>
      <c r="E32" s="787" t="s">
        <v>114</v>
      </c>
      <c r="F32" s="788">
        <f>18995+23450</f>
        <v>42445</v>
      </c>
      <c r="G32" s="789"/>
    </row>
    <row r="33" spans="1:7" s="252" customFormat="1" ht="30.75" customHeight="1">
      <c r="A33" s="291"/>
      <c r="B33" s="254"/>
      <c r="C33" s="255"/>
      <c r="D33" s="786">
        <v>6050</v>
      </c>
      <c r="E33" s="787" t="s">
        <v>181</v>
      </c>
      <c r="F33" s="788">
        <v>300000</v>
      </c>
      <c r="G33" s="789"/>
    </row>
    <row r="34" spans="1:7" s="252" customFormat="1" ht="30.75" customHeight="1">
      <c r="A34" s="291"/>
      <c r="B34" s="254"/>
      <c r="C34" s="255"/>
      <c r="D34" s="786">
        <v>6050</v>
      </c>
      <c r="E34" s="787" t="s">
        <v>184</v>
      </c>
      <c r="F34" s="788">
        <v>70000</v>
      </c>
      <c r="G34" s="789"/>
    </row>
    <row r="35" spans="1:7" s="252" customFormat="1" ht="30.75" customHeight="1">
      <c r="A35" s="291"/>
      <c r="B35" s="254"/>
      <c r="C35" s="255"/>
      <c r="D35" s="786">
        <v>6050</v>
      </c>
      <c r="E35" s="787" t="s">
        <v>185</v>
      </c>
      <c r="F35" s="788">
        <v>60000</v>
      </c>
      <c r="G35" s="789"/>
    </row>
    <row r="36" spans="1:7" s="252" customFormat="1" ht="30.75" customHeight="1">
      <c r="A36" s="291"/>
      <c r="B36" s="254"/>
      <c r="C36" s="255"/>
      <c r="D36" s="786">
        <v>6050</v>
      </c>
      <c r="E36" s="787" t="s">
        <v>186</v>
      </c>
      <c r="F36" s="788">
        <v>20000</v>
      </c>
      <c r="G36" s="789"/>
    </row>
    <row r="37" spans="1:7" s="252" customFormat="1" ht="30.75" customHeight="1">
      <c r="A37" s="291"/>
      <c r="B37" s="254"/>
      <c r="C37" s="255"/>
      <c r="D37" s="786">
        <v>6050</v>
      </c>
      <c r="E37" s="787" t="s">
        <v>201</v>
      </c>
      <c r="F37" s="788">
        <v>220000</v>
      </c>
      <c r="G37" s="789"/>
    </row>
    <row r="38" spans="1:7" s="252" customFormat="1" ht="28.5" customHeight="1">
      <c r="A38" s="291">
        <v>15</v>
      </c>
      <c r="B38" s="254"/>
      <c r="C38" s="255"/>
      <c r="D38" s="250">
        <v>6050</v>
      </c>
      <c r="E38" s="55" t="s">
        <v>442</v>
      </c>
      <c r="F38" s="121">
        <f>100000+20540</f>
        <v>120540</v>
      </c>
      <c r="G38" s="122">
        <v>0</v>
      </c>
    </row>
    <row r="39" spans="1:7" ht="27" customHeight="1">
      <c r="A39" s="302"/>
      <c r="B39" s="49">
        <v>700</v>
      </c>
      <c r="C39" s="49"/>
      <c r="D39" s="299"/>
      <c r="E39" s="110" t="s">
        <v>338</v>
      </c>
      <c r="F39" s="111">
        <f>F40+F42</f>
        <v>1634343</v>
      </c>
      <c r="G39" s="114">
        <f>G40+G42</f>
        <v>0</v>
      </c>
    </row>
    <row r="40" spans="1:7" ht="27" customHeight="1">
      <c r="A40" s="246"/>
      <c r="B40" s="54"/>
      <c r="C40" s="63">
        <v>70005</v>
      </c>
      <c r="D40" s="301"/>
      <c r="E40" s="77" t="s">
        <v>339</v>
      </c>
      <c r="F40" s="109">
        <f>SUM(F41:F41)</f>
        <v>913960</v>
      </c>
      <c r="G40" s="116">
        <f>SUM(G41:G41)</f>
        <v>0</v>
      </c>
    </row>
    <row r="41" spans="1:7" ht="30" customHeight="1">
      <c r="A41" s="246">
        <v>16</v>
      </c>
      <c r="B41" s="64"/>
      <c r="C41" s="388"/>
      <c r="D41" s="250">
        <v>6060</v>
      </c>
      <c r="E41" s="55" t="s">
        <v>340</v>
      </c>
      <c r="F41" s="81">
        <f>866460+45000+2500</f>
        <v>913960</v>
      </c>
      <c r="G41" s="81">
        <v>0</v>
      </c>
    </row>
    <row r="42" spans="1:7" ht="24.75" customHeight="1">
      <c r="A42" s="246"/>
      <c r="B42" s="56"/>
      <c r="C42" s="66">
        <v>70095</v>
      </c>
      <c r="D42" s="303"/>
      <c r="E42" s="77" t="s">
        <v>341</v>
      </c>
      <c r="F42" s="109">
        <f>SUM(F43:F46)</f>
        <v>720383</v>
      </c>
      <c r="G42" s="116">
        <f>SUM(G43:G46)</f>
        <v>0</v>
      </c>
    </row>
    <row r="43" spans="1:7" ht="34.5" customHeight="1">
      <c r="A43" s="246">
        <v>17</v>
      </c>
      <c r="B43" s="56"/>
      <c r="C43" s="389"/>
      <c r="D43" s="246">
        <v>6050</v>
      </c>
      <c r="E43" s="67" t="s">
        <v>443</v>
      </c>
      <c r="F43" s="81">
        <f>574383+10000</f>
        <v>584383</v>
      </c>
      <c r="G43" s="81">
        <v>0</v>
      </c>
    </row>
    <row r="44" spans="1:7" ht="34.5" customHeight="1">
      <c r="A44" s="246">
        <v>18</v>
      </c>
      <c r="B44" s="56"/>
      <c r="C44" s="389"/>
      <c r="D44" s="246">
        <v>6050</v>
      </c>
      <c r="E44" s="67" t="s">
        <v>532</v>
      </c>
      <c r="F44" s="81">
        <v>75000</v>
      </c>
      <c r="G44" s="81"/>
    </row>
    <row r="45" spans="1:7" ht="28.5" customHeight="1">
      <c r="A45" s="246"/>
      <c r="B45" s="56"/>
      <c r="C45" s="837"/>
      <c r="D45" s="796">
        <v>6050</v>
      </c>
      <c r="E45" s="836" t="s">
        <v>208</v>
      </c>
      <c r="F45" s="798">
        <v>60000</v>
      </c>
      <c r="G45" s="81"/>
    </row>
    <row r="46" spans="1:7" s="120" customFormat="1" ht="36.75" customHeight="1">
      <c r="A46" s="246">
        <v>19</v>
      </c>
      <c r="B46" s="64"/>
      <c r="C46" s="388"/>
      <c r="D46" s="246">
        <v>6050</v>
      </c>
      <c r="E46" s="67" t="s">
        <v>444</v>
      </c>
      <c r="F46" s="81">
        <f>11000-10000</f>
        <v>1000</v>
      </c>
      <c r="G46" s="81">
        <v>0</v>
      </c>
    </row>
    <row r="47" spans="1:7" ht="27" customHeight="1">
      <c r="A47" s="304"/>
      <c r="B47" s="49">
        <v>750</v>
      </c>
      <c r="C47" s="49"/>
      <c r="D47" s="299"/>
      <c r="E47" s="75" t="s">
        <v>343</v>
      </c>
      <c r="F47" s="112">
        <f>F48+F51</f>
        <v>1218000</v>
      </c>
      <c r="G47" s="305">
        <f>G48+G51</f>
        <v>0</v>
      </c>
    </row>
    <row r="48" spans="1:7" ht="30.75" customHeight="1">
      <c r="A48" s="246"/>
      <c r="B48" s="306"/>
      <c r="C48" s="54">
        <v>75023</v>
      </c>
      <c r="D48" s="303"/>
      <c r="E48" s="78" t="s">
        <v>344</v>
      </c>
      <c r="F48" s="113">
        <f>SUM(F49:F50)</f>
        <v>568000</v>
      </c>
      <c r="G48" s="307">
        <f>SUM(G50:G50)</f>
        <v>0</v>
      </c>
    </row>
    <row r="49" spans="1:7" s="414" customFormat="1" ht="30.75" customHeight="1">
      <c r="A49" s="246"/>
      <c r="B49" s="57"/>
      <c r="C49" s="70"/>
      <c r="D49" s="796">
        <v>6050</v>
      </c>
      <c r="E49" s="797" t="s">
        <v>126</v>
      </c>
      <c r="F49" s="798">
        <v>18000</v>
      </c>
      <c r="G49" s="795"/>
    </row>
    <row r="50" spans="1:7" ht="28.5" customHeight="1">
      <c r="A50" s="246">
        <v>20</v>
      </c>
      <c r="B50" s="308"/>
      <c r="C50" s="309"/>
      <c r="D50" s="310">
        <v>6060</v>
      </c>
      <c r="E50" s="123" t="s">
        <v>445</v>
      </c>
      <c r="F50" s="799">
        <f>250000+300000</f>
        <v>550000</v>
      </c>
      <c r="G50" s="124">
        <v>0</v>
      </c>
    </row>
    <row r="51" spans="1:7" ht="21.75" customHeight="1">
      <c r="A51" s="246"/>
      <c r="B51" s="69"/>
      <c r="C51" s="83">
        <v>75095</v>
      </c>
      <c r="D51" s="303"/>
      <c r="E51" s="78" t="s">
        <v>341</v>
      </c>
      <c r="F51" s="113">
        <f>SUM(F52:F52)</f>
        <v>650000</v>
      </c>
      <c r="G51" s="307">
        <f>SUM(G52:G52)</f>
        <v>0</v>
      </c>
    </row>
    <row r="52" spans="1:7" ht="33" customHeight="1">
      <c r="A52" s="246">
        <v>21</v>
      </c>
      <c r="B52" s="69"/>
      <c r="C52" s="389"/>
      <c r="D52" s="311">
        <v>6050</v>
      </c>
      <c r="E52" s="67" t="s">
        <v>410</v>
      </c>
      <c r="F52" s="81">
        <f>950000-300000</f>
        <v>650000</v>
      </c>
      <c r="G52" s="81">
        <v>0</v>
      </c>
    </row>
    <row r="53" spans="1:7" ht="30" customHeight="1">
      <c r="A53" s="304"/>
      <c r="B53" s="49">
        <v>754</v>
      </c>
      <c r="C53" s="49"/>
      <c r="D53" s="304"/>
      <c r="E53" s="93" t="s">
        <v>345</v>
      </c>
      <c r="F53" s="114">
        <f>F54+F56</f>
        <v>23000</v>
      </c>
      <c r="G53" s="114">
        <f>G54+G56</f>
        <v>0</v>
      </c>
    </row>
    <row r="54" spans="1:7" ht="21.75" customHeight="1">
      <c r="A54" s="246"/>
      <c r="B54" s="72"/>
      <c r="C54" s="54">
        <v>75412</v>
      </c>
      <c r="D54" s="259"/>
      <c r="E54" s="115" t="s">
        <v>411</v>
      </c>
      <c r="F54" s="116">
        <f>F55</f>
        <v>6000</v>
      </c>
      <c r="G54" s="116">
        <f>G55</f>
        <v>0</v>
      </c>
    </row>
    <row r="55" spans="1:7" ht="27.75" customHeight="1">
      <c r="A55" s="246">
        <v>22</v>
      </c>
      <c r="B55" s="117"/>
      <c r="C55" s="70"/>
      <c r="D55" s="250">
        <v>6060</v>
      </c>
      <c r="E55" s="55" t="s">
        <v>412</v>
      </c>
      <c r="F55" s="81">
        <v>6000</v>
      </c>
      <c r="G55" s="81"/>
    </row>
    <row r="56" spans="1:7" ht="22.5" customHeight="1">
      <c r="A56" s="246"/>
      <c r="B56" s="72"/>
      <c r="C56" s="66">
        <v>75414</v>
      </c>
      <c r="D56" s="259"/>
      <c r="E56" s="115" t="s">
        <v>346</v>
      </c>
      <c r="F56" s="113">
        <f>SUM(F57)</f>
        <v>17000</v>
      </c>
      <c r="G56" s="307">
        <f>SUM(G57)</f>
        <v>0</v>
      </c>
    </row>
    <row r="57" spans="1:7" ht="26.25" customHeight="1">
      <c r="A57" s="246">
        <v>23</v>
      </c>
      <c r="B57" s="64"/>
      <c r="C57" s="71"/>
      <c r="D57" s="311">
        <v>6060</v>
      </c>
      <c r="E57" s="55" t="s">
        <v>412</v>
      </c>
      <c r="F57" s="122">
        <v>17000</v>
      </c>
      <c r="G57" s="122">
        <v>0</v>
      </c>
    </row>
    <row r="58" spans="1:7" ht="21.75" customHeight="1">
      <c r="A58" s="312"/>
      <c r="B58" s="49">
        <v>758</v>
      </c>
      <c r="C58" s="49"/>
      <c r="D58" s="299"/>
      <c r="E58" s="110" t="s">
        <v>347</v>
      </c>
      <c r="F58" s="111">
        <f>F59</f>
        <v>340690</v>
      </c>
      <c r="G58" s="114">
        <f>G59</f>
        <v>0</v>
      </c>
    </row>
    <row r="59" spans="1:7" ht="22.5" customHeight="1">
      <c r="A59" s="255"/>
      <c r="B59" s="52"/>
      <c r="C59" s="60">
        <v>75818</v>
      </c>
      <c r="D59" s="303"/>
      <c r="E59" s="78" t="s">
        <v>348</v>
      </c>
      <c r="F59" s="113">
        <f>F60</f>
        <v>340690</v>
      </c>
      <c r="G59" s="307">
        <f>G60</f>
        <v>0</v>
      </c>
    </row>
    <row r="60" spans="1:7" ht="28.5" customHeight="1">
      <c r="A60" s="255"/>
      <c r="B60" s="73"/>
      <c r="C60" s="71"/>
      <c r="D60" s="311">
        <v>6800</v>
      </c>
      <c r="E60" s="68" t="s">
        <v>349</v>
      </c>
      <c r="F60" s="699">
        <f>400000-200000+24500-10000+174688-2498-40000-6000</f>
        <v>340690</v>
      </c>
      <c r="G60" s="122">
        <f>500000-500000</f>
        <v>0</v>
      </c>
    </row>
    <row r="61" spans="1:7" ht="24.75" customHeight="1">
      <c r="A61" s="291"/>
      <c r="B61" s="48">
        <v>801</v>
      </c>
      <c r="C61" s="71"/>
      <c r="D61" s="311"/>
      <c r="E61" s="79" t="s">
        <v>350</v>
      </c>
      <c r="F61" s="112">
        <f>F62+F71+F84+F87</f>
        <v>1568478</v>
      </c>
      <c r="G61" s="305">
        <f>G62+G71+G84+G87</f>
        <v>0</v>
      </c>
    </row>
    <row r="62" spans="1:7" ht="24" customHeight="1">
      <c r="A62" s="311"/>
      <c r="B62" s="52"/>
      <c r="C62" s="86">
        <v>80101</v>
      </c>
      <c r="D62" s="303"/>
      <c r="E62" s="78" t="s">
        <v>351</v>
      </c>
      <c r="F62" s="113">
        <f>SUM(F63:F70)</f>
        <v>1010000</v>
      </c>
      <c r="G62" s="307">
        <f>SUM(G63:G70)</f>
        <v>0</v>
      </c>
    </row>
    <row r="63" spans="1:7" ht="34.5" customHeight="1">
      <c r="A63" s="311">
        <v>24</v>
      </c>
      <c r="B63" s="72"/>
      <c r="C63" s="313"/>
      <c r="D63" s="250">
        <v>6050</v>
      </c>
      <c r="E63" s="67" t="s">
        <v>446</v>
      </c>
      <c r="F63" s="82">
        <f>40000+30000</f>
        <v>70000</v>
      </c>
      <c r="G63" s="122">
        <v>0</v>
      </c>
    </row>
    <row r="64" spans="1:9" ht="27.75" customHeight="1">
      <c r="A64" s="311">
        <v>25</v>
      </c>
      <c r="B64" s="72"/>
      <c r="C64" s="86"/>
      <c r="D64" s="250">
        <v>6050</v>
      </c>
      <c r="E64" s="55" t="s">
        <v>447</v>
      </c>
      <c r="F64" s="82">
        <v>600000</v>
      </c>
      <c r="G64" s="122">
        <v>0</v>
      </c>
      <c r="I64" s="314"/>
    </row>
    <row r="65" spans="1:7" ht="23.25" customHeight="1">
      <c r="A65" s="311">
        <v>26</v>
      </c>
      <c r="B65" s="72"/>
      <c r="C65" s="86"/>
      <c r="D65" s="315">
        <v>6050</v>
      </c>
      <c r="E65" s="316" t="s">
        <v>448</v>
      </c>
      <c r="F65" s="81">
        <v>9000</v>
      </c>
      <c r="G65" s="122">
        <v>0</v>
      </c>
    </row>
    <row r="66" spans="1:7" ht="34.5" customHeight="1">
      <c r="A66" s="311">
        <v>27</v>
      </c>
      <c r="B66" s="73"/>
      <c r="C66" s="86"/>
      <c r="D66" s="315">
        <v>6050</v>
      </c>
      <c r="E66" s="316" t="s">
        <v>449</v>
      </c>
      <c r="F66" s="81">
        <v>50000</v>
      </c>
      <c r="G66" s="122">
        <v>0</v>
      </c>
    </row>
    <row r="67" spans="1:7" ht="34.5" customHeight="1">
      <c r="A67" s="311">
        <v>28</v>
      </c>
      <c r="B67" s="73"/>
      <c r="C67" s="86"/>
      <c r="D67" s="315">
        <v>6050</v>
      </c>
      <c r="E67" s="316" t="s">
        <v>523</v>
      </c>
      <c r="F67" s="81">
        <v>200000</v>
      </c>
      <c r="G67" s="122">
        <v>0</v>
      </c>
    </row>
    <row r="68" spans="1:7" ht="27.75" customHeight="1">
      <c r="A68" s="311"/>
      <c r="B68" s="73"/>
      <c r="C68" s="86"/>
      <c r="D68" s="846">
        <v>6050</v>
      </c>
      <c r="E68" s="847" t="s">
        <v>195</v>
      </c>
      <c r="F68" s="798">
        <v>60000</v>
      </c>
      <c r="G68" s="122"/>
    </row>
    <row r="69" spans="1:7" ht="24.75" customHeight="1">
      <c r="A69" s="311">
        <v>29</v>
      </c>
      <c r="B69" s="73"/>
      <c r="C69" s="65"/>
      <c r="D69" s="315">
        <v>6060</v>
      </c>
      <c r="E69" s="317" t="s">
        <v>450</v>
      </c>
      <c r="F69" s="81">
        <v>15000</v>
      </c>
      <c r="G69" s="122">
        <v>0</v>
      </c>
    </row>
    <row r="70" spans="1:7" ht="34.5" customHeight="1">
      <c r="A70" s="311">
        <v>30</v>
      </c>
      <c r="B70" s="73"/>
      <c r="C70" s="71"/>
      <c r="D70" s="315">
        <v>6060</v>
      </c>
      <c r="E70" s="317" t="s">
        <v>451</v>
      </c>
      <c r="F70" s="81">
        <v>6000</v>
      </c>
      <c r="G70" s="122">
        <v>0</v>
      </c>
    </row>
    <row r="71" spans="1:7" ht="18.75" customHeight="1">
      <c r="A71" s="311"/>
      <c r="B71" s="72"/>
      <c r="C71" s="63">
        <v>80104</v>
      </c>
      <c r="D71" s="301"/>
      <c r="E71" s="77" t="s">
        <v>352</v>
      </c>
      <c r="F71" s="109">
        <f>SUM(F72:F83)</f>
        <v>251720</v>
      </c>
      <c r="G71" s="116">
        <f>SUM(G72:G83)</f>
        <v>0</v>
      </c>
    </row>
    <row r="72" spans="1:7" s="318" customFormat="1" ht="25.5" customHeight="1">
      <c r="A72" s="311">
        <v>31</v>
      </c>
      <c r="B72" s="73"/>
      <c r="C72" s="388"/>
      <c r="D72" s="315">
        <v>6050</v>
      </c>
      <c r="E72" s="55" t="s">
        <v>452</v>
      </c>
      <c r="F72" s="82">
        <f>26000+78000</f>
        <v>104000</v>
      </c>
      <c r="G72" s="81">
        <v>0</v>
      </c>
    </row>
    <row r="73" spans="1:7" s="318" customFormat="1" ht="25.5" customHeight="1">
      <c r="A73" s="311">
        <v>32</v>
      </c>
      <c r="B73" s="73"/>
      <c r="C73" s="65"/>
      <c r="D73" s="315">
        <v>6050</v>
      </c>
      <c r="E73" s="55" t="s">
        <v>535</v>
      </c>
      <c r="F73" s="82">
        <v>40000</v>
      </c>
      <c r="G73" s="81"/>
    </row>
    <row r="74" spans="1:7" s="318" customFormat="1" ht="25.5" customHeight="1">
      <c r="A74" s="311">
        <v>33</v>
      </c>
      <c r="B74" s="73"/>
      <c r="C74" s="65"/>
      <c r="D74" s="315">
        <v>6050</v>
      </c>
      <c r="E74" s="55" t="s">
        <v>543</v>
      </c>
      <c r="F74" s="82">
        <v>11600</v>
      </c>
      <c r="G74" s="81"/>
    </row>
    <row r="75" spans="1:7" s="318" customFormat="1" ht="25.5" customHeight="1">
      <c r="A75" s="311">
        <v>35</v>
      </c>
      <c r="B75" s="73"/>
      <c r="C75" s="65"/>
      <c r="D75" s="315">
        <v>6060</v>
      </c>
      <c r="E75" s="55" t="s">
        <v>544</v>
      </c>
      <c r="F75" s="82">
        <v>7500</v>
      </c>
      <c r="G75" s="81"/>
    </row>
    <row r="76" spans="1:7" s="318" customFormat="1" ht="25.5" customHeight="1">
      <c r="A76" s="311"/>
      <c r="B76" s="73"/>
      <c r="C76" s="65"/>
      <c r="D76" s="846">
        <v>6060</v>
      </c>
      <c r="E76" s="787" t="s">
        <v>190</v>
      </c>
      <c r="F76" s="794">
        <v>20000</v>
      </c>
      <c r="G76" s="81"/>
    </row>
    <row r="77" spans="1:7" s="318" customFormat="1" ht="25.5" customHeight="1">
      <c r="A77" s="311"/>
      <c r="B77" s="73"/>
      <c r="C77" s="65"/>
      <c r="D77" s="846">
        <v>6060</v>
      </c>
      <c r="E77" s="787" t="s">
        <v>191</v>
      </c>
      <c r="F77" s="794">
        <v>20000</v>
      </c>
      <c r="G77" s="81"/>
    </row>
    <row r="78" spans="1:7" s="318" customFormat="1" ht="25.5" customHeight="1">
      <c r="A78" s="311"/>
      <c r="B78" s="73"/>
      <c r="C78" s="65"/>
      <c r="D78" s="846">
        <v>6060</v>
      </c>
      <c r="E78" s="787" t="s">
        <v>225</v>
      </c>
      <c r="F78" s="794">
        <v>5000</v>
      </c>
      <c r="G78" s="81"/>
    </row>
    <row r="79" spans="1:7" s="318" customFormat="1" ht="25.5" customHeight="1">
      <c r="A79" s="311">
        <v>35</v>
      </c>
      <c r="B79" s="73"/>
      <c r="C79" s="65"/>
      <c r="D79" s="315">
        <v>6060</v>
      </c>
      <c r="E79" s="55" t="s">
        <v>547</v>
      </c>
      <c r="F79" s="82">
        <v>7300</v>
      </c>
      <c r="G79" s="81"/>
    </row>
    <row r="80" spans="1:7" s="318" customFormat="1" ht="25.5" customHeight="1">
      <c r="A80" s="311">
        <v>36</v>
      </c>
      <c r="B80" s="73"/>
      <c r="C80" s="65"/>
      <c r="D80" s="315">
        <v>6060</v>
      </c>
      <c r="E80" s="55" t="s">
        <v>550</v>
      </c>
      <c r="F80" s="82">
        <v>10320</v>
      </c>
      <c r="G80" s="81"/>
    </row>
    <row r="81" spans="1:7" ht="30" customHeight="1">
      <c r="A81" s="311">
        <v>37</v>
      </c>
      <c r="B81" s="73"/>
      <c r="C81" s="65"/>
      <c r="D81" s="319">
        <v>6060</v>
      </c>
      <c r="E81" s="317" t="s">
        <v>453</v>
      </c>
      <c r="F81" s="81">
        <v>11000</v>
      </c>
      <c r="G81" s="122">
        <v>0</v>
      </c>
    </row>
    <row r="82" spans="1:7" ht="29.25" customHeight="1">
      <c r="A82" s="311">
        <v>38</v>
      </c>
      <c r="B82" s="73"/>
      <c r="C82" s="65"/>
      <c r="D82" s="319">
        <v>6060</v>
      </c>
      <c r="E82" s="317" t="s">
        <v>454</v>
      </c>
      <c r="F82" s="81">
        <v>7000</v>
      </c>
      <c r="G82" s="122">
        <v>0</v>
      </c>
    </row>
    <row r="83" spans="1:7" ht="30" customHeight="1">
      <c r="A83" s="311">
        <v>39</v>
      </c>
      <c r="B83" s="73"/>
      <c r="C83" s="65"/>
      <c r="D83" s="319">
        <v>6060</v>
      </c>
      <c r="E83" s="317" t="s">
        <v>455</v>
      </c>
      <c r="F83" s="81">
        <v>8000</v>
      </c>
      <c r="G83" s="122">
        <v>0</v>
      </c>
    </row>
    <row r="84" spans="1:7" ht="19.5" customHeight="1">
      <c r="A84" s="311"/>
      <c r="B84" s="73"/>
      <c r="C84" s="63">
        <v>80110</v>
      </c>
      <c r="D84" s="301"/>
      <c r="E84" s="77" t="s">
        <v>413</v>
      </c>
      <c r="F84" s="109">
        <f>F85+F86</f>
        <v>250000</v>
      </c>
      <c r="G84" s="116">
        <f>G86</f>
        <v>0</v>
      </c>
    </row>
    <row r="85" spans="1:7" s="414" customFormat="1" ht="23.25" customHeight="1">
      <c r="A85" s="311"/>
      <c r="B85" s="73"/>
      <c r="C85" s="388"/>
      <c r="D85" s="848">
        <v>6050</v>
      </c>
      <c r="E85" s="787" t="s">
        <v>226</v>
      </c>
      <c r="F85" s="794">
        <v>220000</v>
      </c>
      <c r="G85" s="81"/>
    </row>
    <row r="86" spans="1:7" ht="31.5" customHeight="1">
      <c r="A86" s="311">
        <v>40</v>
      </c>
      <c r="B86" s="73"/>
      <c r="C86" s="86"/>
      <c r="D86" s="127">
        <v>6050</v>
      </c>
      <c r="E86" s="67" t="s">
        <v>456</v>
      </c>
      <c r="F86" s="82">
        <v>30000</v>
      </c>
      <c r="G86" s="81">
        <v>0</v>
      </c>
    </row>
    <row r="87" spans="1:7" s="261" customFormat="1" ht="22.5" customHeight="1">
      <c r="A87" s="303"/>
      <c r="B87" s="72"/>
      <c r="C87" s="63">
        <v>80148</v>
      </c>
      <c r="D87" s="301"/>
      <c r="E87" s="77" t="s">
        <v>428</v>
      </c>
      <c r="F87" s="109">
        <f>SUM(F88:F95)</f>
        <v>56758</v>
      </c>
      <c r="G87" s="116">
        <f>SUM(G88:G95)</f>
        <v>0</v>
      </c>
    </row>
    <row r="88" spans="1:7" ht="27" customHeight="1">
      <c r="A88" s="311">
        <v>41</v>
      </c>
      <c r="B88" s="73"/>
      <c r="C88" s="86"/>
      <c r="D88" s="319">
        <v>6060</v>
      </c>
      <c r="E88" s="317" t="s">
        <v>457</v>
      </c>
      <c r="F88" s="82">
        <f>12000-5400</f>
        <v>6600</v>
      </c>
      <c r="G88" s="81">
        <v>0</v>
      </c>
    </row>
    <row r="89" spans="1:7" ht="27" customHeight="1">
      <c r="A89" s="311">
        <v>42</v>
      </c>
      <c r="B89" s="73"/>
      <c r="C89" s="86"/>
      <c r="D89" s="319">
        <v>6060</v>
      </c>
      <c r="E89" s="317" t="s">
        <v>524</v>
      </c>
      <c r="F89" s="82">
        <v>5400</v>
      </c>
      <c r="G89" s="81">
        <v>0</v>
      </c>
    </row>
    <row r="90" spans="1:7" ht="27" customHeight="1">
      <c r="A90" s="311">
        <v>43</v>
      </c>
      <c r="B90" s="73"/>
      <c r="C90" s="86"/>
      <c r="D90" s="319">
        <v>6060</v>
      </c>
      <c r="E90" s="317" t="s">
        <v>458</v>
      </c>
      <c r="F90" s="82">
        <f>12000-2442</f>
        <v>9558</v>
      </c>
      <c r="G90" s="81">
        <v>0</v>
      </c>
    </row>
    <row r="91" spans="1:7" ht="27" customHeight="1">
      <c r="A91" s="311"/>
      <c r="B91" s="73"/>
      <c r="C91" s="86"/>
      <c r="D91" s="319">
        <v>6060</v>
      </c>
      <c r="E91" s="317" t="s">
        <v>30</v>
      </c>
      <c r="F91" s="82">
        <v>7000</v>
      </c>
      <c r="G91" s="81"/>
    </row>
    <row r="92" spans="1:7" ht="27" customHeight="1">
      <c r="A92" s="311"/>
      <c r="B92" s="73"/>
      <c r="C92" s="86"/>
      <c r="D92" s="319">
        <v>6060</v>
      </c>
      <c r="E92" s="317" t="s">
        <v>31</v>
      </c>
      <c r="F92" s="82">
        <v>7000</v>
      </c>
      <c r="G92" s="81"/>
    </row>
    <row r="93" spans="1:7" ht="27" customHeight="1">
      <c r="A93" s="311">
        <v>44</v>
      </c>
      <c r="B93" s="73"/>
      <c r="C93" s="86"/>
      <c r="D93" s="319">
        <v>6060</v>
      </c>
      <c r="E93" s="317" t="s">
        <v>459</v>
      </c>
      <c r="F93" s="82">
        <v>7000</v>
      </c>
      <c r="G93" s="81">
        <v>0</v>
      </c>
    </row>
    <row r="94" spans="1:7" ht="27.75" customHeight="1">
      <c r="A94" s="311">
        <v>45</v>
      </c>
      <c r="B94" s="73"/>
      <c r="C94" s="65"/>
      <c r="D94" s="319">
        <v>6060</v>
      </c>
      <c r="E94" s="317" t="s">
        <v>460</v>
      </c>
      <c r="F94" s="82">
        <v>6200</v>
      </c>
      <c r="G94" s="122">
        <v>0</v>
      </c>
    </row>
    <row r="95" spans="1:7" ht="27.75" customHeight="1">
      <c r="A95" s="311">
        <v>46</v>
      </c>
      <c r="B95" s="74"/>
      <c r="C95" s="65"/>
      <c r="D95" s="319">
        <v>6060</v>
      </c>
      <c r="E95" s="317" t="s">
        <v>461</v>
      </c>
      <c r="F95" s="82">
        <v>8000</v>
      </c>
      <c r="G95" s="122">
        <v>0</v>
      </c>
    </row>
    <row r="96" spans="1:7" s="256" customFormat="1" ht="18.75" customHeight="1">
      <c r="A96" s="304"/>
      <c r="B96" s="320">
        <v>851</v>
      </c>
      <c r="C96" s="49"/>
      <c r="D96" s="321"/>
      <c r="E96" s="75" t="s">
        <v>353</v>
      </c>
      <c r="F96" s="111">
        <f>F97</f>
        <v>7500</v>
      </c>
      <c r="G96" s="114">
        <f>G97</f>
        <v>0</v>
      </c>
    </row>
    <row r="97" spans="1:7" s="261" customFormat="1" ht="19.5" customHeight="1">
      <c r="A97" s="259"/>
      <c r="B97" s="322"/>
      <c r="C97" s="66">
        <v>85154</v>
      </c>
      <c r="D97" s="259"/>
      <c r="E97" s="257" t="s">
        <v>462</v>
      </c>
      <c r="F97" s="109">
        <f>F98</f>
        <v>7500</v>
      </c>
      <c r="G97" s="129"/>
    </row>
    <row r="98" spans="1:7" ht="33.75" customHeight="1">
      <c r="A98" s="246">
        <v>47</v>
      </c>
      <c r="B98" s="117"/>
      <c r="C98" s="64"/>
      <c r="D98" s="250">
        <v>6220</v>
      </c>
      <c r="E98" s="55" t="s">
        <v>463</v>
      </c>
      <c r="F98" s="121">
        <v>7500</v>
      </c>
      <c r="G98" s="122">
        <v>0</v>
      </c>
    </row>
    <row r="99" spans="1:7" ht="20.25" customHeight="1">
      <c r="A99" s="246"/>
      <c r="B99" s="50">
        <v>852</v>
      </c>
      <c r="C99" s="49"/>
      <c r="D99" s="321"/>
      <c r="E99" s="75" t="s">
        <v>404</v>
      </c>
      <c r="F99" s="111">
        <f>F100</f>
        <v>55000</v>
      </c>
      <c r="G99" s="114">
        <f>G100</f>
        <v>0</v>
      </c>
    </row>
    <row r="100" spans="1:7" s="261" customFormat="1" ht="25.5" customHeight="1">
      <c r="A100" s="259"/>
      <c r="B100" s="53"/>
      <c r="C100" s="66">
        <v>85219</v>
      </c>
      <c r="D100" s="259"/>
      <c r="E100" s="257" t="s">
        <v>464</v>
      </c>
      <c r="F100" s="109">
        <f>F101+F102</f>
        <v>55000</v>
      </c>
      <c r="G100" s="129"/>
    </row>
    <row r="101" spans="1:7" ht="34.5" customHeight="1">
      <c r="A101" s="246">
        <v>48</v>
      </c>
      <c r="B101" s="117"/>
      <c r="C101" s="64"/>
      <c r="D101" s="250">
        <v>6050</v>
      </c>
      <c r="E101" s="55" t="s">
        <v>465</v>
      </c>
      <c r="F101" s="121">
        <v>15000</v>
      </c>
      <c r="G101" s="122">
        <v>0</v>
      </c>
    </row>
    <row r="102" spans="1:7" ht="34.5" customHeight="1">
      <c r="A102" s="246">
        <v>49</v>
      </c>
      <c r="B102" s="117"/>
      <c r="C102" s="64"/>
      <c r="D102" s="323">
        <v>6060</v>
      </c>
      <c r="E102" s="55" t="s">
        <v>18</v>
      </c>
      <c r="F102" s="121">
        <v>40000</v>
      </c>
      <c r="G102" s="122"/>
    </row>
    <row r="103" spans="1:7" ht="30" customHeight="1">
      <c r="A103" s="246"/>
      <c r="B103" s="48">
        <v>853</v>
      </c>
      <c r="C103" s="62"/>
      <c r="D103" s="323"/>
      <c r="E103" s="110" t="s">
        <v>364</v>
      </c>
      <c r="F103" s="111">
        <f>F104+F107</f>
        <v>908534.88</v>
      </c>
      <c r="G103" s="114">
        <f>G107</f>
        <v>0</v>
      </c>
    </row>
    <row r="104" spans="1:7" s="261" customFormat="1" ht="30" customHeight="1">
      <c r="A104" s="849"/>
      <c r="B104" s="54"/>
      <c r="C104" s="63">
        <v>85305</v>
      </c>
      <c r="D104" s="324"/>
      <c r="E104" s="77" t="s">
        <v>231</v>
      </c>
      <c r="F104" s="109">
        <f>F105+F106</f>
        <v>66553</v>
      </c>
      <c r="G104" s="116"/>
    </row>
    <row r="105" spans="1:7" ht="37.5" customHeight="1">
      <c r="A105" s="127"/>
      <c r="B105" s="48"/>
      <c r="C105" s="59"/>
      <c r="D105" s="848">
        <v>6050</v>
      </c>
      <c r="E105" s="929" t="s">
        <v>234</v>
      </c>
      <c r="F105" s="794">
        <v>2618</v>
      </c>
      <c r="G105" s="114"/>
    </row>
    <row r="106" spans="1:7" ht="38.25" customHeight="1">
      <c r="A106" s="127"/>
      <c r="B106" s="48"/>
      <c r="C106" s="59"/>
      <c r="D106" s="848">
        <v>6050</v>
      </c>
      <c r="E106" s="929" t="s">
        <v>232</v>
      </c>
      <c r="F106" s="794">
        <v>63935</v>
      </c>
      <c r="G106" s="114"/>
    </row>
    <row r="107" spans="1:7" ht="24" customHeight="1">
      <c r="A107" s="127"/>
      <c r="B107" s="48"/>
      <c r="C107" s="63">
        <v>85395</v>
      </c>
      <c r="D107" s="324"/>
      <c r="E107" s="77" t="s">
        <v>365</v>
      </c>
      <c r="F107" s="109">
        <f>SUM(F108:F111)</f>
        <v>841981.88</v>
      </c>
      <c r="G107" s="116">
        <f>SUM(G108:G111)</f>
        <v>0</v>
      </c>
    </row>
    <row r="108" spans="1:10" ht="34.5" customHeight="1">
      <c r="A108" s="1006">
        <v>50</v>
      </c>
      <c r="B108" s="396"/>
      <c r="C108" s="86"/>
      <c r="D108" s="246">
        <v>6237</v>
      </c>
      <c r="E108" s="266" t="s">
        <v>316</v>
      </c>
      <c r="F108" s="82">
        <v>35684.6</v>
      </c>
      <c r="G108" s="116">
        <v>0</v>
      </c>
      <c r="J108" s="247"/>
    </row>
    <row r="109" spans="1:7" ht="34.5" customHeight="1">
      <c r="A109" s="1007"/>
      <c r="B109" s="396"/>
      <c r="C109" s="86"/>
      <c r="D109" s="246">
        <v>6239</v>
      </c>
      <c r="E109" s="266" t="s">
        <v>316</v>
      </c>
      <c r="F109" s="82">
        <v>6297.28</v>
      </c>
      <c r="G109" s="116">
        <v>0</v>
      </c>
    </row>
    <row r="110" spans="1:7" ht="36.75" customHeight="1">
      <c r="A110" s="397">
        <v>51</v>
      </c>
      <c r="B110" s="73"/>
      <c r="C110" s="389"/>
      <c r="D110" s="323">
        <v>6237</v>
      </c>
      <c r="E110" s="55" t="s">
        <v>466</v>
      </c>
      <c r="F110" s="121">
        <v>680000</v>
      </c>
      <c r="G110" s="122">
        <v>0</v>
      </c>
    </row>
    <row r="111" spans="1:7" ht="31.5" customHeight="1">
      <c r="A111" s="325"/>
      <c r="B111" s="74"/>
      <c r="C111" s="388"/>
      <c r="D111" s="323">
        <v>6239</v>
      </c>
      <c r="E111" s="55" t="s">
        <v>466</v>
      </c>
      <c r="F111" s="121">
        <v>120000</v>
      </c>
      <c r="G111" s="122">
        <v>0</v>
      </c>
    </row>
    <row r="112" spans="1:7" ht="30" customHeight="1">
      <c r="A112" s="304"/>
      <c r="B112" s="74">
        <v>900</v>
      </c>
      <c r="C112" s="49"/>
      <c r="D112" s="299"/>
      <c r="E112" s="110" t="s">
        <v>354</v>
      </c>
      <c r="F112" s="111">
        <f>F113+F116+F123</f>
        <v>22168395.950000003</v>
      </c>
      <c r="G112" s="114">
        <f>G113+G116+G123</f>
        <v>2245793</v>
      </c>
    </row>
    <row r="113" spans="1:7" ht="21" customHeight="1">
      <c r="A113" s="304"/>
      <c r="B113" s="73"/>
      <c r="C113" s="56">
        <v>90002</v>
      </c>
      <c r="D113" s="303"/>
      <c r="E113" s="77" t="s">
        <v>366</v>
      </c>
      <c r="F113" s="109">
        <f>SUM(F114:F115)</f>
        <v>42000</v>
      </c>
      <c r="G113" s="116">
        <f>SUM(G114:G115)</f>
        <v>42000</v>
      </c>
    </row>
    <row r="114" spans="1:7" ht="36" customHeight="1">
      <c r="A114" s="246">
        <v>52</v>
      </c>
      <c r="B114" s="117"/>
      <c r="C114" s="48"/>
      <c r="D114" s="250">
        <v>6220</v>
      </c>
      <c r="E114" s="76" t="s">
        <v>367</v>
      </c>
      <c r="F114" s="278">
        <v>12000</v>
      </c>
      <c r="G114" s="326">
        <v>12000</v>
      </c>
    </row>
    <row r="115" spans="1:7" ht="36" customHeight="1">
      <c r="A115" s="246">
        <v>53</v>
      </c>
      <c r="B115" s="117"/>
      <c r="C115" s="74"/>
      <c r="D115" s="250">
        <v>6230</v>
      </c>
      <c r="E115" s="87" t="s">
        <v>367</v>
      </c>
      <c r="F115" s="278">
        <v>30000</v>
      </c>
      <c r="G115" s="326">
        <v>30000</v>
      </c>
    </row>
    <row r="116" spans="1:7" ht="29.25" customHeight="1">
      <c r="A116" s="246"/>
      <c r="B116" s="56"/>
      <c r="C116" s="66">
        <v>90015</v>
      </c>
      <c r="D116" s="303"/>
      <c r="E116" s="77" t="s">
        <v>355</v>
      </c>
      <c r="F116" s="109">
        <f>SUM(F117:F122)</f>
        <v>3807917.78</v>
      </c>
      <c r="G116" s="116">
        <f>SUM(G117:G122)</f>
        <v>0</v>
      </c>
    </row>
    <row r="117" spans="1:7" ht="33" customHeight="1">
      <c r="A117" s="246">
        <v>54</v>
      </c>
      <c r="B117" s="57"/>
      <c r="C117" s="390"/>
      <c r="D117" s="310">
        <v>6050</v>
      </c>
      <c r="E117" s="327" t="s">
        <v>414</v>
      </c>
      <c r="F117" s="278">
        <v>1149.61</v>
      </c>
      <c r="G117" s="326">
        <v>0</v>
      </c>
    </row>
    <row r="118" spans="1:7" ht="24.75" customHeight="1">
      <c r="A118" s="246">
        <v>55</v>
      </c>
      <c r="B118" s="57"/>
      <c r="C118" s="390"/>
      <c r="D118" s="310">
        <v>6050</v>
      </c>
      <c r="E118" s="87" t="s">
        <v>415</v>
      </c>
      <c r="F118" s="278">
        <v>442.17</v>
      </c>
      <c r="G118" s="326">
        <v>0</v>
      </c>
    </row>
    <row r="119" spans="1:7" ht="28.5" customHeight="1">
      <c r="A119" s="246">
        <v>56</v>
      </c>
      <c r="B119" s="57"/>
      <c r="C119" s="64"/>
      <c r="D119" s="310">
        <v>6050</v>
      </c>
      <c r="E119" s="87" t="s">
        <v>555</v>
      </c>
      <c r="F119" s="278">
        <v>6000</v>
      </c>
      <c r="G119" s="326"/>
    </row>
    <row r="120" spans="1:7" ht="40.5" customHeight="1">
      <c r="A120" s="246"/>
      <c r="B120" s="57"/>
      <c r="C120" s="64"/>
      <c r="D120" s="831">
        <v>6050</v>
      </c>
      <c r="E120" s="790" t="s">
        <v>200</v>
      </c>
      <c r="F120" s="791">
        <v>20000</v>
      </c>
      <c r="G120" s="792"/>
    </row>
    <row r="121" spans="1:7" ht="36.75" customHeight="1">
      <c r="A121" s="246"/>
      <c r="B121" s="57"/>
      <c r="C121" s="64"/>
      <c r="D121" s="831">
        <v>6050</v>
      </c>
      <c r="E121" s="790" t="s">
        <v>193</v>
      </c>
      <c r="F121" s="791">
        <v>10000</v>
      </c>
      <c r="G121" s="792"/>
    </row>
    <row r="122" spans="1:10" ht="33.75" customHeight="1">
      <c r="A122" s="246">
        <v>57</v>
      </c>
      <c r="B122" s="57"/>
      <c r="C122" s="390"/>
      <c r="D122" s="310">
        <v>6050</v>
      </c>
      <c r="E122" s="87" t="s">
        <v>467</v>
      </c>
      <c r="F122" s="278">
        <f>3760327-2+1+10000</f>
        <v>3770326</v>
      </c>
      <c r="G122" s="326">
        <v>0</v>
      </c>
      <c r="I122" s="119">
        <v>2068000</v>
      </c>
      <c r="J122" s="247">
        <f>F122-I122</f>
        <v>1702326</v>
      </c>
    </row>
    <row r="123" spans="1:7" ht="30.75" customHeight="1">
      <c r="A123" s="246" t="s">
        <v>320</v>
      </c>
      <c r="B123" s="56"/>
      <c r="C123" s="66">
        <v>90095</v>
      </c>
      <c r="D123" s="303"/>
      <c r="E123" s="77" t="s">
        <v>341</v>
      </c>
      <c r="F123" s="109">
        <f>SUM(F124:F135)</f>
        <v>18318478.17</v>
      </c>
      <c r="G123" s="116">
        <f>SUM(G124:G135)</f>
        <v>2203793</v>
      </c>
    </row>
    <row r="124" spans="1:7" s="318" customFormat="1" ht="33" customHeight="1">
      <c r="A124" s="285">
        <v>58</v>
      </c>
      <c r="B124" s="80"/>
      <c r="C124" s="390"/>
      <c r="D124" s="250">
        <v>6010</v>
      </c>
      <c r="E124" s="55" t="s">
        <v>468</v>
      </c>
      <c r="F124" s="82">
        <f>182470-11590</f>
        <v>170880</v>
      </c>
      <c r="G124" s="81">
        <f>175999-11590</f>
        <v>164409</v>
      </c>
    </row>
    <row r="125" spans="1:7" s="318" customFormat="1" ht="32.25" customHeight="1">
      <c r="A125" s="285">
        <v>59</v>
      </c>
      <c r="B125" s="80"/>
      <c r="C125" s="390"/>
      <c r="D125" s="311">
        <v>6010</v>
      </c>
      <c r="E125" s="55" t="s">
        <v>469</v>
      </c>
      <c r="F125" s="794">
        <f>328000+3892000</f>
        <v>4220000</v>
      </c>
      <c r="G125" s="81">
        <v>328000</v>
      </c>
    </row>
    <row r="126" spans="1:7" s="318" customFormat="1" ht="32.25" customHeight="1">
      <c r="A126" s="285">
        <v>60</v>
      </c>
      <c r="B126" s="80"/>
      <c r="C126" s="390"/>
      <c r="D126" s="250">
        <v>6010</v>
      </c>
      <c r="E126" s="67" t="s">
        <v>541</v>
      </c>
      <c r="F126" s="82">
        <v>72254</v>
      </c>
      <c r="G126" s="81"/>
    </row>
    <row r="127" spans="1:7" s="318" customFormat="1" ht="32.25" customHeight="1">
      <c r="A127" s="285">
        <v>61</v>
      </c>
      <c r="B127" s="80"/>
      <c r="C127" s="390"/>
      <c r="D127" s="250">
        <v>6010</v>
      </c>
      <c r="E127" s="67" t="s">
        <v>554</v>
      </c>
      <c r="F127" s="82">
        <v>107746</v>
      </c>
      <c r="G127" s="81"/>
    </row>
    <row r="128" spans="1:7" s="318" customFormat="1" ht="32.25" customHeight="1">
      <c r="A128" s="285">
        <v>62</v>
      </c>
      <c r="B128" s="80"/>
      <c r="C128" s="390"/>
      <c r="D128" s="250">
        <v>6010</v>
      </c>
      <c r="E128" s="700" t="s">
        <v>553</v>
      </c>
      <c r="F128" s="82">
        <v>48000</v>
      </c>
      <c r="G128" s="81">
        <v>11590</v>
      </c>
    </row>
    <row r="129" spans="1:7" s="318" customFormat="1" ht="27" customHeight="1">
      <c r="A129" s="285">
        <v>63</v>
      </c>
      <c r="B129" s="80"/>
      <c r="C129" s="64"/>
      <c r="D129" s="250">
        <v>6050</v>
      </c>
      <c r="E129" s="55" t="s">
        <v>470</v>
      </c>
      <c r="F129" s="82">
        <v>200000</v>
      </c>
      <c r="G129" s="81">
        <v>0</v>
      </c>
    </row>
    <row r="130" spans="1:7" ht="25.5" customHeight="1">
      <c r="A130" s="285">
        <v>64</v>
      </c>
      <c r="B130" s="125"/>
      <c r="C130" s="391"/>
      <c r="D130" s="250">
        <v>6050</v>
      </c>
      <c r="E130" s="67" t="s">
        <v>416</v>
      </c>
      <c r="F130" s="794">
        <f>500000+1476+3600000</f>
        <v>4101476</v>
      </c>
      <c r="G130" s="81">
        <v>500000</v>
      </c>
    </row>
    <row r="131" spans="1:7" ht="45.75" customHeight="1">
      <c r="A131" s="285">
        <v>65</v>
      </c>
      <c r="B131" s="125"/>
      <c r="C131" s="56"/>
      <c r="D131" s="250">
        <v>6050</v>
      </c>
      <c r="E131" s="55" t="s">
        <v>540</v>
      </c>
      <c r="F131" s="82">
        <v>15000</v>
      </c>
      <c r="G131" s="81">
        <v>15000</v>
      </c>
    </row>
    <row r="132" spans="1:7" ht="36.75" customHeight="1">
      <c r="A132" s="285"/>
      <c r="B132" s="125"/>
      <c r="C132" s="56"/>
      <c r="D132" s="786">
        <v>6050</v>
      </c>
      <c r="E132" s="787" t="s">
        <v>183</v>
      </c>
      <c r="F132" s="794">
        <v>180000</v>
      </c>
      <c r="G132" s="798"/>
    </row>
    <row r="133" spans="1:9" ht="29.25" customHeight="1">
      <c r="A133" s="1008">
        <v>55</v>
      </c>
      <c r="B133" s="125"/>
      <c r="C133" s="391"/>
      <c r="D133" s="250">
        <v>6057</v>
      </c>
      <c r="E133" s="87" t="s">
        <v>471</v>
      </c>
      <c r="F133" s="278">
        <v>7482653.84</v>
      </c>
      <c r="G133" s="326"/>
      <c r="I133" s="247"/>
    </row>
    <row r="134" spans="1:9" ht="22.5" customHeight="1">
      <c r="A134" s="1009"/>
      <c r="B134" s="126"/>
      <c r="C134" s="392"/>
      <c r="D134" s="250">
        <v>6059</v>
      </c>
      <c r="E134" s="87" t="s">
        <v>471</v>
      </c>
      <c r="F134" s="278">
        <v>1320468.33</v>
      </c>
      <c r="G134" s="326">
        <v>784794</v>
      </c>
      <c r="I134" s="247"/>
    </row>
    <row r="135" spans="1:9" ht="30.75" customHeight="1">
      <c r="A135" s="291">
        <v>67</v>
      </c>
      <c r="B135" s="126"/>
      <c r="C135" s="61"/>
      <c r="D135" s="250">
        <v>6230</v>
      </c>
      <c r="E135" s="87" t="s">
        <v>417</v>
      </c>
      <c r="F135" s="278">
        <f>600000-200000</f>
        <v>400000</v>
      </c>
      <c r="G135" s="326">
        <f>600000-200000</f>
        <v>400000</v>
      </c>
      <c r="I135" s="247"/>
    </row>
    <row r="136" spans="1:7" s="256" customFormat="1" ht="27.75" customHeight="1">
      <c r="A136" s="304"/>
      <c r="B136" s="328">
        <v>921</v>
      </c>
      <c r="C136" s="328"/>
      <c r="D136" s="304"/>
      <c r="E136" s="329" t="s">
        <v>472</v>
      </c>
      <c r="F136" s="330">
        <f>F137</f>
        <v>1438930</v>
      </c>
      <c r="G136" s="331">
        <f>G137</f>
        <v>700000</v>
      </c>
    </row>
    <row r="137" spans="1:7" s="261" customFormat="1" ht="27" customHeight="1">
      <c r="A137" s="249" t="s">
        <v>320</v>
      </c>
      <c r="B137" s="332"/>
      <c r="C137" s="333">
        <v>92109</v>
      </c>
      <c r="D137" s="334"/>
      <c r="E137" s="335" t="s">
        <v>473</v>
      </c>
      <c r="F137" s="336">
        <f>SUM(F138:F140)</f>
        <v>1438930</v>
      </c>
      <c r="G137" s="337">
        <f>SUM(G138:G140)</f>
        <v>700000</v>
      </c>
    </row>
    <row r="138" spans="1:7" ht="35.25" customHeight="1">
      <c r="A138" s="246">
        <v>68</v>
      </c>
      <c r="B138" s="126"/>
      <c r="C138" s="393"/>
      <c r="D138" s="311">
        <v>6050</v>
      </c>
      <c r="E138" s="87" t="s">
        <v>474</v>
      </c>
      <c r="F138" s="278">
        <f>1428930-574386.1</f>
        <v>854543.9</v>
      </c>
      <c r="G138" s="326">
        <f>700000-350000</f>
        <v>350000</v>
      </c>
    </row>
    <row r="139" spans="1:7" ht="34.5" customHeight="1">
      <c r="A139" s="246"/>
      <c r="B139" s="126"/>
      <c r="C139" s="61"/>
      <c r="D139" s="810">
        <v>6220</v>
      </c>
      <c r="E139" s="790" t="s">
        <v>215</v>
      </c>
      <c r="F139" s="791">
        <v>10000</v>
      </c>
      <c r="G139" s="326"/>
    </row>
    <row r="140" spans="1:7" ht="36" customHeight="1">
      <c r="A140" s="285">
        <v>69</v>
      </c>
      <c r="B140" s="126"/>
      <c r="C140" s="61"/>
      <c r="D140" s="285">
        <v>6220</v>
      </c>
      <c r="E140" s="76" t="s">
        <v>475</v>
      </c>
      <c r="F140" s="278">
        <v>574386.1</v>
      </c>
      <c r="G140" s="326">
        <v>350000</v>
      </c>
    </row>
    <row r="141" spans="1:7" s="256" customFormat="1" ht="30.75" customHeight="1">
      <c r="A141" s="304"/>
      <c r="B141" s="839">
        <v>926</v>
      </c>
      <c r="C141" s="840"/>
      <c r="D141" s="841"/>
      <c r="E141" s="842" t="s">
        <v>219</v>
      </c>
      <c r="F141" s="843">
        <f>F142</f>
        <v>462000</v>
      </c>
      <c r="G141" s="844"/>
    </row>
    <row r="142" spans="1:7" ht="29.25" customHeight="1">
      <c r="A142" s="291"/>
      <c r="B142" s="126"/>
      <c r="C142" s="516">
        <v>92604</v>
      </c>
      <c r="D142" s="246"/>
      <c r="E142" s="123" t="s">
        <v>220</v>
      </c>
      <c r="F142" s="278">
        <f>SUM(F143:F146)</f>
        <v>462000</v>
      </c>
      <c r="G142" s="326"/>
    </row>
    <row r="143" spans="1:7" ht="29.25" customHeight="1">
      <c r="A143" s="246"/>
      <c r="B143" s="126"/>
      <c r="C143" s="61"/>
      <c r="D143" s="311">
        <v>6050</v>
      </c>
      <c r="E143" s="76" t="s">
        <v>221</v>
      </c>
      <c r="F143" s="278">
        <v>60000</v>
      </c>
      <c r="G143" s="326"/>
    </row>
    <row r="144" spans="1:7" ht="26.25" customHeight="1">
      <c r="A144" s="246"/>
      <c r="B144" s="126"/>
      <c r="C144" s="61"/>
      <c r="D144" s="311">
        <v>6050</v>
      </c>
      <c r="E144" s="76" t="s">
        <v>222</v>
      </c>
      <c r="F144" s="278">
        <v>110000</v>
      </c>
      <c r="G144" s="326"/>
    </row>
    <row r="145" spans="1:7" ht="23.25" customHeight="1">
      <c r="A145" s="246"/>
      <c r="B145" s="126"/>
      <c r="C145" s="61"/>
      <c r="D145" s="311">
        <v>6050</v>
      </c>
      <c r="E145" s="76" t="s">
        <v>194</v>
      </c>
      <c r="F145" s="278">
        <v>180000</v>
      </c>
      <c r="G145" s="326"/>
    </row>
    <row r="146" spans="1:7" ht="24" customHeight="1">
      <c r="A146" s="246"/>
      <c r="B146" s="126"/>
      <c r="C146" s="61"/>
      <c r="D146" s="246">
        <v>6060</v>
      </c>
      <c r="E146" s="123" t="s">
        <v>224</v>
      </c>
      <c r="F146" s="278">
        <v>112000</v>
      </c>
      <c r="G146" s="326"/>
    </row>
    <row r="147" spans="1:10" ht="30" customHeight="1">
      <c r="A147" s="246"/>
      <c r="B147" s="84" t="s">
        <v>357</v>
      </c>
      <c r="C147" s="85"/>
      <c r="D147" s="311"/>
      <c r="E147" s="338"/>
      <c r="F147" s="128">
        <f>F148+F160+F168+F171+F174+F164+F184+F188</f>
        <v>14280850</v>
      </c>
      <c r="G147" s="128">
        <f>G148+G160+G168+G171+G174+G164+G184+G188</f>
        <v>0</v>
      </c>
      <c r="J147" s="295"/>
    </row>
    <row r="148" spans="1:10" ht="26.25" customHeight="1">
      <c r="A148" s="304"/>
      <c r="B148" s="48">
        <v>600</v>
      </c>
      <c r="C148" s="49"/>
      <c r="D148" s="299"/>
      <c r="E148" s="110" t="s">
        <v>336</v>
      </c>
      <c r="F148" s="111">
        <f>F149</f>
        <v>11796450</v>
      </c>
      <c r="G148" s="114">
        <f>G149</f>
        <v>0</v>
      </c>
      <c r="J148" s="300"/>
    </row>
    <row r="149" spans="1:7" ht="27" customHeight="1">
      <c r="A149" s="246"/>
      <c r="B149" s="54"/>
      <c r="C149" s="66">
        <v>60015</v>
      </c>
      <c r="D149" s="301"/>
      <c r="E149" s="77" t="s">
        <v>358</v>
      </c>
      <c r="F149" s="109">
        <f>SUM(F150:F159)</f>
        <v>11796450</v>
      </c>
      <c r="G149" s="116">
        <f>SUM(G150:G159)</f>
        <v>0</v>
      </c>
    </row>
    <row r="150" spans="1:10" s="120" customFormat="1" ht="23.25" customHeight="1">
      <c r="A150" s="246">
        <v>70</v>
      </c>
      <c r="B150" s="57"/>
      <c r="C150" s="390"/>
      <c r="D150" s="250">
        <v>6050</v>
      </c>
      <c r="E150" s="76" t="s">
        <v>418</v>
      </c>
      <c r="F150" s="404">
        <f>3700000-3650000</f>
        <v>50000</v>
      </c>
      <c r="G150" s="326">
        <v>0</v>
      </c>
      <c r="J150" s="339"/>
    </row>
    <row r="151" spans="1:7" s="120" customFormat="1" ht="33.75" customHeight="1">
      <c r="A151" s="246">
        <v>71</v>
      </c>
      <c r="B151" s="57"/>
      <c r="C151" s="390"/>
      <c r="D151" s="250">
        <v>6050</v>
      </c>
      <c r="E151" s="340" t="s">
        <v>476</v>
      </c>
      <c r="F151" s="792">
        <v>0</v>
      </c>
      <c r="G151" s="326">
        <v>0</v>
      </c>
    </row>
    <row r="152" spans="1:7" s="120" customFormat="1" ht="27.75" customHeight="1">
      <c r="A152" s="246">
        <v>72</v>
      </c>
      <c r="B152" s="57"/>
      <c r="C152" s="390"/>
      <c r="D152" s="250">
        <v>6050</v>
      </c>
      <c r="E152" s="55" t="s">
        <v>526</v>
      </c>
      <c r="F152" s="788">
        <f>5000+500000</f>
        <v>505000</v>
      </c>
      <c r="G152" s="122">
        <v>0</v>
      </c>
    </row>
    <row r="153" spans="1:7" s="120" customFormat="1" ht="27.75" customHeight="1">
      <c r="A153" s="246">
        <v>73</v>
      </c>
      <c r="B153" s="57"/>
      <c r="C153" s="395"/>
      <c r="D153" s="250">
        <v>6050</v>
      </c>
      <c r="E153" s="55" t="s">
        <v>548</v>
      </c>
      <c r="F153" s="121">
        <v>64000</v>
      </c>
      <c r="G153" s="122"/>
    </row>
    <row r="154" spans="1:7" s="120" customFormat="1" ht="27.75" customHeight="1">
      <c r="A154" s="246">
        <v>74</v>
      </c>
      <c r="B154" s="57"/>
      <c r="C154" s="395"/>
      <c r="D154" s="250">
        <v>6050</v>
      </c>
      <c r="E154" s="55" t="s">
        <v>19</v>
      </c>
      <c r="F154" s="121">
        <v>18450</v>
      </c>
      <c r="G154" s="122"/>
    </row>
    <row r="155" spans="1:7" s="120" customFormat="1" ht="27.75" customHeight="1">
      <c r="A155" s="246">
        <v>74</v>
      </c>
      <c r="B155" s="57"/>
      <c r="C155" s="395"/>
      <c r="D155" s="250">
        <v>6050</v>
      </c>
      <c r="E155" s="55" t="s">
        <v>20</v>
      </c>
      <c r="F155" s="788">
        <v>0</v>
      </c>
      <c r="G155" s="122"/>
    </row>
    <row r="156" spans="1:7" s="120" customFormat="1" ht="40.5" customHeight="1">
      <c r="A156" s="246"/>
      <c r="B156" s="57"/>
      <c r="C156" s="395"/>
      <c r="D156" s="786">
        <v>6050</v>
      </c>
      <c r="E156" s="787" t="s">
        <v>115</v>
      </c>
      <c r="F156" s="788">
        <v>3000</v>
      </c>
      <c r="G156" s="122"/>
    </row>
    <row r="157" spans="1:7" s="120" customFormat="1" ht="32.25" customHeight="1">
      <c r="A157" s="246"/>
      <c r="B157" s="57"/>
      <c r="C157" s="395"/>
      <c r="D157" s="786">
        <v>6050</v>
      </c>
      <c r="E157" s="787" t="s">
        <v>182</v>
      </c>
      <c r="F157" s="788">
        <v>103000</v>
      </c>
      <c r="G157" s="122"/>
    </row>
    <row r="158" spans="1:7" s="120" customFormat="1" ht="33.75" customHeight="1">
      <c r="A158" s="246"/>
      <c r="B158" s="57"/>
      <c r="C158" s="395"/>
      <c r="D158" s="786">
        <v>6050</v>
      </c>
      <c r="E158" s="787" t="s">
        <v>188</v>
      </c>
      <c r="F158" s="788">
        <v>25000</v>
      </c>
      <c r="G158" s="122"/>
    </row>
    <row r="159" spans="1:7" s="120" customFormat="1" ht="23.25" customHeight="1">
      <c r="A159" s="246">
        <v>76</v>
      </c>
      <c r="B159" s="57"/>
      <c r="C159" s="64"/>
      <c r="D159" s="250">
        <v>6050</v>
      </c>
      <c r="E159" s="341" t="s">
        <v>477</v>
      </c>
      <c r="F159" s="792">
        <f>5000000+6528000-500000</f>
        <v>11028000</v>
      </c>
      <c r="G159" s="326"/>
    </row>
    <row r="160" spans="1:7" s="343" customFormat="1" ht="22.5" customHeight="1">
      <c r="A160" s="304"/>
      <c r="B160" s="50">
        <v>630</v>
      </c>
      <c r="C160" s="49"/>
      <c r="D160" s="321"/>
      <c r="E160" s="342" t="s">
        <v>478</v>
      </c>
      <c r="F160" s="331">
        <f>F161</f>
        <v>221000</v>
      </c>
      <c r="G160" s="331">
        <f>G161</f>
        <v>0</v>
      </c>
    </row>
    <row r="161" spans="1:7" s="346" customFormat="1" ht="21" customHeight="1">
      <c r="A161" s="249"/>
      <c r="B161" s="322"/>
      <c r="C161" s="66">
        <v>63095</v>
      </c>
      <c r="D161" s="344"/>
      <c r="E161" s="345" t="s">
        <v>341</v>
      </c>
      <c r="F161" s="337">
        <f>SUM(F162:F163)</f>
        <v>221000</v>
      </c>
      <c r="G161" s="337">
        <f>SUM(G163:G163)</f>
        <v>0</v>
      </c>
    </row>
    <row r="162" spans="1:7" s="417" customFormat="1" ht="30" customHeight="1">
      <c r="A162" s="255"/>
      <c r="B162" s="57"/>
      <c r="C162" s="390"/>
      <c r="D162" s="833">
        <v>6050</v>
      </c>
      <c r="E162" s="834" t="s">
        <v>213</v>
      </c>
      <c r="F162" s="835">
        <v>220000</v>
      </c>
      <c r="G162" s="835"/>
    </row>
    <row r="163" spans="1:9" s="120" customFormat="1" ht="28.5" customHeight="1">
      <c r="A163" s="246">
        <v>77</v>
      </c>
      <c r="B163" s="57"/>
      <c r="C163" s="390"/>
      <c r="D163" s="250">
        <v>6050</v>
      </c>
      <c r="E163" s="76" t="s">
        <v>479</v>
      </c>
      <c r="F163" s="326">
        <v>1000</v>
      </c>
      <c r="G163" s="326">
        <v>0</v>
      </c>
      <c r="I163" s="339"/>
    </row>
    <row r="164" spans="1:9" s="120" customFormat="1" ht="22.5" customHeight="1">
      <c r="A164" s="246"/>
      <c r="B164" s="50">
        <v>710</v>
      </c>
      <c r="C164" s="49"/>
      <c r="D164" s="321"/>
      <c r="E164" s="342" t="s">
        <v>342</v>
      </c>
      <c r="F164" s="331">
        <f>F165</f>
        <v>105000</v>
      </c>
      <c r="G164" s="331">
        <f>G165</f>
        <v>0</v>
      </c>
      <c r="I164" s="339"/>
    </row>
    <row r="165" spans="1:9" s="120" customFormat="1" ht="27" customHeight="1">
      <c r="A165" s="246"/>
      <c r="B165" s="322"/>
      <c r="C165" s="66">
        <v>71012</v>
      </c>
      <c r="D165" s="344"/>
      <c r="E165" s="345" t="s">
        <v>363</v>
      </c>
      <c r="F165" s="337">
        <f>SUM(F166:F167)</f>
        <v>105000</v>
      </c>
      <c r="G165" s="337">
        <f>SUM(G167:G167)</f>
        <v>0</v>
      </c>
      <c r="I165" s="339"/>
    </row>
    <row r="166" spans="1:9" s="417" customFormat="1" ht="36" customHeight="1">
      <c r="A166" s="246">
        <v>78</v>
      </c>
      <c r="B166" s="57"/>
      <c r="C166" s="64"/>
      <c r="D166" s="422">
        <v>6050</v>
      </c>
      <c r="E166" s="423" t="s">
        <v>537</v>
      </c>
      <c r="F166" s="424">
        <v>60000</v>
      </c>
      <c r="G166" s="424"/>
      <c r="I166" s="418"/>
    </row>
    <row r="167" spans="1:9" s="120" customFormat="1" ht="24.75" customHeight="1">
      <c r="A167" s="246">
        <v>78</v>
      </c>
      <c r="B167" s="57"/>
      <c r="C167" s="64"/>
      <c r="D167" s="250">
        <v>6060</v>
      </c>
      <c r="E167" s="76" t="s">
        <v>480</v>
      </c>
      <c r="F167" s="326">
        <v>45000</v>
      </c>
      <c r="G167" s="326">
        <v>0</v>
      </c>
      <c r="I167" s="339"/>
    </row>
    <row r="168" spans="1:12" s="51" customFormat="1" ht="24" customHeight="1">
      <c r="A168" s="304"/>
      <c r="B168" s="49">
        <v>754</v>
      </c>
      <c r="C168" s="49"/>
      <c r="D168" s="304"/>
      <c r="E168" s="79" t="s">
        <v>345</v>
      </c>
      <c r="F168" s="114">
        <f>F169</f>
        <v>400000</v>
      </c>
      <c r="G168" s="114">
        <f>G169</f>
        <v>0</v>
      </c>
      <c r="J168" s="47"/>
      <c r="K168" s="47"/>
      <c r="L168" s="3"/>
    </row>
    <row r="169" spans="1:12" s="51" customFormat="1" ht="24" customHeight="1">
      <c r="A169" s="246"/>
      <c r="B169" s="56"/>
      <c r="C169" s="66">
        <v>75411</v>
      </c>
      <c r="D169" s="334"/>
      <c r="E169" s="78" t="s">
        <v>359</v>
      </c>
      <c r="F169" s="116">
        <f>SUM(F170:F170)</f>
        <v>400000</v>
      </c>
      <c r="G169" s="116">
        <f>SUM(G170:G170)</f>
        <v>0</v>
      </c>
      <c r="I169" s="47"/>
      <c r="J169" s="47"/>
      <c r="K169" s="47"/>
      <c r="L169" s="3"/>
    </row>
    <row r="170" spans="1:12" s="51" customFormat="1" ht="58.5" customHeight="1">
      <c r="A170" s="285">
        <v>80</v>
      </c>
      <c r="B170" s="64"/>
      <c r="C170" s="65"/>
      <c r="D170" s="127">
        <v>6050</v>
      </c>
      <c r="E170" s="55" t="s">
        <v>419</v>
      </c>
      <c r="F170" s="81">
        <v>400000</v>
      </c>
      <c r="G170" s="81">
        <v>0</v>
      </c>
      <c r="I170" s="47"/>
      <c r="J170" s="47"/>
      <c r="K170" s="47"/>
      <c r="L170" s="3"/>
    </row>
    <row r="171" spans="1:7" ht="21" customHeight="1">
      <c r="A171" s="304"/>
      <c r="B171" s="49">
        <v>758</v>
      </c>
      <c r="C171" s="49"/>
      <c r="D171" s="299"/>
      <c r="E171" s="110" t="s">
        <v>347</v>
      </c>
      <c r="F171" s="111">
        <f>F172</f>
        <v>222300</v>
      </c>
      <c r="G171" s="114">
        <f>G172</f>
        <v>0</v>
      </c>
    </row>
    <row r="172" spans="1:7" ht="22.5" customHeight="1">
      <c r="A172" s="255"/>
      <c r="B172" s="52"/>
      <c r="C172" s="60">
        <v>75818</v>
      </c>
      <c r="D172" s="303"/>
      <c r="E172" s="78" t="s">
        <v>348</v>
      </c>
      <c r="F172" s="113">
        <f>F173</f>
        <v>222300</v>
      </c>
      <c r="G172" s="307">
        <f>G173</f>
        <v>0</v>
      </c>
    </row>
    <row r="173" spans="1:9" ht="21.75" customHeight="1">
      <c r="A173" s="255"/>
      <c r="B173" s="73"/>
      <c r="C173" s="65"/>
      <c r="D173" s="311">
        <v>6800</v>
      </c>
      <c r="E173" s="68" t="s">
        <v>349</v>
      </c>
      <c r="F173" s="699">
        <f>658000-500000+80500-16200</f>
        <v>222300</v>
      </c>
      <c r="G173" s="122">
        <f>500000-500000</f>
        <v>0</v>
      </c>
      <c r="I173" s="247"/>
    </row>
    <row r="174" spans="1:7" ht="24.75" customHeight="1">
      <c r="A174" s="285"/>
      <c r="B174" s="48">
        <v>801</v>
      </c>
      <c r="C174" s="49"/>
      <c r="D174" s="304"/>
      <c r="E174" s="93" t="s">
        <v>350</v>
      </c>
      <c r="F174" s="111">
        <f>F175+F180</f>
        <v>126000</v>
      </c>
      <c r="G174" s="114">
        <f>G175+G180</f>
        <v>0</v>
      </c>
    </row>
    <row r="175" spans="1:7" s="261" customFormat="1" ht="25.5" customHeight="1">
      <c r="A175" s="347"/>
      <c r="B175" s="54"/>
      <c r="C175" s="313">
        <v>80120</v>
      </c>
      <c r="D175" s="259"/>
      <c r="E175" s="115" t="s">
        <v>481</v>
      </c>
      <c r="F175" s="109">
        <f>SUM(F176:F179)</f>
        <v>101953</v>
      </c>
      <c r="G175" s="116">
        <f>SUM(G176:G179)</f>
        <v>0</v>
      </c>
    </row>
    <row r="176" spans="1:7" s="318" customFormat="1" ht="24.75" customHeight="1">
      <c r="A176" s="246">
        <v>81</v>
      </c>
      <c r="B176" s="57"/>
      <c r="C176" s="70"/>
      <c r="D176" s="310">
        <v>6050</v>
      </c>
      <c r="E176" s="348" t="s">
        <v>482</v>
      </c>
      <c r="F176" s="82">
        <v>45000</v>
      </c>
      <c r="G176" s="81">
        <v>0</v>
      </c>
    </row>
    <row r="177" spans="1:7" s="318" customFormat="1" ht="24" customHeight="1">
      <c r="A177" s="246">
        <v>82</v>
      </c>
      <c r="B177" s="57"/>
      <c r="C177" s="64"/>
      <c r="D177" s="315">
        <v>6050</v>
      </c>
      <c r="E177" s="317" t="s">
        <v>483</v>
      </c>
      <c r="F177" s="82">
        <v>50000</v>
      </c>
      <c r="G177" s="81">
        <v>0</v>
      </c>
    </row>
    <row r="178" spans="1:7" s="318" customFormat="1" ht="27.75" customHeight="1">
      <c r="A178" s="246">
        <v>83</v>
      </c>
      <c r="B178" s="57"/>
      <c r="C178" s="64"/>
      <c r="D178" s="315">
        <v>6060</v>
      </c>
      <c r="E178" s="317" t="s">
        <v>484</v>
      </c>
      <c r="F178" s="82">
        <v>1953</v>
      </c>
      <c r="G178" s="81">
        <v>0</v>
      </c>
    </row>
    <row r="179" spans="1:7" s="318" customFormat="1" ht="24.75" customHeight="1">
      <c r="A179" s="246">
        <v>84</v>
      </c>
      <c r="B179" s="57"/>
      <c r="C179" s="58"/>
      <c r="D179" s="310">
        <v>6060</v>
      </c>
      <c r="E179" s="348" t="s">
        <v>485</v>
      </c>
      <c r="F179" s="82">
        <v>5000</v>
      </c>
      <c r="G179" s="81">
        <v>0</v>
      </c>
    </row>
    <row r="180" spans="1:7" s="318" customFormat="1" ht="20.25" customHeight="1">
      <c r="A180" s="246"/>
      <c r="B180" s="65"/>
      <c r="C180" s="86">
        <v>80130</v>
      </c>
      <c r="D180" s="259"/>
      <c r="E180" s="115" t="s">
        <v>486</v>
      </c>
      <c r="F180" s="109">
        <f>SUM(F181:F183)</f>
        <v>24047</v>
      </c>
      <c r="G180" s="116">
        <f>SUM(G181:G183)</f>
        <v>0</v>
      </c>
    </row>
    <row r="181" spans="1:7" s="318" customFormat="1" ht="29.25" customHeight="1">
      <c r="A181" s="246">
        <v>84</v>
      </c>
      <c r="B181" s="80"/>
      <c r="C181" s="54"/>
      <c r="D181" s="315">
        <v>6060</v>
      </c>
      <c r="E181" s="317" t="s">
        <v>487</v>
      </c>
      <c r="F181" s="82">
        <v>6000</v>
      </c>
      <c r="G181" s="81">
        <v>0</v>
      </c>
    </row>
    <row r="182" spans="1:7" s="318" customFormat="1" ht="34.5" customHeight="1">
      <c r="A182" s="246">
        <v>86</v>
      </c>
      <c r="B182" s="80"/>
      <c r="C182" s="56"/>
      <c r="D182" s="315">
        <v>6060</v>
      </c>
      <c r="E182" s="317" t="s">
        <v>484</v>
      </c>
      <c r="F182" s="82">
        <v>8047</v>
      </c>
      <c r="G182" s="81">
        <v>0</v>
      </c>
    </row>
    <row r="183" spans="1:7" s="318" customFormat="1" ht="26.25" customHeight="1">
      <c r="A183" s="246">
        <v>87</v>
      </c>
      <c r="B183" s="80"/>
      <c r="C183" s="58"/>
      <c r="D183" s="315">
        <v>6060</v>
      </c>
      <c r="E183" s="317" t="s">
        <v>488</v>
      </c>
      <c r="F183" s="82">
        <v>10000</v>
      </c>
      <c r="G183" s="81">
        <v>0</v>
      </c>
    </row>
    <row r="184" spans="1:7" s="256" customFormat="1" ht="20.25" customHeight="1">
      <c r="A184" s="304"/>
      <c r="B184" s="49">
        <v>854</v>
      </c>
      <c r="C184" s="258"/>
      <c r="D184" s="349"/>
      <c r="E184" s="350" t="s">
        <v>489</v>
      </c>
      <c r="F184" s="111">
        <f>F185</f>
        <v>65300</v>
      </c>
      <c r="G184" s="114">
        <f>G185</f>
        <v>0</v>
      </c>
    </row>
    <row r="185" spans="1:7" s="261" customFormat="1" ht="24.75" customHeight="1">
      <c r="A185" s="259"/>
      <c r="B185" s="86"/>
      <c r="C185" s="63">
        <v>85403</v>
      </c>
      <c r="D185" s="351"/>
      <c r="E185" s="352" t="s">
        <v>490</v>
      </c>
      <c r="F185" s="109">
        <f>F186+F187</f>
        <v>65300</v>
      </c>
      <c r="G185" s="116">
        <f>G187</f>
        <v>0</v>
      </c>
    </row>
    <row r="186" spans="1:7" s="414" customFormat="1" ht="24.75" customHeight="1">
      <c r="A186" s="246"/>
      <c r="B186" s="65"/>
      <c r="C186" s="59"/>
      <c r="D186" s="810">
        <v>6060</v>
      </c>
      <c r="E186" s="811" t="s">
        <v>96</v>
      </c>
      <c r="F186" s="794">
        <v>53000</v>
      </c>
      <c r="G186" s="798"/>
    </row>
    <row r="187" spans="1:7" s="318" customFormat="1" ht="24" customHeight="1">
      <c r="A187" s="246">
        <v>88</v>
      </c>
      <c r="B187" s="65"/>
      <c r="C187" s="59"/>
      <c r="D187" s="319">
        <v>6060</v>
      </c>
      <c r="E187" s="317" t="s">
        <v>491</v>
      </c>
      <c r="F187" s="82">
        <v>12300</v>
      </c>
      <c r="G187" s="81">
        <v>0</v>
      </c>
    </row>
    <row r="188" spans="1:7" ht="20.25" customHeight="1">
      <c r="A188" s="304"/>
      <c r="B188" s="49">
        <v>926</v>
      </c>
      <c r="C188" s="49"/>
      <c r="D188" s="299"/>
      <c r="E188" s="110" t="s">
        <v>362</v>
      </c>
      <c r="F188" s="111">
        <f>F189</f>
        <v>1344800</v>
      </c>
      <c r="G188" s="114">
        <f>G189</f>
        <v>0</v>
      </c>
    </row>
    <row r="189" spans="1:7" ht="24" customHeight="1">
      <c r="A189" s="353"/>
      <c r="B189" s="52"/>
      <c r="C189" s="60">
        <v>92601</v>
      </c>
      <c r="D189" s="303"/>
      <c r="E189" s="77" t="s">
        <v>356</v>
      </c>
      <c r="F189" s="109">
        <f>SUM(F190:F190)</f>
        <v>1344800</v>
      </c>
      <c r="G189" s="116">
        <f>SUM(G190:G190)</f>
        <v>0</v>
      </c>
    </row>
    <row r="190" spans="1:7" ht="29.25" customHeight="1">
      <c r="A190" s="354">
        <v>89</v>
      </c>
      <c r="B190" s="72"/>
      <c r="C190" s="389"/>
      <c r="D190" s="127">
        <v>6050</v>
      </c>
      <c r="E190" s="67" t="s">
        <v>492</v>
      </c>
      <c r="F190" s="82">
        <v>1344800</v>
      </c>
      <c r="G190" s="81">
        <v>0</v>
      </c>
    </row>
    <row r="191" spans="1:10" ht="28.5" customHeight="1">
      <c r="A191" s="304"/>
      <c r="B191" s="118" t="s">
        <v>329</v>
      </c>
      <c r="C191" s="88"/>
      <c r="D191" s="355"/>
      <c r="E191" s="356"/>
      <c r="F191" s="128">
        <f>F14+F147</f>
        <v>55500644.88</v>
      </c>
      <c r="G191" s="128">
        <f>G14+G147</f>
        <v>5445793</v>
      </c>
      <c r="I191" s="298"/>
      <c r="J191" s="298"/>
    </row>
    <row r="192" spans="1:10" ht="21.75" customHeight="1">
      <c r="A192" s="279"/>
      <c r="B192" s="37"/>
      <c r="C192" s="37"/>
      <c r="D192" s="279"/>
      <c r="F192" s="262"/>
      <c r="G192" s="262"/>
      <c r="I192" s="300"/>
      <c r="J192" s="300"/>
    </row>
    <row r="193" spans="1:10" ht="22.5" customHeight="1">
      <c r="A193" s="279"/>
      <c r="B193" s="36"/>
      <c r="C193" s="36"/>
      <c r="D193" s="279"/>
      <c r="F193" s="268"/>
      <c r="G193" s="268"/>
      <c r="I193" s="247"/>
      <c r="J193" s="275"/>
    </row>
    <row r="194" spans="1:10" ht="12.75">
      <c r="A194" s="279"/>
      <c r="B194" s="36"/>
      <c r="C194" s="36"/>
      <c r="D194" s="279"/>
      <c r="F194" s="268"/>
      <c r="G194" s="268"/>
      <c r="H194" s="247"/>
      <c r="I194" s="247"/>
      <c r="J194" s="247"/>
    </row>
    <row r="195" spans="6:10" ht="12.75">
      <c r="F195" s="251"/>
      <c r="G195" s="267"/>
      <c r="I195" s="247"/>
      <c r="J195" s="247"/>
    </row>
    <row r="196" spans="6:10" ht="12.75">
      <c r="F196" s="263"/>
      <c r="G196" s="267"/>
      <c r="I196" s="247"/>
      <c r="J196" s="247"/>
    </row>
    <row r="197" spans="6:10" ht="12.75">
      <c r="F197" s="267"/>
      <c r="G197" s="267"/>
      <c r="I197" s="247"/>
      <c r="J197" s="247"/>
    </row>
    <row r="198" spans="6:10" ht="12.75">
      <c r="F198" s="267"/>
      <c r="G198" s="267"/>
      <c r="I198" s="247"/>
      <c r="J198" s="247"/>
    </row>
    <row r="199" spans="6:7" ht="12.75">
      <c r="F199" s="267"/>
      <c r="G199" s="267"/>
    </row>
    <row r="200" spans="6:7" ht="12.75">
      <c r="F200" s="267"/>
      <c r="G200" s="267"/>
    </row>
    <row r="201" spans="6:7" ht="12.75">
      <c r="F201" s="267"/>
      <c r="G201" s="267"/>
    </row>
    <row r="202" spans="6:7" ht="12.75">
      <c r="F202" s="267"/>
      <c r="G202" s="267"/>
    </row>
    <row r="203" spans="6:7" ht="12.75">
      <c r="F203" s="267"/>
      <c r="G203" s="267"/>
    </row>
    <row r="204" spans="6:7" ht="12.75">
      <c r="F204" s="267"/>
      <c r="G204" s="267"/>
    </row>
    <row r="205" spans="6:7" ht="12.75">
      <c r="F205" s="267"/>
      <c r="G205" s="267"/>
    </row>
    <row r="206" spans="6:7" ht="12.75">
      <c r="F206" s="267"/>
      <c r="G206" s="267"/>
    </row>
  </sheetData>
  <sheetProtection/>
  <mergeCells count="2">
    <mergeCell ref="A108:A109"/>
    <mergeCell ref="A133:A134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531" customWidth="1"/>
    <col min="8" max="8" width="18.140625" style="531" customWidth="1"/>
    <col min="9" max="9" width="23.00390625" style="531" customWidth="1"/>
    <col min="10" max="10" width="33.140625" style="245" customWidth="1"/>
    <col min="11" max="11" width="18.140625" style="154" customWidth="1"/>
    <col min="12" max="12" width="15.7109375" style="154" customWidth="1"/>
    <col min="13" max="13" width="10.140625" style="154" bestFit="1" customWidth="1"/>
    <col min="14" max="14" width="9.140625" style="154" customWidth="1"/>
    <col min="15" max="16384" width="9.140625" style="2" customWidth="1"/>
  </cols>
  <sheetData>
    <row r="1" spans="3:4" ht="20.25">
      <c r="C1" s="529" t="s">
        <v>556</v>
      </c>
      <c r="D1" s="530"/>
    </row>
    <row r="2" spans="3:4" ht="18.75">
      <c r="C2" s="505" t="s">
        <v>633</v>
      </c>
      <c r="D2" s="530"/>
    </row>
    <row r="3" spans="3:4" ht="18.75">
      <c r="C3" s="505" t="s">
        <v>402</v>
      </c>
      <c r="D3" s="530"/>
    </row>
    <row r="4" spans="3:4" ht="18.75">
      <c r="C4" s="154" t="s">
        <v>123</v>
      </c>
      <c r="D4" s="530"/>
    </row>
    <row r="5" spans="3:4" ht="18.75">
      <c r="C5" s="530"/>
      <c r="D5" s="530"/>
    </row>
    <row r="6" spans="1:13" ht="18.75">
      <c r="A6" s="530"/>
      <c r="B6" s="530"/>
      <c r="C6" s="530"/>
      <c r="D6" s="530"/>
      <c r="E6" s="530"/>
      <c r="F6" s="530"/>
      <c r="G6" s="532"/>
      <c r="H6" s="532"/>
      <c r="I6" s="532"/>
      <c r="J6" s="533"/>
      <c r="K6" s="534"/>
      <c r="L6" s="534"/>
      <c r="M6" s="534"/>
    </row>
    <row r="7" spans="1:13" ht="20.25">
      <c r="A7" s="530"/>
      <c r="B7" s="535" t="s">
        <v>557</v>
      </c>
      <c r="C7" s="530"/>
      <c r="D7" s="530"/>
      <c r="E7" s="530"/>
      <c r="F7" s="530"/>
      <c r="G7" s="532"/>
      <c r="H7" s="532"/>
      <c r="I7" s="532"/>
      <c r="J7" s="533"/>
      <c r="K7" s="534"/>
      <c r="L7" s="534"/>
      <c r="M7" s="534"/>
    </row>
    <row r="8" spans="1:13" ht="20.25">
      <c r="A8" s="536"/>
      <c r="B8" s="535" t="s">
        <v>558</v>
      </c>
      <c r="C8" s="5"/>
      <c r="D8" s="6"/>
      <c r="E8" s="5"/>
      <c r="F8" s="5"/>
      <c r="G8" s="537"/>
      <c r="H8" s="537"/>
      <c r="I8" s="537"/>
      <c r="J8" s="538"/>
      <c r="K8" s="7"/>
      <c r="L8" s="534"/>
      <c r="M8" s="534"/>
    </row>
    <row r="9" spans="1:13" ht="20.25">
      <c r="A9" s="536"/>
      <c r="B9" s="535" t="s">
        <v>559</v>
      </c>
      <c r="C9" s="5"/>
      <c r="D9" s="6"/>
      <c r="E9" s="5"/>
      <c r="F9" s="5"/>
      <c r="G9" s="537"/>
      <c r="H9" s="537"/>
      <c r="I9" s="537"/>
      <c r="J9" s="538"/>
      <c r="K9" s="7"/>
      <c r="L9" s="534"/>
      <c r="M9" s="534"/>
    </row>
    <row r="10" spans="1:13" ht="18.75">
      <c r="A10" s="536"/>
      <c r="B10" s="23"/>
      <c r="C10" s="23"/>
      <c r="D10" s="539"/>
      <c r="E10" s="5"/>
      <c r="F10" s="5"/>
      <c r="G10" s="537"/>
      <c r="H10" s="537"/>
      <c r="I10" s="537"/>
      <c r="J10" s="538"/>
      <c r="K10" s="7"/>
      <c r="L10" s="534"/>
      <c r="M10" s="534"/>
    </row>
    <row r="11" spans="1:13" ht="18.75">
      <c r="A11" s="536"/>
      <c r="B11" s="5"/>
      <c r="C11" s="5"/>
      <c r="D11" s="6"/>
      <c r="E11" s="5"/>
      <c r="F11" s="540" t="s">
        <v>330</v>
      </c>
      <c r="G11" s="537"/>
      <c r="H11" s="537"/>
      <c r="I11" s="537"/>
      <c r="J11" s="538"/>
      <c r="K11" s="7"/>
      <c r="L11" s="534"/>
      <c r="M11" s="534"/>
    </row>
    <row r="12" spans="1:13" ht="29.25" customHeight="1">
      <c r="A12" s="541"/>
      <c r="B12" s="542"/>
      <c r="C12" s="542"/>
      <c r="D12" s="543"/>
      <c r="E12" s="544" t="s">
        <v>560</v>
      </c>
      <c r="F12" s="545"/>
      <c r="G12" s="537"/>
      <c r="H12" s="537"/>
      <c r="I12" s="537"/>
      <c r="J12" s="538"/>
      <c r="K12" s="7"/>
      <c r="L12" s="534"/>
      <c r="M12" s="534"/>
    </row>
    <row r="13" spans="1:14" s="556" customFormat="1" ht="41.25" customHeight="1">
      <c r="A13" s="546" t="s">
        <v>561</v>
      </c>
      <c r="B13" s="547" t="s">
        <v>562</v>
      </c>
      <c r="C13" s="548" t="s">
        <v>563</v>
      </c>
      <c r="D13" s="548" t="s">
        <v>564</v>
      </c>
      <c r="E13" s="549" t="s">
        <v>565</v>
      </c>
      <c r="F13" s="519" t="s">
        <v>566</v>
      </c>
      <c r="G13" s="550"/>
      <c r="H13" s="551"/>
      <c r="I13" s="552"/>
      <c r="J13" s="553"/>
      <c r="K13" s="7"/>
      <c r="L13" s="554"/>
      <c r="M13" s="554"/>
      <c r="N13" s="555"/>
    </row>
    <row r="14" spans="1:14" s="556" customFormat="1" ht="27.75" customHeight="1">
      <c r="A14" s="557" t="s">
        <v>567</v>
      </c>
      <c r="B14" s="558"/>
      <c r="C14" s="559"/>
      <c r="D14" s="559"/>
      <c r="E14" s="560">
        <f>E17+E23+E26+E29+E32+E35+E38+E44+E53+E56+E59+E62</f>
        <v>453106.62</v>
      </c>
      <c r="F14" s="560">
        <f>F17+F20+F23+F26+F29+F32+F35+F38+F41+F44+F47+F50+F53+F56+F59+F62</f>
        <v>3540856.6900000004</v>
      </c>
      <c r="G14" s="550"/>
      <c r="H14" s="551">
        <f>E14+F14</f>
        <v>3993963.3100000005</v>
      </c>
      <c r="I14" s="551"/>
      <c r="J14" s="561"/>
      <c r="K14" s="7"/>
      <c r="L14" s="554"/>
      <c r="M14" s="554"/>
      <c r="N14" s="555"/>
    </row>
    <row r="15" spans="1:13" s="51" customFormat="1" ht="39" customHeight="1">
      <c r="A15" s="562">
        <v>1</v>
      </c>
      <c r="B15" s="563" t="s">
        <v>568</v>
      </c>
      <c r="C15" s="564" t="s">
        <v>569</v>
      </c>
      <c r="D15" s="565"/>
      <c r="E15" s="566"/>
      <c r="F15" s="567"/>
      <c r="G15" s="568"/>
      <c r="H15" s="551"/>
      <c r="I15" s="569"/>
      <c r="J15" s="561"/>
      <c r="K15" s="570"/>
      <c r="L15" s="571"/>
      <c r="M15" s="571"/>
    </row>
    <row r="16" spans="1:13" s="51" customFormat="1" ht="54.75" customHeight="1">
      <c r="A16" s="572"/>
      <c r="B16" s="266" t="s">
        <v>570</v>
      </c>
      <c r="C16" s="573"/>
      <c r="D16" s="574"/>
      <c r="E16" s="575"/>
      <c r="F16" s="576"/>
      <c r="G16" s="568"/>
      <c r="H16" s="551"/>
      <c r="I16" s="569"/>
      <c r="J16" s="561"/>
      <c r="K16" s="570"/>
      <c r="L16" s="571"/>
      <c r="M16" s="571"/>
    </row>
    <row r="17" spans="1:13" s="51" customFormat="1" ht="50.25" customHeight="1">
      <c r="A17" s="577"/>
      <c r="B17" s="266" t="s">
        <v>571</v>
      </c>
      <c r="C17" s="578"/>
      <c r="D17" s="579" t="s">
        <v>572</v>
      </c>
      <c r="E17" s="580">
        <f>39150.99+2631</f>
        <v>41781.99</v>
      </c>
      <c r="F17" s="581">
        <f>221855.51+14909</f>
        <v>236764.51</v>
      </c>
      <c r="G17" s="568"/>
      <c r="H17" s="551">
        <f>2631+14909</f>
        <v>17540</v>
      </c>
      <c r="I17" s="551"/>
      <c r="J17" s="561"/>
      <c r="K17" s="570"/>
      <c r="L17" s="571"/>
      <c r="M17" s="571"/>
    </row>
    <row r="18" spans="1:13" s="51" customFormat="1" ht="50.25" customHeight="1">
      <c r="A18" s="582">
        <v>2</v>
      </c>
      <c r="B18" s="563" t="s">
        <v>568</v>
      </c>
      <c r="C18" s="583" t="s">
        <v>573</v>
      </c>
      <c r="D18" s="584"/>
      <c r="E18" s="567"/>
      <c r="F18" s="567"/>
      <c r="G18" s="568"/>
      <c r="H18" s="551"/>
      <c r="I18" s="569"/>
      <c r="J18" s="561"/>
      <c r="K18" s="570"/>
      <c r="L18" s="571"/>
      <c r="M18" s="571"/>
    </row>
    <row r="19" spans="1:13" s="51" customFormat="1" ht="42.75" customHeight="1">
      <c r="A19" s="572"/>
      <c r="B19" s="585" t="s">
        <v>574</v>
      </c>
      <c r="C19" s="586"/>
      <c r="D19" s="587"/>
      <c r="E19" s="576"/>
      <c r="F19" s="576"/>
      <c r="G19" s="568"/>
      <c r="H19" s="551"/>
      <c r="I19" s="569"/>
      <c r="J19" s="561"/>
      <c r="K19" s="570"/>
      <c r="L19" s="571"/>
      <c r="M19" s="571"/>
    </row>
    <row r="20" spans="1:13" s="51" customFormat="1" ht="57" customHeight="1">
      <c r="A20" s="577"/>
      <c r="B20" s="585" t="s">
        <v>575</v>
      </c>
      <c r="C20" s="588"/>
      <c r="D20" s="579" t="s">
        <v>576</v>
      </c>
      <c r="E20" s="581" t="s">
        <v>577</v>
      </c>
      <c r="F20" s="581">
        <v>9180</v>
      </c>
      <c r="G20" s="568"/>
      <c r="H20" s="551"/>
      <c r="I20" s="569"/>
      <c r="J20" s="561"/>
      <c r="K20" s="570"/>
      <c r="L20" s="571"/>
      <c r="M20" s="571"/>
    </row>
    <row r="21" spans="1:13" s="51" customFormat="1" ht="44.25" customHeight="1">
      <c r="A21" s="582">
        <v>3</v>
      </c>
      <c r="B21" s="563" t="s">
        <v>568</v>
      </c>
      <c r="C21" s="583" t="s">
        <v>578</v>
      </c>
      <c r="D21" s="584"/>
      <c r="E21" s="567"/>
      <c r="F21" s="567"/>
      <c r="G21" s="568"/>
      <c r="H21" s="551"/>
      <c r="I21" s="569"/>
      <c r="J21" s="561"/>
      <c r="K21" s="570"/>
      <c r="L21" s="571"/>
      <c r="M21" s="571"/>
    </row>
    <row r="22" spans="1:13" s="51" customFormat="1" ht="35.25" customHeight="1">
      <c r="A22" s="572"/>
      <c r="B22" s="585" t="s">
        <v>579</v>
      </c>
      <c r="C22" s="586"/>
      <c r="D22" s="587"/>
      <c r="E22" s="576"/>
      <c r="F22" s="576"/>
      <c r="G22" s="568"/>
      <c r="H22" s="551"/>
      <c r="I22" s="569"/>
      <c r="J22" s="561"/>
      <c r="K22" s="570"/>
      <c r="L22" s="571"/>
      <c r="M22" s="571"/>
    </row>
    <row r="23" spans="1:13" s="51" customFormat="1" ht="48" customHeight="1">
      <c r="A23" s="577"/>
      <c r="B23" s="585" t="s">
        <v>580</v>
      </c>
      <c r="C23" s="588"/>
      <c r="D23" s="574" t="s">
        <v>576</v>
      </c>
      <c r="E23" s="589">
        <v>100</v>
      </c>
      <c r="F23" s="576">
        <f>11200+1636.6</f>
        <v>12836.6</v>
      </c>
      <c r="G23" s="568"/>
      <c r="H23" s="551"/>
      <c r="I23" s="569"/>
      <c r="J23" s="561"/>
      <c r="K23" s="570"/>
      <c r="L23" s="571"/>
      <c r="M23" s="571"/>
    </row>
    <row r="24" spans="1:13" s="51" customFormat="1" ht="45" customHeight="1">
      <c r="A24" s="562">
        <v>4</v>
      </c>
      <c r="B24" s="563" t="s">
        <v>568</v>
      </c>
      <c r="C24" s="564" t="s">
        <v>569</v>
      </c>
      <c r="D24" s="590"/>
      <c r="E24" s="567"/>
      <c r="F24" s="567"/>
      <c r="G24" s="568"/>
      <c r="H24" s="551"/>
      <c r="I24" s="569"/>
      <c r="J24" s="561"/>
      <c r="K24" s="570"/>
      <c r="L24" s="571"/>
      <c r="M24" s="571"/>
    </row>
    <row r="25" spans="1:13" s="51" customFormat="1" ht="51" customHeight="1">
      <c r="A25" s="572"/>
      <c r="B25" s="266" t="s">
        <v>581</v>
      </c>
      <c r="C25" s="573"/>
      <c r="D25" s="591"/>
      <c r="E25" s="576"/>
      <c r="F25" s="576"/>
      <c r="G25" s="568"/>
      <c r="H25" s="551"/>
      <c r="I25" s="569"/>
      <c r="J25" s="561"/>
      <c r="K25" s="570"/>
      <c r="L25" s="571"/>
      <c r="M25" s="571"/>
    </row>
    <row r="26" spans="1:13" s="51" customFormat="1" ht="42" customHeight="1">
      <c r="A26" s="572"/>
      <c r="B26" s="266" t="s">
        <v>582</v>
      </c>
      <c r="C26" s="578"/>
      <c r="D26" s="592" t="s">
        <v>576</v>
      </c>
      <c r="E26" s="644">
        <f>33849.9+12291.56+4869.12</f>
        <v>51010.58</v>
      </c>
      <c r="F26" s="644">
        <f>191816.1+69652.08+27591.79</f>
        <v>289059.97</v>
      </c>
      <c r="G26" s="568"/>
      <c r="H26" s="551"/>
      <c r="I26" s="569"/>
      <c r="J26" s="561"/>
      <c r="K26" s="570"/>
      <c r="L26" s="571"/>
      <c r="M26" s="571"/>
    </row>
    <row r="27" spans="1:13" s="51" customFormat="1" ht="41.25" customHeight="1">
      <c r="A27" s="562">
        <v>5</v>
      </c>
      <c r="B27" s="563" t="s">
        <v>568</v>
      </c>
      <c r="C27" s="564" t="s">
        <v>569</v>
      </c>
      <c r="D27" s="590"/>
      <c r="E27" s="567"/>
      <c r="F27" s="567"/>
      <c r="G27" s="568"/>
      <c r="H27" s="551"/>
      <c r="I27" s="569"/>
      <c r="J27" s="561"/>
      <c r="K27" s="570"/>
      <c r="L27" s="571"/>
      <c r="M27" s="571"/>
    </row>
    <row r="28" spans="1:13" s="51" customFormat="1" ht="74.25" customHeight="1">
      <c r="A28" s="572"/>
      <c r="B28" s="266" t="s">
        <v>583</v>
      </c>
      <c r="C28" s="573"/>
      <c r="D28" s="591"/>
      <c r="E28" s="576"/>
      <c r="F28" s="576"/>
      <c r="G28" s="568"/>
      <c r="H28" s="551"/>
      <c r="I28" s="569"/>
      <c r="J28" s="561"/>
      <c r="K28" s="570"/>
      <c r="L28" s="571"/>
      <c r="M28" s="571"/>
    </row>
    <row r="29" spans="1:13" s="51" customFormat="1" ht="42" customHeight="1">
      <c r="A29" s="572"/>
      <c r="B29" s="266" t="s">
        <v>584</v>
      </c>
      <c r="C29" s="578"/>
      <c r="D29" s="592" t="s">
        <v>576</v>
      </c>
      <c r="E29" s="581">
        <f>26352.02-105+7828.32</f>
        <v>34075.34</v>
      </c>
      <c r="F29" s="581">
        <f>149328.08-595+44360.45</f>
        <v>193093.52999999997</v>
      </c>
      <c r="G29" s="568"/>
      <c r="H29" s="551"/>
      <c r="I29" s="569"/>
      <c r="J29" s="561"/>
      <c r="K29" s="570"/>
      <c r="L29" s="571"/>
      <c r="M29" s="571"/>
    </row>
    <row r="30" spans="1:13" s="51" customFormat="1" ht="39" customHeight="1">
      <c r="A30" s="562">
        <v>6</v>
      </c>
      <c r="B30" s="563" t="s">
        <v>568</v>
      </c>
      <c r="C30" s="593" t="s">
        <v>569</v>
      </c>
      <c r="D30" s="591"/>
      <c r="E30" s="576"/>
      <c r="F30" s="576"/>
      <c r="G30" s="568"/>
      <c r="H30" s="551"/>
      <c r="I30" s="569"/>
      <c r="J30" s="561"/>
      <c r="K30" s="570"/>
      <c r="L30" s="571"/>
      <c r="M30" s="571"/>
    </row>
    <row r="31" spans="1:13" s="51" customFormat="1" ht="42" customHeight="1">
      <c r="A31" s="572"/>
      <c r="B31" s="266" t="s">
        <v>585</v>
      </c>
      <c r="C31" s="594"/>
      <c r="D31" s="591"/>
      <c r="E31" s="576"/>
      <c r="F31" s="576"/>
      <c r="G31" s="568"/>
      <c r="H31" s="551"/>
      <c r="I31" s="569"/>
      <c r="J31" s="561"/>
      <c r="K31" s="570"/>
      <c r="L31" s="571"/>
      <c r="M31" s="571"/>
    </row>
    <row r="32" spans="1:13" s="51" customFormat="1" ht="39" customHeight="1">
      <c r="A32" s="572"/>
      <c r="B32" s="595" t="s">
        <v>586</v>
      </c>
      <c r="C32" s="594"/>
      <c r="D32" s="592" t="s">
        <v>587</v>
      </c>
      <c r="E32" s="807">
        <f>65500.65+2325+1126.08</f>
        <v>68951.73</v>
      </c>
      <c r="F32" s="807">
        <f>371170.35+13175+6381.08</f>
        <v>390726.43</v>
      </c>
      <c r="G32" s="568"/>
      <c r="H32" s="551">
        <f>E32+F32</f>
        <v>459678.16</v>
      </c>
      <c r="I32" s="569"/>
      <c r="J32" s="561"/>
      <c r="K32" s="570"/>
      <c r="L32" s="571"/>
      <c r="M32" s="571"/>
    </row>
    <row r="33" spans="1:13" s="51" customFormat="1" ht="42" customHeight="1">
      <c r="A33" s="562">
        <v>7</v>
      </c>
      <c r="B33" s="563" t="s">
        <v>568</v>
      </c>
      <c r="C33" s="596" t="s">
        <v>569</v>
      </c>
      <c r="D33" s="565"/>
      <c r="E33" s="567"/>
      <c r="F33" s="597"/>
      <c r="G33" s="568"/>
      <c r="H33" s="551">
        <v>450707.6</v>
      </c>
      <c r="I33" s="569"/>
      <c r="J33" s="561"/>
      <c r="K33" s="570"/>
      <c r="L33" s="571"/>
      <c r="M33" s="571"/>
    </row>
    <row r="34" spans="1:13" s="51" customFormat="1" ht="42" customHeight="1">
      <c r="A34" s="572"/>
      <c r="B34" s="266" t="s">
        <v>588</v>
      </c>
      <c r="C34" s="573"/>
      <c r="D34" s="574"/>
      <c r="E34" s="576"/>
      <c r="F34" s="598"/>
      <c r="G34" s="568"/>
      <c r="H34" s="551">
        <f>H32-H33</f>
        <v>8970.559999999998</v>
      </c>
      <c r="I34" s="569"/>
      <c r="J34" s="561"/>
      <c r="K34" s="570"/>
      <c r="L34" s="571"/>
      <c r="M34" s="571"/>
    </row>
    <row r="35" spans="1:13" s="51" customFormat="1" ht="42" customHeight="1">
      <c r="A35" s="577"/>
      <c r="B35" s="266" t="s">
        <v>589</v>
      </c>
      <c r="C35" s="578"/>
      <c r="D35" s="592" t="s">
        <v>576</v>
      </c>
      <c r="E35" s="644">
        <f>89821.42+17767.11+6515.9</f>
        <v>114104.43</v>
      </c>
      <c r="F35" s="808">
        <f>508988.03+116185.96+21417.76</f>
        <v>646591.75</v>
      </c>
      <c r="G35" s="568"/>
      <c r="H35" s="551"/>
      <c r="I35" s="569"/>
      <c r="J35" s="561"/>
      <c r="K35" s="570"/>
      <c r="L35" s="571"/>
      <c r="M35" s="571"/>
    </row>
    <row r="36" spans="1:13" s="51" customFormat="1" ht="42.75" customHeight="1">
      <c r="A36" s="582">
        <v>8</v>
      </c>
      <c r="B36" s="563" t="s">
        <v>568</v>
      </c>
      <c r="C36" s="599" t="s">
        <v>590</v>
      </c>
      <c r="D36" s="591"/>
      <c r="E36" s="576"/>
      <c r="F36" s="576"/>
      <c r="G36" s="568"/>
      <c r="H36" s="551"/>
      <c r="I36" s="569"/>
      <c r="J36" s="561"/>
      <c r="K36" s="570"/>
      <c r="L36" s="571"/>
      <c r="M36" s="571"/>
    </row>
    <row r="37" spans="1:13" s="51" customFormat="1" ht="35.25" customHeight="1">
      <c r="A37" s="572"/>
      <c r="B37" s="600" t="s">
        <v>591</v>
      </c>
      <c r="C37" s="586"/>
      <c r="D37" s="601"/>
      <c r="E37" s="576"/>
      <c r="F37" s="576"/>
      <c r="G37" s="568"/>
      <c r="H37" s="551"/>
      <c r="I37" s="569"/>
      <c r="J37" s="561"/>
      <c r="K37" s="570"/>
      <c r="L37" s="571"/>
      <c r="M37" s="571"/>
    </row>
    <row r="38" spans="1:13" s="51" customFormat="1" ht="86.25" customHeight="1">
      <c r="A38" s="577"/>
      <c r="B38" s="600" t="s">
        <v>592</v>
      </c>
      <c r="C38" s="588"/>
      <c r="D38" s="602" t="s">
        <v>576</v>
      </c>
      <c r="E38" s="581">
        <v>495.24</v>
      </c>
      <c r="F38" s="644">
        <f>158591.88+7209.46</f>
        <v>165801.34</v>
      </c>
      <c r="G38" s="568"/>
      <c r="H38" s="551"/>
      <c r="I38" s="569"/>
      <c r="J38" s="561"/>
      <c r="K38" s="570"/>
      <c r="L38" s="571"/>
      <c r="M38" s="571"/>
    </row>
    <row r="39" spans="1:13" s="51" customFormat="1" ht="54" customHeight="1">
      <c r="A39" s="562">
        <v>9</v>
      </c>
      <c r="B39" s="603" t="s">
        <v>593</v>
      </c>
      <c r="C39" s="583" t="s">
        <v>578</v>
      </c>
      <c r="D39" s="590"/>
      <c r="E39" s="567"/>
      <c r="F39" s="567"/>
      <c r="G39" s="568"/>
      <c r="H39" s="551"/>
      <c r="I39" s="569"/>
      <c r="J39" s="561"/>
      <c r="K39" s="570"/>
      <c r="L39" s="571"/>
      <c r="M39" s="571"/>
    </row>
    <row r="40" spans="1:13" s="51" customFormat="1" ht="52.5" customHeight="1">
      <c r="A40" s="572"/>
      <c r="B40" s="600" t="s">
        <v>594</v>
      </c>
      <c r="C40" s="586"/>
      <c r="D40" s="601"/>
      <c r="E40" s="576"/>
      <c r="F40" s="576"/>
      <c r="G40" s="568"/>
      <c r="H40" s="551"/>
      <c r="I40" s="569"/>
      <c r="J40" s="561"/>
      <c r="K40" s="570"/>
      <c r="L40" s="571"/>
      <c r="M40" s="571"/>
    </row>
    <row r="41" spans="1:13" s="51" customFormat="1" ht="58.5" customHeight="1">
      <c r="A41" s="577"/>
      <c r="B41" s="600" t="s">
        <v>595</v>
      </c>
      <c r="C41" s="588"/>
      <c r="D41" s="602" t="s">
        <v>576</v>
      </c>
      <c r="E41" s="581"/>
      <c r="F41" s="581">
        <f>6768+13243.58</f>
        <v>20011.58</v>
      </c>
      <c r="G41" s="568"/>
      <c r="H41" s="551"/>
      <c r="I41" s="604"/>
      <c r="J41" s="561"/>
      <c r="K41" s="570"/>
      <c r="L41" s="571"/>
      <c r="M41" s="571"/>
    </row>
    <row r="42" spans="1:13" s="51" customFormat="1" ht="39" customHeight="1">
      <c r="A42" s="582">
        <v>10</v>
      </c>
      <c r="B42" s="563" t="s">
        <v>568</v>
      </c>
      <c r="C42" s="583" t="s">
        <v>578</v>
      </c>
      <c r="D42" s="584"/>
      <c r="E42" s="567"/>
      <c r="F42" s="567"/>
      <c r="G42" s="568"/>
      <c r="H42" s="551"/>
      <c r="I42" s="604"/>
      <c r="J42" s="561"/>
      <c r="K42" s="570"/>
      <c r="L42" s="571"/>
      <c r="M42" s="571"/>
    </row>
    <row r="43" spans="1:13" s="51" customFormat="1" ht="75" customHeight="1">
      <c r="A43" s="572"/>
      <c r="B43" s="585" t="s">
        <v>596</v>
      </c>
      <c r="C43" s="586"/>
      <c r="D43" s="587"/>
      <c r="E43" s="576"/>
      <c r="F43" s="576"/>
      <c r="G43" s="568"/>
      <c r="H43" s="551"/>
      <c r="I43" s="604"/>
      <c r="J43" s="561"/>
      <c r="K43" s="570"/>
      <c r="L43" s="571"/>
      <c r="M43" s="571"/>
    </row>
    <row r="44" spans="1:13" s="51" customFormat="1" ht="42" customHeight="1">
      <c r="A44" s="577"/>
      <c r="B44" s="585" t="s">
        <v>597</v>
      </c>
      <c r="C44" s="588"/>
      <c r="D44" s="579" t="s">
        <v>576</v>
      </c>
      <c r="E44" s="644">
        <f>22000+53.28</f>
        <v>22053.28</v>
      </c>
      <c r="F44" s="644">
        <f>54580+6699.28</f>
        <v>61279.28</v>
      </c>
      <c r="G44" s="568"/>
      <c r="H44" s="551"/>
      <c r="I44" s="604"/>
      <c r="J44" s="561"/>
      <c r="K44" s="570"/>
      <c r="L44" s="571"/>
      <c r="M44" s="571"/>
    </row>
    <row r="45" spans="1:13" s="51" customFormat="1" ht="56.25" customHeight="1">
      <c r="A45" s="562">
        <v>11</v>
      </c>
      <c r="B45" s="563" t="s">
        <v>568</v>
      </c>
      <c r="C45" s="605" t="s">
        <v>598</v>
      </c>
      <c r="D45" s="565"/>
      <c r="E45" s="567"/>
      <c r="F45" s="567"/>
      <c r="G45" s="568"/>
      <c r="H45" s="551"/>
      <c r="I45" s="604"/>
      <c r="J45" s="561"/>
      <c r="K45" s="570"/>
      <c r="L45" s="571"/>
      <c r="M45" s="571"/>
    </row>
    <row r="46" spans="1:13" s="51" customFormat="1" ht="60.75" customHeight="1">
      <c r="A46" s="572"/>
      <c r="B46" s="585" t="s">
        <v>599</v>
      </c>
      <c r="C46" s="573"/>
      <c r="D46" s="574"/>
      <c r="E46" s="576"/>
      <c r="F46" s="576"/>
      <c r="G46" s="568"/>
      <c r="H46" s="551"/>
      <c r="I46" s="604"/>
      <c r="J46" s="561"/>
      <c r="K46" s="570"/>
      <c r="L46" s="571"/>
      <c r="M46" s="571"/>
    </row>
    <row r="47" spans="1:13" s="51" customFormat="1" ht="38.25" customHeight="1">
      <c r="A47" s="577"/>
      <c r="B47" s="585" t="s">
        <v>600</v>
      </c>
      <c r="C47" s="578"/>
      <c r="D47" s="574" t="s">
        <v>601</v>
      </c>
      <c r="E47" s="576" t="s">
        <v>577</v>
      </c>
      <c r="F47" s="807">
        <f>422070+15020.34</f>
        <v>437090.34</v>
      </c>
      <c r="G47" s="568"/>
      <c r="H47" s="551"/>
      <c r="I47" s="604"/>
      <c r="J47" s="561"/>
      <c r="K47" s="570"/>
      <c r="L47" s="571"/>
      <c r="M47" s="571"/>
    </row>
    <row r="48" spans="1:13" s="51" customFormat="1" ht="38.25" customHeight="1">
      <c r="A48" s="562">
        <v>12</v>
      </c>
      <c r="B48" s="563" t="s">
        <v>568</v>
      </c>
      <c r="C48" s="605" t="s">
        <v>602</v>
      </c>
      <c r="D48" s="565"/>
      <c r="E48" s="566"/>
      <c r="F48" s="567"/>
      <c r="G48" s="568"/>
      <c r="H48" s="551"/>
      <c r="I48" s="604"/>
      <c r="J48" s="561"/>
      <c r="K48" s="570"/>
      <c r="L48" s="571"/>
      <c r="M48" s="571"/>
    </row>
    <row r="49" spans="1:13" s="51" customFormat="1" ht="91.5" customHeight="1">
      <c r="A49" s="572"/>
      <c r="B49" s="585" t="s">
        <v>603</v>
      </c>
      <c r="C49" s="573"/>
      <c r="D49" s="574"/>
      <c r="E49" s="575"/>
      <c r="F49" s="576"/>
      <c r="G49" s="568"/>
      <c r="H49" s="551"/>
      <c r="I49" s="604"/>
      <c r="J49" s="561"/>
      <c r="K49" s="570"/>
      <c r="L49" s="571"/>
      <c r="M49" s="571"/>
    </row>
    <row r="50" spans="1:13" s="51" customFormat="1" ht="42.75" customHeight="1">
      <c r="A50" s="577"/>
      <c r="B50" s="585" t="s">
        <v>604</v>
      </c>
      <c r="C50" s="578"/>
      <c r="D50" s="579" t="s">
        <v>605</v>
      </c>
      <c r="E50" s="581" t="s">
        <v>577</v>
      </c>
      <c r="F50" s="809">
        <f>192024+17733.92</f>
        <v>209757.91999999998</v>
      </c>
      <c r="G50" s="568"/>
      <c r="H50" s="551"/>
      <c r="I50" s="604"/>
      <c r="J50" s="561"/>
      <c r="K50" s="570"/>
      <c r="L50" s="571"/>
      <c r="M50" s="571"/>
    </row>
    <row r="51" spans="1:13" s="51" customFormat="1" ht="56.25" customHeight="1">
      <c r="A51" s="562">
        <v>13</v>
      </c>
      <c r="B51" s="606" t="s">
        <v>568</v>
      </c>
      <c r="C51" s="583" t="s">
        <v>578</v>
      </c>
      <c r="D51" s="565"/>
      <c r="E51" s="566"/>
      <c r="F51" s="567"/>
      <c r="G51" s="568"/>
      <c r="H51" s="551"/>
      <c r="I51" s="569"/>
      <c r="J51" s="561"/>
      <c r="K51" s="570"/>
      <c r="L51" s="571"/>
      <c r="M51" s="571"/>
    </row>
    <row r="52" spans="1:13" s="51" customFormat="1" ht="112.5" customHeight="1">
      <c r="A52" s="572"/>
      <c r="B52" s="585" t="s">
        <v>606</v>
      </c>
      <c r="C52" s="573"/>
      <c r="D52" s="574"/>
      <c r="E52" s="575"/>
      <c r="F52" s="576"/>
      <c r="G52" s="568"/>
      <c r="H52" s="551"/>
      <c r="I52" s="569"/>
      <c r="J52" s="561"/>
      <c r="K52" s="570"/>
      <c r="L52" s="571"/>
      <c r="M52" s="571"/>
    </row>
    <row r="53" spans="1:13" s="51" customFormat="1" ht="30" customHeight="1">
      <c r="A53" s="572"/>
      <c r="B53" s="607" t="s">
        <v>607</v>
      </c>
      <c r="C53" s="594"/>
      <c r="D53" s="574">
        <v>2014</v>
      </c>
      <c r="E53" s="575"/>
      <c r="F53" s="576">
        <v>67969.54</v>
      </c>
      <c r="G53" s="568"/>
      <c r="H53" s="551"/>
      <c r="I53" s="569"/>
      <c r="J53" s="561"/>
      <c r="K53" s="570"/>
      <c r="L53" s="571"/>
      <c r="M53" s="571"/>
    </row>
    <row r="54" spans="1:13" s="51" customFormat="1" ht="55.5" customHeight="1">
      <c r="A54" s="562">
        <v>14</v>
      </c>
      <c r="B54" s="608" t="s">
        <v>593</v>
      </c>
      <c r="C54" s="593" t="s">
        <v>608</v>
      </c>
      <c r="D54" s="565"/>
      <c r="E54" s="567"/>
      <c r="F54" s="567"/>
      <c r="G54" s="568"/>
      <c r="H54" s="551"/>
      <c r="I54" s="569"/>
      <c r="J54" s="561"/>
      <c r="K54" s="570"/>
      <c r="L54" s="571"/>
      <c r="M54" s="571"/>
    </row>
    <row r="55" spans="1:13" s="51" customFormat="1" ht="39.75" customHeight="1">
      <c r="A55" s="572"/>
      <c r="B55" s="585" t="s">
        <v>609</v>
      </c>
      <c r="C55" s="594"/>
      <c r="D55" s="574"/>
      <c r="E55" s="576"/>
      <c r="F55" s="576"/>
      <c r="G55" s="568"/>
      <c r="H55" s="551"/>
      <c r="I55" s="569"/>
      <c r="J55" s="561"/>
      <c r="K55" s="570"/>
      <c r="L55" s="571"/>
      <c r="M55" s="571"/>
    </row>
    <row r="56" spans="1:13" s="51" customFormat="1" ht="45.75" customHeight="1">
      <c r="A56" s="577"/>
      <c r="B56" s="585" t="s">
        <v>610</v>
      </c>
      <c r="C56" s="578"/>
      <c r="D56" s="574" t="s">
        <v>605</v>
      </c>
      <c r="E56" s="576">
        <v>0</v>
      </c>
      <c r="F56" s="807">
        <f>42742.4+13182.16</f>
        <v>55924.56</v>
      </c>
      <c r="G56" s="568"/>
      <c r="H56" s="551"/>
      <c r="I56" s="569"/>
      <c r="J56" s="561"/>
      <c r="K56" s="570"/>
      <c r="L56" s="571"/>
      <c r="M56" s="571"/>
    </row>
    <row r="57" spans="1:13" s="51" customFormat="1" ht="42" customHeight="1">
      <c r="A57" s="562">
        <v>15</v>
      </c>
      <c r="B57" s="563" t="s">
        <v>568</v>
      </c>
      <c r="C57" s="609" t="s">
        <v>569</v>
      </c>
      <c r="D57" s="565"/>
      <c r="E57" s="566"/>
      <c r="F57" s="567"/>
      <c r="G57" s="568"/>
      <c r="H57" s="551"/>
      <c r="I57" s="569"/>
      <c r="J57" s="561"/>
      <c r="K57" s="570"/>
      <c r="L57" s="571"/>
      <c r="M57" s="571"/>
    </row>
    <row r="58" spans="1:13" s="51" customFormat="1" ht="54.75" customHeight="1">
      <c r="A58" s="572"/>
      <c r="B58" s="266" t="s">
        <v>611</v>
      </c>
      <c r="C58" s="573"/>
      <c r="D58" s="574"/>
      <c r="E58" s="575"/>
      <c r="F58" s="576"/>
      <c r="G58" s="568"/>
      <c r="H58" s="551"/>
      <c r="I58" s="569"/>
      <c r="J58" s="561"/>
      <c r="K58" s="570"/>
      <c r="L58" s="571"/>
      <c r="M58" s="571"/>
    </row>
    <row r="59" spans="1:13" s="51" customFormat="1" ht="45.75" customHeight="1">
      <c r="A59" s="577"/>
      <c r="B59" s="266" t="s">
        <v>612</v>
      </c>
      <c r="C59" s="578"/>
      <c r="D59" s="579" t="s">
        <v>613</v>
      </c>
      <c r="E59" s="643">
        <f>125690.25-5156.22</f>
        <v>120534.03</v>
      </c>
      <c r="F59" s="644">
        <f>712244.78-29218.6</f>
        <v>683026.18</v>
      </c>
      <c r="G59" s="568"/>
      <c r="H59" s="551"/>
      <c r="I59" s="569"/>
      <c r="J59" s="561"/>
      <c r="K59" s="570"/>
      <c r="L59" s="571"/>
      <c r="M59" s="571"/>
    </row>
    <row r="60" spans="1:13" s="51" customFormat="1" ht="45.75" customHeight="1">
      <c r="A60" s="562">
        <v>16</v>
      </c>
      <c r="B60" s="563" t="s">
        <v>568</v>
      </c>
      <c r="C60" s="583" t="s">
        <v>578</v>
      </c>
      <c r="D60" s="590"/>
      <c r="E60" s="567"/>
      <c r="F60" s="567"/>
      <c r="G60" s="568"/>
      <c r="H60" s="551"/>
      <c r="I60" s="569"/>
      <c r="J60" s="561"/>
      <c r="K60" s="570"/>
      <c r="L60" s="571"/>
      <c r="M60" s="571"/>
    </row>
    <row r="61" spans="1:13" s="51" customFormat="1" ht="98.25" customHeight="1">
      <c r="A61" s="572"/>
      <c r="B61" s="266" t="s">
        <v>614</v>
      </c>
      <c r="C61" s="586"/>
      <c r="D61" s="601"/>
      <c r="E61" s="576"/>
      <c r="F61" s="576"/>
      <c r="G61" s="568"/>
      <c r="H61" s="551"/>
      <c r="I61" s="569"/>
      <c r="J61" s="561"/>
      <c r="K61" s="570"/>
      <c r="L61" s="571"/>
      <c r="M61" s="571"/>
    </row>
    <row r="62" spans="1:13" s="51" customFormat="1" ht="45.75" customHeight="1">
      <c r="A62" s="577"/>
      <c r="B62" s="266" t="s">
        <v>615</v>
      </c>
      <c r="C62" s="588"/>
      <c r="D62" s="610">
        <v>2014</v>
      </c>
      <c r="E62" s="581"/>
      <c r="F62" s="581">
        <v>61743.16</v>
      </c>
      <c r="G62" s="568"/>
      <c r="H62" s="551"/>
      <c r="I62" s="569"/>
      <c r="J62" s="561"/>
      <c r="K62" s="570"/>
      <c r="L62" s="571"/>
      <c r="M62" s="571"/>
    </row>
    <row r="63" spans="1:11" ht="36.75" customHeight="1">
      <c r="A63" s="611" t="s">
        <v>616</v>
      </c>
      <c r="B63" s="612"/>
      <c r="C63" s="613"/>
      <c r="D63" s="614"/>
      <c r="E63" s="399">
        <f>E66+E69+E72+E75</f>
        <v>16454.82</v>
      </c>
      <c r="F63" s="399">
        <f>F66+F69+F72+F75</f>
        <v>462679.64</v>
      </c>
      <c r="H63" s="551"/>
      <c r="I63" s="615">
        <f>E63+F63</f>
        <v>479134.46</v>
      </c>
      <c r="J63" s="262"/>
      <c r="K63" s="616"/>
    </row>
    <row r="64" spans="1:9" ht="45" customHeight="1">
      <c r="A64" s="582">
        <v>1</v>
      </c>
      <c r="B64" s="608" t="s">
        <v>593</v>
      </c>
      <c r="C64" s="617" t="s">
        <v>617</v>
      </c>
      <c r="D64" s="590"/>
      <c r="E64" s="618"/>
      <c r="F64" s="619"/>
      <c r="H64" s="551"/>
      <c r="I64" s="569"/>
    </row>
    <row r="65" spans="1:9" ht="45.75" customHeight="1">
      <c r="A65" s="572"/>
      <c r="B65" s="585" t="s">
        <v>618</v>
      </c>
      <c r="C65" s="586"/>
      <c r="D65" s="591"/>
      <c r="E65" s="620"/>
      <c r="F65" s="621"/>
      <c r="H65" s="551"/>
      <c r="I65" s="569"/>
    </row>
    <row r="66" spans="1:10" ht="41.25" customHeight="1">
      <c r="A66" s="577"/>
      <c r="B66" s="585" t="s">
        <v>619</v>
      </c>
      <c r="C66" s="588"/>
      <c r="D66" s="592" t="s">
        <v>620</v>
      </c>
      <c r="E66" s="622"/>
      <c r="F66" s="623">
        <f>16777.6+5554.49</f>
        <v>22332.089999999997</v>
      </c>
      <c r="H66" s="551"/>
      <c r="I66" s="569"/>
      <c r="J66" s="268"/>
    </row>
    <row r="67" spans="1:8" ht="42" customHeight="1">
      <c r="A67" s="582">
        <v>2</v>
      </c>
      <c r="B67" s="563" t="s">
        <v>621</v>
      </c>
      <c r="C67" s="624" t="s">
        <v>622</v>
      </c>
      <c r="D67" s="625"/>
      <c r="E67" s="626"/>
      <c r="F67" s="627"/>
      <c r="H67" s="551"/>
    </row>
    <row r="68" spans="1:9" ht="36.75" customHeight="1">
      <c r="A68" s="572"/>
      <c r="B68" s="628" t="s">
        <v>623</v>
      </c>
      <c r="C68" s="269"/>
      <c r="D68" s="629"/>
      <c r="E68" s="630"/>
      <c r="F68" s="631"/>
      <c r="H68" s="551"/>
      <c r="I68" s="632"/>
    </row>
    <row r="69" spans="1:9" ht="36" customHeight="1">
      <c r="A69" s="577"/>
      <c r="B69" s="633" t="s">
        <v>624</v>
      </c>
      <c r="C69" s="634"/>
      <c r="D69" s="592" t="s">
        <v>620</v>
      </c>
      <c r="E69" s="517">
        <f>1200+254.82</f>
        <v>1454.82</v>
      </c>
      <c r="F69" s="517">
        <f>165580+1612.13</f>
        <v>167192.13</v>
      </c>
      <c r="H69" s="551"/>
      <c r="I69" s="632"/>
    </row>
    <row r="70" spans="1:10" ht="44.25" customHeight="1">
      <c r="A70" s="582">
        <v>3</v>
      </c>
      <c r="B70" s="563" t="s">
        <v>625</v>
      </c>
      <c r="C70" s="593" t="s">
        <v>569</v>
      </c>
      <c r="D70" s="625"/>
      <c r="E70" s="626"/>
      <c r="F70" s="627"/>
      <c r="H70" s="551"/>
      <c r="I70" s="632"/>
      <c r="J70" s="268"/>
    </row>
    <row r="71" spans="1:8" ht="60.75" customHeight="1">
      <c r="A71" s="572"/>
      <c r="B71" s="628" t="s">
        <v>626</v>
      </c>
      <c r="C71" s="269"/>
      <c r="D71" s="629"/>
      <c r="E71" s="630"/>
      <c r="F71" s="631"/>
      <c r="H71" s="551"/>
    </row>
    <row r="72" spans="1:8" ht="51.75" customHeight="1">
      <c r="A72" s="577"/>
      <c r="B72" s="628" t="s">
        <v>627</v>
      </c>
      <c r="C72" s="634"/>
      <c r="D72" s="592" t="s">
        <v>620</v>
      </c>
      <c r="E72" s="270">
        <v>15000</v>
      </c>
      <c r="F72" s="270"/>
      <c r="H72" s="551"/>
    </row>
    <row r="73" spans="1:8" ht="40.5" customHeight="1">
      <c r="A73" s="582">
        <v>4</v>
      </c>
      <c r="B73" s="635" t="s">
        <v>628</v>
      </c>
      <c r="C73" s="636" t="s">
        <v>629</v>
      </c>
      <c r="D73" s="625" t="s">
        <v>630</v>
      </c>
      <c r="E73" s="626"/>
      <c r="F73" s="627"/>
      <c r="H73" s="551"/>
    </row>
    <row r="74" spans="1:11" ht="34.5" customHeight="1">
      <c r="A74" s="572"/>
      <c r="B74" s="633" t="s">
        <v>631</v>
      </c>
      <c r="C74" s="269"/>
      <c r="D74" s="629"/>
      <c r="E74" s="630"/>
      <c r="F74" s="631"/>
      <c r="H74" s="551"/>
      <c r="K74" s="637"/>
    </row>
    <row r="75" spans="1:8" ht="35.25" customHeight="1">
      <c r="A75" s="577"/>
      <c r="B75" s="633" t="s">
        <v>632</v>
      </c>
      <c r="C75" s="634"/>
      <c r="D75" s="638"/>
      <c r="E75" s="270"/>
      <c r="F75" s="517">
        <f>268374+4781.42</f>
        <v>273155.42</v>
      </c>
      <c r="H75" s="551"/>
    </row>
    <row r="76" spans="4:8" ht="18.75">
      <c r="D76" s="639"/>
      <c r="E76" s="28"/>
      <c r="F76" s="1"/>
      <c r="H76" s="551"/>
    </row>
    <row r="77" spans="4:6" ht="18.75">
      <c r="D77" s="639"/>
      <c r="E77" s="1"/>
      <c r="F77" s="1"/>
    </row>
    <row r="78" spans="4:6" ht="18.75">
      <c r="D78" s="639"/>
      <c r="E78" s="1"/>
      <c r="F78" s="1"/>
    </row>
    <row r="79" spans="4:6" ht="18.75">
      <c r="D79" s="639"/>
      <c r="E79" s="1"/>
      <c r="F79" s="1"/>
    </row>
    <row r="80" spans="4:6" ht="18.75">
      <c r="D80" s="639"/>
      <c r="E80" s="1"/>
      <c r="F80" s="1"/>
    </row>
    <row r="81" spans="4:6" ht="18.75">
      <c r="D81" s="639"/>
      <c r="E81" s="1"/>
      <c r="F81" s="1"/>
    </row>
    <row r="82" spans="4:11" ht="18.75">
      <c r="D82" s="639"/>
      <c r="E82" s="28"/>
      <c r="F82" s="1"/>
      <c r="K82" s="637"/>
    </row>
    <row r="83" spans="4:6" ht="18.75">
      <c r="D83" s="639"/>
      <c r="E83" s="28"/>
      <c r="F83" s="1"/>
    </row>
    <row r="84" spans="4:6" ht="18.75">
      <c r="D84" s="639"/>
      <c r="E84" s="28"/>
      <c r="F84" s="1"/>
    </row>
    <row r="85" spans="4:6" ht="18.75">
      <c r="D85" s="639"/>
      <c r="E85" s="28"/>
      <c r="F85" s="1"/>
    </row>
    <row r="86" spans="5:6" ht="18.75">
      <c r="E86" s="640"/>
      <c r="F86" s="1"/>
    </row>
    <row r="87" spans="4:6" ht="18.75">
      <c r="D87" s="641"/>
      <c r="E87" s="1"/>
      <c r="F87" s="28"/>
    </row>
    <row r="88" spans="5:6" ht="18.75">
      <c r="E88" s="1"/>
      <c r="F88" s="28"/>
    </row>
    <row r="89" spans="3:6" ht="18.75">
      <c r="C89" s="4"/>
      <c r="D89" s="4"/>
      <c r="E89" s="640"/>
      <c r="F89" s="28"/>
    </row>
    <row r="90" spans="3:6" ht="18.75">
      <c r="C90" s="4"/>
      <c r="D90" s="4"/>
      <c r="E90" s="640"/>
      <c r="F90" s="28"/>
    </row>
    <row r="91" spans="3:11" ht="18.75">
      <c r="C91" s="4"/>
      <c r="D91" s="4"/>
      <c r="E91" s="640"/>
      <c r="F91" s="28"/>
      <c r="K91" s="637"/>
    </row>
    <row r="92" spans="3:6" ht="18.75">
      <c r="C92" s="4"/>
      <c r="D92" s="4"/>
      <c r="E92" s="138"/>
      <c r="F92" s="642"/>
    </row>
    <row r="93" spans="3:6" ht="18.75">
      <c r="C93" s="4"/>
      <c r="D93" s="4"/>
      <c r="E93" s="138"/>
      <c r="F93" s="642"/>
    </row>
    <row r="94" spans="3:6" ht="18.75">
      <c r="C94" s="4"/>
      <c r="D94" s="4"/>
      <c r="E94" s="28"/>
      <c r="F94" s="28"/>
    </row>
    <row r="95" spans="3:6" ht="18.75">
      <c r="C95" s="4"/>
      <c r="D95" s="4"/>
      <c r="E95" s="138"/>
      <c r="F95" s="642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57421875" style="362" customWidth="1"/>
    <col min="2" max="2" width="23.8515625" style="362" customWidth="1"/>
    <col min="3" max="3" width="47.28125" style="436" customWidth="1"/>
    <col min="4" max="4" width="18.57421875" style="362" customWidth="1"/>
    <col min="5" max="5" width="12.7109375" style="428" customWidth="1"/>
    <col min="6" max="6" width="19.00390625" style="362" customWidth="1"/>
    <col min="7" max="7" width="15.8515625" style="362" customWidth="1"/>
    <col min="8" max="16384" width="9.140625" style="362" customWidth="1"/>
  </cols>
  <sheetData>
    <row r="1" ht="19.5" customHeight="1">
      <c r="C1" s="427" t="s">
        <v>270</v>
      </c>
    </row>
    <row r="2" ht="19.5" customHeight="1">
      <c r="C2" s="429" t="s">
        <v>552</v>
      </c>
    </row>
    <row r="3" ht="15" customHeight="1">
      <c r="C3" s="429" t="s">
        <v>402</v>
      </c>
    </row>
    <row r="4" ht="17.25" customHeight="1">
      <c r="C4" s="154" t="s">
        <v>124</v>
      </c>
    </row>
    <row r="5" ht="14.25" customHeight="1">
      <c r="C5" s="429"/>
    </row>
    <row r="6" ht="14.25" customHeight="1">
      <c r="C6" s="429"/>
    </row>
    <row r="7" spans="1:5" s="433" customFormat="1" ht="19.5" customHeight="1">
      <c r="A7" s="430" t="s">
        <v>494</v>
      </c>
      <c r="B7" s="431"/>
      <c r="C7" s="432"/>
      <c r="D7" s="362"/>
      <c r="E7" s="428"/>
    </row>
    <row r="8" spans="1:5" s="433" customFormat="1" ht="19.5" customHeight="1">
      <c r="A8" s="430" t="s">
        <v>495</v>
      </c>
      <c r="B8" s="431"/>
      <c r="C8" s="432"/>
      <c r="D8" s="362"/>
      <c r="E8" s="428"/>
    </row>
    <row r="9" spans="1:3" ht="18.75" customHeight="1">
      <c r="A9" s="430" t="s">
        <v>496</v>
      </c>
      <c r="B9" s="410"/>
      <c r="C9" s="432"/>
    </row>
    <row r="10" spans="1:2" ht="13.5">
      <c r="A10" s="434" t="s">
        <v>320</v>
      </c>
      <c r="B10" s="435"/>
    </row>
    <row r="11" spans="3:4" ht="11.25" customHeight="1">
      <c r="C11" s="437"/>
      <c r="D11" s="405" t="s">
        <v>330</v>
      </c>
    </row>
    <row r="12" spans="1:4" ht="33" customHeight="1">
      <c r="A12" s="438" t="s">
        <v>331</v>
      </c>
      <c r="B12" s="438" t="s">
        <v>497</v>
      </c>
      <c r="C12" s="319" t="s">
        <v>498</v>
      </c>
      <c r="D12" s="363" t="s">
        <v>499</v>
      </c>
    </row>
    <row r="13" spans="1:5" s="410" customFormat="1" ht="22.5" customHeight="1">
      <c r="A13" s="439" t="s">
        <v>500</v>
      </c>
      <c r="B13" s="440"/>
      <c r="C13" s="441"/>
      <c r="D13" s="367">
        <f>D14+D18</f>
        <v>8911919.379999999</v>
      </c>
      <c r="E13" s="442"/>
    </row>
    <row r="14" spans="1:5" s="410" customFormat="1" ht="24.75" customHeight="1">
      <c r="A14" s="443" t="s">
        <v>501</v>
      </c>
      <c r="B14" s="444"/>
      <c r="C14" s="445"/>
      <c r="D14" s="367">
        <f>D15</f>
        <v>2536226</v>
      </c>
      <c r="E14" s="446"/>
    </row>
    <row r="15" spans="1:5" s="410" customFormat="1" ht="30" customHeight="1">
      <c r="A15" s="447">
        <v>801</v>
      </c>
      <c r="B15" s="448" t="s">
        <v>350</v>
      </c>
      <c r="C15" s="449"/>
      <c r="D15" s="399">
        <f>SUM(D16:D17)</f>
        <v>2536226</v>
      </c>
      <c r="E15" s="450"/>
    </row>
    <row r="16" spans="1:5" s="410" customFormat="1" ht="29.25" customHeight="1">
      <c r="A16" s="451"/>
      <c r="B16" s="452"/>
      <c r="C16" s="317" t="s">
        <v>502</v>
      </c>
      <c r="D16" s="364">
        <f>1982426-264000</f>
        <v>1718426</v>
      </c>
      <c r="E16" s="442"/>
    </row>
    <row r="17" spans="1:5" s="410" customFormat="1" ht="33" customHeight="1">
      <c r="A17" s="451"/>
      <c r="B17" s="452"/>
      <c r="C17" s="317" t="s">
        <v>503</v>
      </c>
      <c r="D17" s="364">
        <v>817800</v>
      </c>
      <c r="E17" s="442"/>
    </row>
    <row r="18" spans="1:5" s="410" customFormat="1" ht="24.75" customHeight="1">
      <c r="A18" s="443" t="s">
        <v>504</v>
      </c>
      <c r="B18" s="444"/>
      <c r="C18" s="445"/>
      <c r="D18" s="400">
        <f>D19+D30+D35+D43+D47+D53</f>
        <v>6375693.38</v>
      </c>
      <c r="E18" s="442"/>
    </row>
    <row r="19" spans="1:5" s="410" customFormat="1" ht="21.75" customHeight="1">
      <c r="A19" s="453">
        <v>851</v>
      </c>
      <c r="B19" s="454" t="s">
        <v>353</v>
      </c>
      <c r="C19" s="455"/>
      <c r="D19" s="406">
        <f>SUM(D20:D29)</f>
        <v>996500</v>
      </c>
      <c r="E19" s="450"/>
    </row>
    <row r="20" spans="1:5" s="410" customFormat="1" ht="38.25" customHeight="1">
      <c r="A20" s="456"/>
      <c r="B20" s="457"/>
      <c r="C20" s="317" t="s">
        <v>505</v>
      </c>
      <c r="D20" s="364">
        <v>95000</v>
      </c>
      <c r="E20" s="442"/>
    </row>
    <row r="21" spans="1:5" s="410" customFormat="1" ht="27.75" customHeight="1">
      <c r="A21" s="458"/>
      <c r="B21" s="459"/>
      <c r="C21" s="317" t="s">
        <v>506</v>
      </c>
      <c r="D21" s="364">
        <v>440000</v>
      </c>
      <c r="E21" s="442"/>
    </row>
    <row r="22" spans="1:5" s="410" customFormat="1" ht="47.25" customHeight="1">
      <c r="A22" s="458"/>
      <c r="B22" s="460"/>
      <c r="C22" s="317" t="s">
        <v>507</v>
      </c>
      <c r="D22" s="364">
        <v>50000</v>
      </c>
      <c r="E22" s="442"/>
    </row>
    <row r="23" spans="1:5" s="410" customFormat="1" ht="27" customHeight="1">
      <c r="A23" s="458"/>
      <c r="B23" s="460"/>
      <c r="C23" s="317" t="s">
        <v>508</v>
      </c>
      <c r="D23" s="364">
        <v>10000</v>
      </c>
      <c r="E23" s="442"/>
    </row>
    <row r="24" spans="1:5" s="410" customFormat="1" ht="42" customHeight="1">
      <c r="A24" s="458"/>
      <c r="B24" s="460"/>
      <c r="C24" s="317" t="s">
        <v>509</v>
      </c>
      <c r="D24" s="364">
        <f>49500+70000</f>
        <v>119500</v>
      </c>
      <c r="E24" s="442"/>
    </row>
    <row r="25" spans="1:5" s="410" customFormat="1" ht="36" customHeight="1">
      <c r="A25" s="458"/>
      <c r="B25" s="460"/>
      <c r="C25" s="317" t="s">
        <v>510</v>
      </c>
      <c r="D25" s="364">
        <v>60000</v>
      </c>
      <c r="E25" s="442"/>
    </row>
    <row r="26" spans="1:5" s="410" customFormat="1" ht="27.75" customHeight="1">
      <c r="A26" s="458"/>
      <c r="B26" s="460"/>
      <c r="C26" s="317" t="s">
        <v>511</v>
      </c>
      <c r="D26" s="364">
        <v>101000</v>
      </c>
      <c r="E26" s="442"/>
    </row>
    <row r="27" spans="1:5" s="410" customFormat="1" ht="31.5" customHeight="1">
      <c r="A27" s="458"/>
      <c r="B27" s="460"/>
      <c r="C27" s="317" t="s">
        <v>512</v>
      </c>
      <c r="D27" s="364">
        <v>90000</v>
      </c>
      <c r="E27" s="442"/>
    </row>
    <row r="28" spans="1:5" s="410" customFormat="1" ht="33.75" customHeight="1">
      <c r="A28" s="458"/>
      <c r="B28" s="460"/>
      <c r="C28" s="317" t="s">
        <v>513</v>
      </c>
      <c r="D28" s="364">
        <v>25000</v>
      </c>
      <c r="E28" s="442"/>
    </row>
    <row r="29" spans="1:5" s="410" customFormat="1" ht="25.5" customHeight="1">
      <c r="A29" s="458"/>
      <c r="B29" s="460"/>
      <c r="C29" s="461" t="s">
        <v>514</v>
      </c>
      <c r="D29" s="270">
        <v>6000</v>
      </c>
      <c r="E29" s="442"/>
    </row>
    <row r="30" spans="1:5" s="410" customFormat="1" ht="21" customHeight="1">
      <c r="A30" s="456">
        <v>852</v>
      </c>
      <c r="B30" s="462" t="s">
        <v>404</v>
      </c>
      <c r="C30" s="455"/>
      <c r="D30" s="368">
        <f>SUM(D31:D34)</f>
        <v>1421000</v>
      </c>
      <c r="E30" s="442"/>
    </row>
    <row r="31" spans="1:5" s="410" customFormat="1" ht="37.5" customHeight="1">
      <c r="A31" s="463"/>
      <c r="B31" s="464"/>
      <c r="C31" s="465" t="s">
        <v>515</v>
      </c>
      <c r="D31" s="693">
        <f>950000+156000</f>
        <v>1106000</v>
      </c>
      <c r="E31" s="442"/>
    </row>
    <row r="32" spans="1:5" s="410" customFormat="1" ht="27" customHeight="1">
      <c r="A32" s="466"/>
      <c r="B32" s="467"/>
      <c r="C32" s="468" t="s">
        <v>516</v>
      </c>
      <c r="D32" s="364">
        <v>200000</v>
      </c>
      <c r="E32" s="442"/>
    </row>
    <row r="33" spans="1:5" s="410" customFormat="1" ht="38.25" customHeight="1">
      <c r="A33" s="466"/>
      <c r="B33" s="467"/>
      <c r="C33" s="468" t="s">
        <v>517</v>
      </c>
      <c r="D33" s="364">
        <v>85000</v>
      </c>
      <c r="E33" s="442"/>
    </row>
    <row r="34" spans="1:5" s="410" customFormat="1" ht="38.25" customHeight="1">
      <c r="A34" s="466"/>
      <c r="B34" s="467"/>
      <c r="C34" s="468" t="s">
        <v>534</v>
      </c>
      <c r="D34" s="364">
        <v>30000</v>
      </c>
      <c r="E34" s="442"/>
    </row>
    <row r="35" spans="1:5" s="410" customFormat="1" ht="39" customHeight="1">
      <c r="A35" s="469">
        <v>853</v>
      </c>
      <c r="B35" s="470" t="s">
        <v>364</v>
      </c>
      <c r="C35" s="471"/>
      <c r="D35" s="399">
        <f>SUM(D36:D42)</f>
        <v>1065193.38</v>
      </c>
      <c r="E35" s="442"/>
    </row>
    <row r="36" spans="1:5" s="410" customFormat="1" ht="30" customHeight="1">
      <c r="A36" s="466"/>
      <c r="B36" s="467"/>
      <c r="C36" s="471" t="s">
        <v>518</v>
      </c>
      <c r="D36" s="364">
        <f>177600-129600</f>
        <v>48000</v>
      </c>
      <c r="E36" s="442"/>
    </row>
    <row r="37" spans="1:5" s="410" customFormat="1" ht="30" customHeight="1">
      <c r="A37" s="466"/>
      <c r="B37" s="467"/>
      <c r="C37" s="472" t="s">
        <v>287</v>
      </c>
      <c r="D37" s="364">
        <v>54000</v>
      </c>
      <c r="E37" s="442"/>
    </row>
    <row r="38" spans="1:5" s="410" customFormat="1" ht="30" customHeight="1">
      <c r="A38" s="466"/>
      <c r="B38" s="467"/>
      <c r="C38" s="472" t="s">
        <v>288</v>
      </c>
      <c r="D38" s="364">
        <v>19800</v>
      </c>
      <c r="E38" s="442"/>
    </row>
    <row r="39" spans="1:5" s="410" customFormat="1" ht="30.75" customHeight="1">
      <c r="A39" s="466"/>
      <c r="B39" s="467"/>
      <c r="C39" s="472" t="s">
        <v>289</v>
      </c>
      <c r="D39" s="364">
        <v>9000</v>
      </c>
      <c r="E39" s="442"/>
    </row>
    <row r="40" spans="1:5" s="410" customFormat="1" ht="46.5" customHeight="1">
      <c r="A40" s="466"/>
      <c r="B40" s="473"/>
      <c r="C40" s="468" t="s">
        <v>290</v>
      </c>
      <c r="D40" s="364">
        <f>78549.77+13861.73</f>
        <v>92411.5</v>
      </c>
      <c r="E40" s="442"/>
    </row>
    <row r="41" spans="1:5" s="410" customFormat="1" ht="37.5" customHeight="1">
      <c r="A41" s="466"/>
      <c r="B41" s="473"/>
      <c r="C41" s="266" t="s">
        <v>529</v>
      </c>
      <c r="D41" s="364">
        <f>35684.6+6297.28</f>
        <v>41981.88</v>
      </c>
      <c r="E41" s="442"/>
    </row>
    <row r="42" spans="1:5" s="410" customFormat="1" ht="39.75" customHeight="1">
      <c r="A42" s="466"/>
      <c r="B42" s="473"/>
      <c r="C42" s="468" t="s">
        <v>466</v>
      </c>
      <c r="D42" s="364">
        <f>680000+120000</f>
        <v>800000</v>
      </c>
      <c r="E42" s="442"/>
    </row>
    <row r="43" spans="1:5" s="410" customFormat="1" ht="38.25" customHeight="1">
      <c r="A43" s="456">
        <v>900</v>
      </c>
      <c r="B43" s="474" t="s">
        <v>291</v>
      </c>
      <c r="C43" s="475"/>
      <c r="D43" s="367">
        <f>SUM(D44:D46)</f>
        <v>708000</v>
      </c>
      <c r="E43" s="442"/>
    </row>
    <row r="44" spans="1:5" s="410" customFormat="1" ht="53.25" customHeight="1">
      <c r="A44" s="476"/>
      <c r="B44" s="477"/>
      <c r="C44" s="478" t="s">
        <v>292</v>
      </c>
      <c r="D44" s="364">
        <f>271000+7000</f>
        <v>278000</v>
      </c>
      <c r="E44" s="442"/>
    </row>
    <row r="45" spans="1:5" s="482" customFormat="1" ht="34.5" customHeight="1">
      <c r="A45" s="479"/>
      <c r="B45" s="480"/>
      <c r="C45" s="481" t="s">
        <v>293</v>
      </c>
      <c r="D45" s="407">
        <v>30000</v>
      </c>
      <c r="E45" s="450"/>
    </row>
    <row r="46" spans="1:5" s="410" customFormat="1" ht="32.25" customHeight="1">
      <c r="A46" s="483"/>
      <c r="B46" s="484"/>
      <c r="C46" s="481" t="s">
        <v>294</v>
      </c>
      <c r="D46" s="364">
        <f>600000-200000</f>
        <v>400000</v>
      </c>
      <c r="E46" s="442"/>
    </row>
    <row r="47" spans="1:5" s="410" customFormat="1" ht="39" customHeight="1">
      <c r="A47" s="456">
        <v>921</v>
      </c>
      <c r="B47" s="485" t="s">
        <v>472</v>
      </c>
      <c r="C47" s="470"/>
      <c r="D47" s="367">
        <f>SUM(D48:D52)</f>
        <v>153000</v>
      </c>
      <c r="E47" s="442"/>
    </row>
    <row r="48" spans="1:5" s="410" customFormat="1" ht="35.25" customHeight="1">
      <c r="A48" s="476"/>
      <c r="B48" s="477"/>
      <c r="C48" s="486" t="s">
        <v>295</v>
      </c>
      <c r="D48" s="364">
        <v>25000</v>
      </c>
      <c r="E48" s="442"/>
    </row>
    <row r="49" spans="1:5" s="410" customFormat="1" ht="35.25" customHeight="1">
      <c r="A49" s="479"/>
      <c r="B49" s="480"/>
      <c r="C49" s="317" t="s">
        <v>296</v>
      </c>
      <c r="D49" s="364">
        <v>25000</v>
      </c>
      <c r="E49" s="442"/>
    </row>
    <row r="50" spans="1:5" s="410" customFormat="1" ht="35.25" customHeight="1">
      <c r="A50" s="479"/>
      <c r="B50" s="480"/>
      <c r="C50" s="465" t="s">
        <v>533</v>
      </c>
      <c r="D50" s="364">
        <v>30000</v>
      </c>
      <c r="E50" s="442"/>
    </row>
    <row r="51" spans="1:5" s="410" customFormat="1" ht="27" customHeight="1">
      <c r="A51" s="479"/>
      <c r="B51" s="480"/>
      <c r="C51" s="487" t="s">
        <v>297</v>
      </c>
      <c r="D51" s="364">
        <v>28000</v>
      </c>
      <c r="E51" s="442"/>
    </row>
    <row r="52" spans="1:5" s="410" customFormat="1" ht="32.25" customHeight="1">
      <c r="A52" s="483"/>
      <c r="B52" s="484"/>
      <c r="C52" s="487" t="s">
        <v>298</v>
      </c>
      <c r="D52" s="364">
        <v>45000</v>
      </c>
      <c r="E52" s="442"/>
    </row>
    <row r="53" spans="1:5" s="410" customFormat="1" ht="34.5" customHeight="1">
      <c r="A53" s="453">
        <v>926</v>
      </c>
      <c r="B53" s="488" t="s">
        <v>299</v>
      </c>
      <c r="C53" s="475"/>
      <c r="D53" s="367">
        <f>SUM(D54:D57)</f>
        <v>2032000</v>
      </c>
      <c r="E53" s="442"/>
    </row>
    <row r="54" spans="1:5" s="491" customFormat="1" ht="61.5" customHeight="1">
      <c r="A54" s="476"/>
      <c r="B54" s="489"/>
      <c r="C54" s="490" t="s">
        <v>300</v>
      </c>
      <c r="D54" s="366">
        <f>150000+1732000</f>
        <v>1882000</v>
      </c>
      <c r="E54" s="442"/>
    </row>
    <row r="55" spans="1:5" s="491" customFormat="1" ht="42.75" customHeight="1">
      <c r="A55" s="479"/>
      <c r="B55" s="851"/>
      <c r="C55" s="852" t="s">
        <v>244</v>
      </c>
      <c r="D55" s="853">
        <v>10000</v>
      </c>
      <c r="E55" s="442"/>
    </row>
    <row r="56" spans="1:5" s="491" customFormat="1" ht="33" customHeight="1">
      <c r="A56" s="492"/>
      <c r="B56" s="269"/>
      <c r="C56" s="493" t="s">
        <v>301</v>
      </c>
      <c r="D56" s="366">
        <v>115000</v>
      </c>
      <c r="E56" s="442"/>
    </row>
    <row r="57" spans="1:5" s="410" customFormat="1" ht="30" customHeight="1">
      <c r="A57" s="492"/>
      <c r="B57" s="269"/>
      <c r="C57" s="494" t="s">
        <v>302</v>
      </c>
      <c r="D57" s="364">
        <v>25000</v>
      </c>
      <c r="E57" s="442"/>
    </row>
    <row r="58" spans="1:5" s="410" customFormat="1" ht="30" customHeight="1">
      <c r="A58" s="495" t="s">
        <v>303</v>
      </c>
      <c r="B58" s="496"/>
      <c r="C58" s="497"/>
      <c r="D58" s="368">
        <f>D59+D69</f>
        <v>7932020</v>
      </c>
      <c r="E58" s="442"/>
    </row>
    <row r="59" spans="1:5" s="410" customFormat="1" ht="27" customHeight="1">
      <c r="A59" s="498" t="s">
        <v>501</v>
      </c>
      <c r="B59" s="499"/>
      <c r="C59" s="500"/>
      <c r="D59" s="408">
        <f>D60+D65+D67</f>
        <v>7105105</v>
      </c>
      <c r="E59" s="442"/>
    </row>
    <row r="60" spans="1:5" s="410" customFormat="1" ht="19.5" customHeight="1">
      <c r="A60" s="447">
        <v>801</v>
      </c>
      <c r="B60" s="448" t="s">
        <v>350</v>
      </c>
      <c r="C60" s="317"/>
      <c r="D60" s="399">
        <f>SUM(D61:D64)</f>
        <v>5347000</v>
      </c>
      <c r="E60" s="442"/>
    </row>
    <row r="61" spans="1:5" s="410" customFormat="1" ht="30" customHeight="1">
      <c r="A61" s="501"/>
      <c r="B61" s="502"/>
      <c r="C61" s="317" t="s">
        <v>304</v>
      </c>
      <c r="D61" s="364">
        <f>2000000-86000</f>
        <v>1914000</v>
      </c>
      <c r="E61" s="442"/>
    </row>
    <row r="62" spans="1:5" s="410" customFormat="1" ht="30" customHeight="1">
      <c r="A62" s="501"/>
      <c r="B62" s="502"/>
      <c r="C62" s="317" t="s">
        <v>305</v>
      </c>
      <c r="D62" s="364">
        <v>350000</v>
      </c>
      <c r="E62" s="442"/>
    </row>
    <row r="63" spans="1:5" s="410" customFormat="1" ht="30" customHeight="1">
      <c r="A63" s="501"/>
      <c r="B63" s="502"/>
      <c r="C63" s="317" t="s">
        <v>306</v>
      </c>
      <c r="D63" s="364">
        <v>48000</v>
      </c>
      <c r="E63" s="442"/>
    </row>
    <row r="64" spans="1:5" s="410" customFormat="1" ht="31.5" customHeight="1">
      <c r="A64" s="501"/>
      <c r="B64" s="502"/>
      <c r="C64" s="317" t="s">
        <v>307</v>
      </c>
      <c r="D64" s="364">
        <f>3185000-150000</f>
        <v>3035000</v>
      </c>
      <c r="E64" s="442"/>
    </row>
    <row r="65" spans="1:5" s="410" customFormat="1" ht="39" customHeight="1">
      <c r="A65" s="456">
        <v>853</v>
      </c>
      <c r="B65" s="503" t="s">
        <v>364</v>
      </c>
      <c r="C65" s="316"/>
      <c r="D65" s="367">
        <f>SUM(D66:D66)</f>
        <v>308105</v>
      </c>
      <c r="E65" s="442"/>
    </row>
    <row r="66" spans="1:5" s="505" customFormat="1" ht="37.5" customHeight="1">
      <c r="A66" s="463"/>
      <c r="B66" s="504"/>
      <c r="C66" s="487" t="s">
        <v>308</v>
      </c>
      <c r="D66" s="407">
        <v>308105</v>
      </c>
      <c r="E66" s="442"/>
    </row>
    <row r="67" spans="1:5" s="410" customFormat="1" ht="31.5" customHeight="1">
      <c r="A67" s="469">
        <v>854</v>
      </c>
      <c r="B67" s="448" t="s">
        <v>489</v>
      </c>
      <c r="C67" s="317"/>
      <c r="D67" s="409">
        <f>D68</f>
        <v>1450000</v>
      </c>
      <c r="E67" s="450"/>
    </row>
    <row r="68" spans="1:5" s="410" customFormat="1" ht="43.5" customHeight="1">
      <c r="A68" s="506"/>
      <c r="B68" s="507"/>
      <c r="C68" s="317" t="s">
        <v>309</v>
      </c>
      <c r="D68" s="364">
        <v>1450000</v>
      </c>
      <c r="E68" s="442"/>
    </row>
    <row r="69" spans="1:5" s="410" customFormat="1" ht="29.25" customHeight="1">
      <c r="A69" s="443" t="s">
        <v>504</v>
      </c>
      <c r="B69" s="508"/>
      <c r="C69" s="509"/>
      <c r="D69" s="369">
        <f>D70+D74+D77</f>
        <v>826915</v>
      </c>
      <c r="E69" s="442"/>
    </row>
    <row r="70" spans="1:5" s="410" customFormat="1" ht="34.5" customHeight="1">
      <c r="A70" s="458">
        <v>630</v>
      </c>
      <c r="B70" s="510" t="s">
        <v>478</v>
      </c>
      <c r="C70" s="511" t="s">
        <v>320</v>
      </c>
      <c r="D70" s="367">
        <f>SUM(D71:D73)</f>
        <v>95000</v>
      </c>
      <c r="E70" s="442"/>
    </row>
    <row r="71" spans="1:5" s="410" customFormat="1" ht="36.75" customHeight="1">
      <c r="A71" s="463"/>
      <c r="B71" s="512"/>
      <c r="C71" s="513" t="s">
        <v>310</v>
      </c>
      <c r="D71" s="407">
        <v>60000</v>
      </c>
      <c r="E71" s="442"/>
    </row>
    <row r="72" spans="1:5" s="410" customFormat="1" ht="30" customHeight="1">
      <c r="A72" s="479"/>
      <c r="B72" s="514"/>
      <c r="C72" s="478" t="s">
        <v>311</v>
      </c>
      <c r="D72" s="364">
        <v>30000</v>
      </c>
      <c r="E72" s="442"/>
    </row>
    <row r="73" spans="1:5" s="410" customFormat="1" ht="30" customHeight="1">
      <c r="A73" s="479"/>
      <c r="B73" s="514"/>
      <c r="C73" s="478" t="s">
        <v>312</v>
      </c>
      <c r="D73" s="364">
        <v>5000</v>
      </c>
      <c r="E73" s="442"/>
    </row>
    <row r="74" spans="1:5" s="410" customFormat="1" ht="26.25" customHeight="1">
      <c r="A74" s="469">
        <v>852</v>
      </c>
      <c r="B74" s="515" t="s">
        <v>404</v>
      </c>
      <c r="C74" s="316"/>
      <c r="D74" s="367">
        <f>SUM(D75:D76)</f>
        <v>207000</v>
      </c>
      <c r="E74" s="442"/>
    </row>
    <row r="75" spans="1:5" s="410" customFormat="1" ht="40.5" customHeight="1">
      <c r="A75" s="269"/>
      <c r="B75" s="269"/>
      <c r="C75" s="316" t="s">
        <v>313</v>
      </c>
      <c r="D75" s="364">
        <v>200000</v>
      </c>
      <c r="E75" s="442"/>
    </row>
    <row r="76" spans="1:5" s="410" customFormat="1" ht="40.5" customHeight="1">
      <c r="A76" s="269"/>
      <c r="B76" s="269"/>
      <c r="C76" s="847" t="s">
        <v>243</v>
      </c>
      <c r="D76" s="517">
        <v>7000</v>
      </c>
      <c r="E76" s="442"/>
    </row>
    <row r="77" spans="1:5" s="410" customFormat="1" ht="38.25" customHeight="1">
      <c r="A77" s="456">
        <v>853</v>
      </c>
      <c r="B77" s="503" t="s">
        <v>364</v>
      </c>
      <c r="C77" s="316"/>
      <c r="D77" s="365">
        <f>SUM(D78)</f>
        <v>524915</v>
      </c>
      <c r="E77" s="446"/>
    </row>
    <row r="78" spans="1:5" s="410" customFormat="1" ht="37.5" customHeight="1">
      <c r="A78" s="516"/>
      <c r="B78" s="516"/>
      <c r="C78" s="316" t="s">
        <v>314</v>
      </c>
      <c r="D78" s="364">
        <v>524915</v>
      </c>
      <c r="E78" s="442"/>
    </row>
    <row r="79" spans="1:6" s="410" customFormat="1" ht="24.75" customHeight="1">
      <c r="A79" s="1010" t="s">
        <v>315</v>
      </c>
      <c r="B79" s="1011"/>
      <c r="C79" s="1012"/>
      <c r="D79" s="370">
        <f>D13+D58</f>
        <v>16843939.38</v>
      </c>
      <c r="E79" s="446"/>
      <c r="F79" s="410">
        <v>16983539.38</v>
      </c>
    </row>
    <row r="80" spans="3:7" s="410" customFormat="1" ht="12.75">
      <c r="C80" s="432"/>
      <c r="E80" s="446"/>
      <c r="F80" s="442">
        <f>D79-F79</f>
        <v>-139600</v>
      </c>
      <c r="G80" s="442"/>
    </row>
    <row r="82" ht="12.75">
      <c r="F82" s="362">
        <v>30000</v>
      </c>
    </row>
    <row r="83" ht="12.75">
      <c r="F83" s="362">
        <v>30000</v>
      </c>
    </row>
    <row r="84" ht="12.75">
      <c r="F84" s="362">
        <v>7000</v>
      </c>
    </row>
    <row r="85" ht="12.75">
      <c r="F85" s="362">
        <v>-129600</v>
      </c>
    </row>
    <row r="86" ht="12.75">
      <c r="F86" s="362">
        <f>SUM(F82:F85)</f>
        <v>-62600</v>
      </c>
    </row>
    <row r="87" ht="12.75">
      <c r="G87" s="428"/>
    </row>
    <row r="88" ht="12.75">
      <c r="G88" s="428"/>
    </row>
  </sheetData>
  <sheetProtection/>
  <mergeCells count="1">
    <mergeCell ref="A79:C79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421875" style="362" customWidth="1"/>
    <col min="2" max="2" width="23.8515625" style="362" customWidth="1"/>
    <col min="3" max="3" width="41.57421875" style="362" customWidth="1"/>
    <col min="4" max="4" width="18.00390625" style="362" customWidth="1"/>
    <col min="5" max="5" width="24.7109375" style="362" customWidth="1"/>
    <col min="6" max="6" width="23.00390625" style="362" customWidth="1"/>
    <col min="7" max="7" width="8.8515625" style="362" customWidth="1"/>
    <col min="8" max="16384" width="9.140625" style="362" customWidth="1"/>
  </cols>
  <sheetData>
    <row r="1" ht="19.5" customHeight="1">
      <c r="C1" s="645" t="s">
        <v>271</v>
      </c>
    </row>
    <row r="2" ht="19.5" customHeight="1">
      <c r="C2" s="429" t="s">
        <v>5</v>
      </c>
    </row>
    <row r="3" ht="17.25" customHeight="1">
      <c r="C3" s="429" t="s">
        <v>402</v>
      </c>
    </row>
    <row r="4" ht="18" customHeight="1">
      <c r="C4" s="154" t="s">
        <v>124</v>
      </c>
    </row>
    <row r="5" ht="16.5" customHeight="1">
      <c r="C5" s="646"/>
    </row>
    <row r="6" ht="18" customHeight="1">
      <c r="C6" s="646"/>
    </row>
    <row r="7" spans="1:4" s="433" customFormat="1" ht="17.25" customHeight="1">
      <c r="A7" s="430" t="s">
        <v>634</v>
      </c>
      <c r="B7" s="430"/>
      <c r="C7" s="647"/>
      <c r="D7" s="362"/>
    </row>
    <row r="8" spans="1:4" s="433" customFormat="1" ht="17.25" customHeight="1">
      <c r="A8" s="430" t="s">
        <v>635</v>
      </c>
      <c r="B8" s="430"/>
      <c r="C8" s="647"/>
      <c r="D8" s="362"/>
    </row>
    <row r="9" spans="1:2" ht="15.75">
      <c r="A9" s="648" t="s">
        <v>636</v>
      </c>
      <c r="B9" s="435"/>
    </row>
    <row r="10" spans="3:4" ht="11.25" customHeight="1">
      <c r="C10" s="649"/>
      <c r="D10" s="650" t="s">
        <v>330</v>
      </c>
    </row>
    <row r="11" spans="1:4" ht="29.25" customHeight="1">
      <c r="A11" s="438" t="s">
        <v>331</v>
      </c>
      <c r="B11" s="438" t="s">
        <v>497</v>
      </c>
      <c r="C11" s="438" t="s">
        <v>498</v>
      </c>
      <c r="D11" s="363" t="s">
        <v>637</v>
      </c>
    </row>
    <row r="12" spans="1:4" ht="24" customHeight="1">
      <c r="A12" s="495" t="s">
        <v>500</v>
      </c>
      <c r="B12" s="651"/>
      <c r="C12" s="652"/>
      <c r="D12" s="653">
        <f>D13+D17+D20</f>
        <v>16727908.299999999</v>
      </c>
    </row>
    <row r="13" spans="1:4" s="657" customFormat="1" ht="24" customHeight="1">
      <c r="A13" s="498" t="s">
        <v>638</v>
      </c>
      <c r="B13" s="654"/>
      <c r="C13" s="655"/>
      <c r="D13" s="656">
        <f>D14</f>
        <v>4990000</v>
      </c>
    </row>
    <row r="14" spans="1:5" ht="31.5" customHeight="1">
      <c r="A14" s="658">
        <v>921</v>
      </c>
      <c r="B14" s="474" t="s">
        <v>472</v>
      </c>
      <c r="C14" s="659"/>
      <c r="D14" s="653">
        <f>D15+D16</f>
        <v>4990000</v>
      </c>
      <c r="E14" s="660"/>
    </row>
    <row r="15" spans="1:5" ht="27.75" customHeight="1">
      <c r="A15" s="661"/>
      <c r="B15" s="662"/>
      <c r="C15" s="663" t="s">
        <v>639</v>
      </c>
      <c r="D15" s="693">
        <f>3472000+158000</f>
        <v>3630000</v>
      </c>
      <c r="E15" s="660"/>
    </row>
    <row r="16" spans="1:5" ht="27.75" customHeight="1">
      <c r="A16" s="664"/>
      <c r="B16" s="665"/>
      <c r="C16" s="663" t="s">
        <v>640</v>
      </c>
      <c r="D16" s="517">
        <f>1240000+100000+20000</f>
        <v>1360000</v>
      </c>
      <c r="E16" s="660"/>
    </row>
    <row r="17" spans="1:5" ht="26.25" customHeight="1">
      <c r="A17" s="498" t="s">
        <v>641</v>
      </c>
      <c r="B17" s="666"/>
      <c r="C17" s="663"/>
      <c r="D17" s="656">
        <f>D18</f>
        <v>11001612.7</v>
      </c>
      <c r="E17" s="660"/>
    </row>
    <row r="18" spans="1:5" ht="26.25" customHeight="1">
      <c r="A18" s="349">
        <v>600</v>
      </c>
      <c r="B18" s="515" t="s">
        <v>336</v>
      </c>
      <c r="C18" s="663"/>
      <c r="D18" s="653">
        <f>D19</f>
        <v>11001612.7</v>
      </c>
      <c r="E18" s="660"/>
    </row>
    <row r="19" spans="1:5" ht="29.25" customHeight="1">
      <c r="A19" s="667"/>
      <c r="B19" s="668"/>
      <c r="C19" s="478" t="s">
        <v>642</v>
      </c>
      <c r="D19" s="693">
        <f>11000184.75+1427.95</f>
        <v>11001612.7</v>
      </c>
      <c r="E19" s="660"/>
    </row>
    <row r="20" spans="1:5" ht="28.5" customHeight="1">
      <c r="A20" s="443" t="s">
        <v>504</v>
      </c>
      <c r="B20" s="669"/>
      <c r="C20" s="659"/>
      <c r="D20" s="656">
        <f>D21+D23+D25+D27+D29+D31</f>
        <v>736295.6</v>
      </c>
      <c r="E20" s="660"/>
    </row>
    <row r="21" spans="1:5" ht="28.5" customHeight="1">
      <c r="A21" s="670">
        <v>750</v>
      </c>
      <c r="B21" s="671" t="s">
        <v>343</v>
      </c>
      <c r="C21" s="316"/>
      <c r="D21" s="653">
        <f>SUM(D22)</f>
        <v>21887.5</v>
      </c>
      <c r="E21" s="660"/>
    </row>
    <row r="22" spans="1:5" ht="42.75" customHeight="1">
      <c r="A22" s="672"/>
      <c r="B22" s="475"/>
      <c r="C22" s="316" t="s">
        <v>643</v>
      </c>
      <c r="D22" s="673">
        <f>32287.5-10400</f>
        <v>21887.5</v>
      </c>
      <c r="E22" s="660"/>
    </row>
    <row r="23" spans="1:5" ht="31.5" customHeight="1">
      <c r="A23" s="674">
        <v>801</v>
      </c>
      <c r="B23" s="462" t="s">
        <v>644</v>
      </c>
      <c r="C23" s="487"/>
      <c r="D23" s="653">
        <f>D24</f>
        <v>30000</v>
      </c>
      <c r="E23" s="660"/>
    </row>
    <row r="24" spans="1:5" ht="33" customHeight="1">
      <c r="A24" s="674"/>
      <c r="B24" s="462"/>
      <c r="C24" s="487" t="s">
        <v>645</v>
      </c>
      <c r="D24" s="673">
        <v>30000</v>
      </c>
      <c r="E24" s="660"/>
    </row>
    <row r="25" spans="1:5" ht="28.5" customHeight="1">
      <c r="A25" s="456">
        <v>851</v>
      </c>
      <c r="B25" s="462" t="s">
        <v>353</v>
      </c>
      <c r="C25" s="659"/>
      <c r="D25" s="675">
        <f>SUM(D26:D26)</f>
        <v>7500</v>
      </c>
      <c r="E25" s="660"/>
    </row>
    <row r="26" spans="1:5" ht="57" customHeight="1">
      <c r="A26" s="676"/>
      <c r="B26" s="677"/>
      <c r="C26" s="478" t="s">
        <v>646</v>
      </c>
      <c r="D26" s="673">
        <v>7500</v>
      </c>
      <c r="E26" s="660"/>
    </row>
    <row r="27" spans="1:5" ht="34.5" customHeight="1">
      <c r="A27" s="349">
        <v>853</v>
      </c>
      <c r="B27" s="671" t="s">
        <v>364</v>
      </c>
      <c r="C27" s="478"/>
      <c r="D27" s="675">
        <f>D28</f>
        <v>90522</v>
      </c>
      <c r="E27" s="660"/>
    </row>
    <row r="28" spans="1:5" ht="31.5" customHeight="1">
      <c r="A28" s="498"/>
      <c r="B28" s="467"/>
      <c r="C28" s="513" t="s">
        <v>612</v>
      </c>
      <c r="D28" s="673">
        <f>76943.7+13578.3</f>
        <v>90522</v>
      </c>
      <c r="E28" s="660"/>
    </row>
    <row r="29" spans="1:5" ht="30" customHeight="1">
      <c r="A29" s="469">
        <v>900</v>
      </c>
      <c r="B29" s="470" t="s">
        <v>0</v>
      </c>
      <c r="C29" s="678"/>
      <c r="D29" s="365">
        <f>D30</f>
        <v>12000</v>
      </c>
      <c r="E29" s="660"/>
    </row>
    <row r="30" spans="1:9" ht="30" customHeight="1">
      <c r="A30" s="661"/>
      <c r="B30" s="679"/>
      <c r="C30" s="680" t="s">
        <v>293</v>
      </c>
      <c r="D30" s="366">
        <v>12000</v>
      </c>
      <c r="E30" s="681"/>
      <c r="F30" s="681"/>
      <c r="G30" s="681"/>
      <c r="H30" s="681"/>
      <c r="I30" s="681"/>
    </row>
    <row r="31" spans="1:9" ht="30.75" customHeight="1">
      <c r="A31" s="349">
        <v>921</v>
      </c>
      <c r="B31" s="470" t="s">
        <v>472</v>
      </c>
      <c r="C31" s="481"/>
      <c r="D31" s="367">
        <f>SUM(D32)</f>
        <v>574386.1</v>
      </c>
      <c r="E31" s="681"/>
      <c r="F31" s="681"/>
      <c r="G31" s="681"/>
      <c r="H31" s="681"/>
      <c r="I31" s="681"/>
    </row>
    <row r="32" spans="1:9" ht="64.5" customHeight="1">
      <c r="A32" s="661"/>
      <c r="B32" s="475"/>
      <c r="C32" s="481" t="s">
        <v>1</v>
      </c>
      <c r="D32" s="366">
        <v>574386.1</v>
      </c>
      <c r="E32" s="681"/>
      <c r="F32" s="681"/>
      <c r="G32" s="681"/>
      <c r="H32" s="681"/>
      <c r="I32" s="681"/>
    </row>
    <row r="33" spans="1:9" ht="30.75" customHeight="1">
      <c r="A33" s="495" t="s">
        <v>303</v>
      </c>
      <c r="B33" s="682"/>
      <c r="C33" s="683"/>
      <c r="D33" s="368">
        <f>D34+D37</f>
        <v>3743348</v>
      </c>
      <c r="E33" s="681"/>
      <c r="F33" s="681"/>
      <c r="G33" s="681"/>
      <c r="H33" s="681"/>
      <c r="I33" s="681"/>
    </row>
    <row r="34" spans="1:9" ht="33" customHeight="1">
      <c r="A34" s="676" t="s">
        <v>638</v>
      </c>
      <c r="B34" s="684"/>
      <c r="C34" s="685"/>
      <c r="D34" s="686">
        <f>D35</f>
        <v>2610903</v>
      </c>
      <c r="E34" s="681"/>
      <c r="F34" s="681"/>
      <c r="G34" s="681"/>
      <c r="H34" s="681"/>
      <c r="I34" s="681"/>
    </row>
    <row r="35" spans="1:4" ht="33" customHeight="1">
      <c r="A35" s="349">
        <v>921</v>
      </c>
      <c r="B35" s="474" t="s">
        <v>472</v>
      </c>
      <c r="C35" s="497"/>
      <c r="D35" s="687">
        <f>D36</f>
        <v>2610903</v>
      </c>
    </row>
    <row r="36" spans="1:4" ht="24.75" customHeight="1">
      <c r="A36" s="688"/>
      <c r="B36" s="475"/>
      <c r="C36" s="478" t="s">
        <v>2</v>
      </c>
      <c r="D36" s="693">
        <f>2574000+16903+20000</f>
        <v>2610903</v>
      </c>
    </row>
    <row r="37" spans="1:4" ht="27.75" customHeight="1">
      <c r="A37" s="443" t="s">
        <v>504</v>
      </c>
      <c r="B37" s="689"/>
      <c r="C37" s="478"/>
      <c r="D37" s="369">
        <f>D38+D40</f>
        <v>1132445</v>
      </c>
    </row>
    <row r="38" spans="1:4" ht="27" customHeight="1">
      <c r="A38" s="679">
        <v>852</v>
      </c>
      <c r="B38" s="690" t="s">
        <v>404</v>
      </c>
      <c r="C38" s="316"/>
      <c r="D38" s="367">
        <f>D39</f>
        <v>52445</v>
      </c>
    </row>
    <row r="39" spans="1:4" ht="42.75" customHeight="1">
      <c r="A39" s="662"/>
      <c r="B39" s="691"/>
      <c r="C39" s="487" t="s">
        <v>3</v>
      </c>
      <c r="D39" s="364">
        <f>608600-556155</f>
        <v>52445</v>
      </c>
    </row>
    <row r="40" spans="1:4" ht="36" customHeight="1">
      <c r="A40" s="349">
        <v>853</v>
      </c>
      <c r="B40" s="671" t="s">
        <v>364</v>
      </c>
      <c r="C40" s="487"/>
      <c r="D40" s="367">
        <f>D41</f>
        <v>1080000</v>
      </c>
    </row>
    <row r="41" spans="1:4" ht="30.75" customHeight="1">
      <c r="A41" s="670"/>
      <c r="B41" s="671"/>
      <c r="C41" s="487" t="s">
        <v>4</v>
      </c>
      <c r="D41" s="364">
        <v>1080000</v>
      </c>
    </row>
    <row r="42" spans="1:4" ht="25.5" customHeight="1">
      <c r="A42" s="1013" t="s">
        <v>315</v>
      </c>
      <c r="B42" s="1014"/>
      <c r="C42" s="1012"/>
      <c r="D42" s="370">
        <f>D12+D33</f>
        <v>20471256.299999997</v>
      </c>
    </row>
    <row r="43" spans="4:6" ht="15.75">
      <c r="D43" s="692"/>
      <c r="F43" s="428"/>
    </row>
    <row r="44" ht="15.75">
      <c r="D44" s="692"/>
    </row>
    <row r="45" ht="12.75">
      <c r="D45" s="428"/>
    </row>
    <row r="46" ht="12.75">
      <c r="D46" s="428"/>
    </row>
    <row r="47" ht="12.75">
      <c r="D47" s="428"/>
    </row>
    <row r="48" ht="12.75">
      <c r="D48" s="428"/>
    </row>
    <row r="49" ht="12.75">
      <c r="D49" s="428"/>
    </row>
    <row r="50" ht="12.75">
      <c r="D50" s="428"/>
    </row>
    <row r="51" ht="12.75">
      <c r="D51" s="428"/>
    </row>
    <row r="52" ht="12.75">
      <c r="D52" s="428"/>
    </row>
  </sheetData>
  <sheetProtection/>
  <mergeCells count="1"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6"/>
  <sheetViews>
    <sheetView zoomScalePageLayoutView="0" workbookViewId="0" topLeftCell="C1">
      <selection activeCell="I15" sqref="I15"/>
    </sheetView>
  </sheetViews>
  <sheetFormatPr defaultColWidth="9.140625" defaultRowHeight="12.75"/>
  <cols>
    <col min="1" max="1" width="3.57421875" style="420" customWidth="1"/>
    <col min="2" max="2" width="38.8515625" style="420" customWidth="1"/>
    <col min="3" max="3" width="19.8515625" style="420" customWidth="1"/>
    <col min="4" max="4" width="19.57421875" style="420" customWidth="1"/>
    <col min="5" max="5" width="19.8515625" style="420" customWidth="1"/>
    <col min="6" max="6" width="16.140625" style="420" customWidth="1"/>
    <col min="7" max="7" width="21.421875" style="702" customWidth="1"/>
    <col min="8" max="8" width="21.8515625" style="420" customWidth="1"/>
    <col min="9" max="9" width="20.57421875" style="703" customWidth="1"/>
    <col min="10" max="10" width="14.57421875" style="420" customWidth="1"/>
    <col min="11" max="11" width="9.140625" style="420" customWidth="1"/>
    <col min="12" max="12" width="18.00390625" style="420" customWidth="1"/>
    <col min="13" max="13" width="21.28125" style="420" customWidth="1"/>
    <col min="14" max="16" width="9.140625" style="420" customWidth="1"/>
    <col min="17" max="17" width="20.57421875" style="420" customWidth="1"/>
    <col min="18" max="16384" width="9.140625" style="420" customWidth="1"/>
  </cols>
  <sheetData>
    <row r="1" spans="3:5" ht="20.25">
      <c r="C1" s="704" t="s">
        <v>125</v>
      </c>
      <c r="D1" s="704"/>
      <c r="E1" s="705"/>
    </row>
    <row r="2" spans="3:5" ht="18.75">
      <c r="C2" s="705" t="s">
        <v>5</v>
      </c>
      <c r="D2" s="705"/>
      <c r="E2" s="705"/>
    </row>
    <row r="3" spans="3:5" ht="18.75">
      <c r="C3" s="705" t="s">
        <v>402</v>
      </c>
      <c r="D3" s="705"/>
      <c r="E3" s="705"/>
    </row>
    <row r="4" spans="3:5" ht="18.75">
      <c r="C4" s="154" t="s">
        <v>67</v>
      </c>
      <c r="D4" s="154"/>
      <c r="E4" s="705"/>
    </row>
    <row r="5" spans="3:5" ht="18.75">
      <c r="C5" s="429"/>
      <c r="D5" s="429"/>
      <c r="E5" s="705"/>
    </row>
    <row r="6" spans="2:11" ht="15.75">
      <c r="B6" s="706"/>
      <c r="C6" s="706"/>
      <c r="D6" s="706"/>
      <c r="E6" s="706"/>
      <c r="F6" s="707"/>
      <c r="G6" s="708"/>
      <c r="H6" s="706"/>
      <c r="I6" s="707"/>
      <c r="J6" s="706"/>
      <c r="K6" s="706"/>
    </row>
    <row r="7" spans="2:11" ht="18.75">
      <c r="B7" s="709" t="s">
        <v>53</v>
      </c>
      <c r="C7" s="706"/>
      <c r="D7" s="706"/>
      <c r="E7" s="706"/>
      <c r="F7" s="707"/>
      <c r="G7" s="708"/>
      <c r="H7" s="706"/>
      <c r="I7" s="707"/>
      <c r="J7" s="706"/>
      <c r="K7" s="706"/>
    </row>
    <row r="8" spans="2:11" ht="18.75">
      <c r="B8" s="709" t="s">
        <v>54</v>
      </c>
      <c r="C8" s="706"/>
      <c r="D8" s="706"/>
      <c r="E8" s="706"/>
      <c r="F8" s="707"/>
      <c r="G8" s="708"/>
      <c r="H8" s="706"/>
      <c r="I8" s="707"/>
      <c r="J8" s="706"/>
      <c r="K8" s="706"/>
    </row>
    <row r="9" spans="2:11" ht="18.75">
      <c r="B9" s="709"/>
      <c r="C9" s="706"/>
      <c r="D9" s="706"/>
      <c r="E9" s="706"/>
      <c r="F9" s="707"/>
      <c r="G9" s="708"/>
      <c r="H9" s="706"/>
      <c r="I9" s="707"/>
      <c r="J9" s="706"/>
      <c r="K9" s="706"/>
    </row>
    <row r="10" spans="2:11" s="710" customFormat="1" ht="24" customHeight="1">
      <c r="B10" s="711"/>
      <c r="C10" s="712" t="s">
        <v>55</v>
      </c>
      <c r="D10" s="760"/>
      <c r="E10" s="713"/>
      <c r="F10" s="714"/>
      <c r="G10" s="715"/>
      <c r="H10" s="716"/>
      <c r="I10" s="714"/>
      <c r="J10" s="716"/>
      <c r="K10" s="716"/>
    </row>
    <row r="11" spans="2:11" s="710" customFormat="1" ht="28.5" customHeight="1">
      <c r="B11" s="717"/>
      <c r="C11" s="718" t="s">
        <v>56</v>
      </c>
      <c r="D11" s="718"/>
      <c r="E11" s="719" t="s">
        <v>57</v>
      </c>
      <c r="F11" s="714"/>
      <c r="G11" s="720"/>
      <c r="H11" s="716"/>
      <c r="I11" s="714"/>
      <c r="J11" s="716"/>
      <c r="K11" s="716"/>
    </row>
    <row r="12" spans="2:11" ht="72.75" customHeight="1">
      <c r="B12" s="721" t="s">
        <v>58</v>
      </c>
      <c r="C12" s="722" t="s">
        <v>59</v>
      </c>
      <c r="D12" s="761" t="s">
        <v>69</v>
      </c>
      <c r="E12" s="723" t="s">
        <v>60</v>
      </c>
      <c r="F12" s="724"/>
      <c r="G12" s="725"/>
      <c r="H12" s="726"/>
      <c r="I12" s="727"/>
      <c r="J12" s="728"/>
      <c r="K12" s="706"/>
    </row>
    <row r="13" spans="2:11" s="729" customFormat="1" ht="36.75" customHeight="1">
      <c r="B13" s="730" t="s">
        <v>61</v>
      </c>
      <c r="C13" s="731">
        <f>C14</f>
        <v>16468179</v>
      </c>
      <c r="D13" s="731">
        <f>D14</f>
        <v>10700000</v>
      </c>
      <c r="E13" s="731">
        <f>E14</f>
        <v>13440424.92</v>
      </c>
      <c r="F13" s="732"/>
      <c r="G13" s="733"/>
      <c r="H13" s="726">
        <f>C13+D13</f>
        <v>27168179</v>
      </c>
      <c r="I13" s="727"/>
      <c r="J13" s="734"/>
      <c r="K13" s="735"/>
    </row>
    <row r="14" spans="2:11" s="729" customFormat="1" ht="57" customHeight="1">
      <c r="B14" s="736" t="s">
        <v>62</v>
      </c>
      <c r="C14" s="737">
        <f>SUM(C15:C20)</f>
        <v>16468179</v>
      </c>
      <c r="D14" s="737">
        <f>SUM(D15:D20)</f>
        <v>10700000</v>
      </c>
      <c r="E14" s="737">
        <f>SUM(E15:E20)</f>
        <v>13440424.92</v>
      </c>
      <c r="F14" s="738"/>
      <c r="G14" s="739"/>
      <c r="H14" s="739">
        <f>E13</f>
        <v>13440424.92</v>
      </c>
      <c r="I14" s="740"/>
      <c r="J14" s="740"/>
      <c r="K14" s="735"/>
    </row>
    <row r="15" spans="2:11" s="729" customFormat="1" ht="33" customHeight="1">
      <c r="B15" s="741" t="s">
        <v>68</v>
      </c>
      <c r="C15" s="737"/>
      <c r="D15" s="850">
        <v>10700000</v>
      </c>
      <c r="E15" s="759"/>
      <c r="F15" s="738"/>
      <c r="G15" s="739"/>
      <c r="H15" s="739">
        <f>H13-H14</f>
        <v>13727754.08</v>
      </c>
      <c r="I15" s="740">
        <v>16367754.08</v>
      </c>
      <c r="J15" s="740"/>
      <c r="K15" s="735"/>
    </row>
    <row r="16" spans="2:11" ht="42.75" customHeight="1">
      <c r="B16" s="741" t="s">
        <v>63</v>
      </c>
      <c r="C16" s="742"/>
      <c r="D16" s="749"/>
      <c r="E16" s="743">
        <v>6037948.92</v>
      </c>
      <c r="F16" s="744"/>
      <c r="G16" s="739"/>
      <c r="H16" s="745"/>
      <c r="I16" s="746">
        <f>H15-I15</f>
        <v>-2640000</v>
      </c>
      <c r="J16" s="747"/>
      <c r="K16" s="716"/>
    </row>
    <row r="17" spans="2:11" ht="33" customHeight="1">
      <c r="B17" s="748" t="s">
        <v>64</v>
      </c>
      <c r="C17" s="850">
        <f>10000000+4400000</f>
        <v>14400000</v>
      </c>
      <c r="D17" s="749"/>
      <c r="E17" s="743"/>
      <c r="F17" s="744"/>
      <c r="G17" s="739"/>
      <c r="H17" s="745"/>
      <c r="I17" s="746"/>
      <c r="J17" s="747"/>
      <c r="K17" s="716"/>
    </row>
    <row r="18" spans="2:11" ht="39" customHeight="1">
      <c r="B18" s="750" t="s">
        <v>467</v>
      </c>
      <c r="C18" s="749">
        <f>2068180-1</f>
        <v>2068179</v>
      </c>
      <c r="D18" s="749"/>
      <c r="E18" s="743"/>
      <c r="F18" s="744"/>
      <c r="G18" s="751"/>
      <c r="H18" s="745"/>
      <c r="I18" s="746"/>
      <c r="J18" s="747"/>
      <c r="K18" s="716"/>
    </row>
    <row r="19" spans="2:11" ht="51.75" customHeight="1">
      <c r="B19" s="741" t="s">
        <v>65</v>
      </c>
      <c r="C19" s="749"/>
      <c r="D19" s="749"/>
      <c r="E19" s="743">
        <v>90000</v>
      </c>
      <c r="F19" s="744"/>
      <c r="G19" s="739"/>
      <c r="H19" s="745"/>
      <c r="I19" s="746"/>
      <c r="J19" s="747"/>
      <c r="K19" s="716"/>
    </row>
    <row r="20" spans="2:11" ht="31.5" customHeight="1">
      <c r="B20" s="748" t="s">
        <v>66</v>
      </c>
      <c r="C20" s="749"/>
      <c r="D20" s="749"/>
      <c r="E20" s="850">
        <f>75900+7236576</f>
        <v>7312476</v>
      </c>
      <c r="F20" s="744"/>
      <c r="G20" s="739"/>
      <c r="H20" s="747"/>
      <c r="I20" s="714"/>
      <c r="J20" s="716"/>
      <c r="K20" s="716"/>
    </row>
    <row r="21" spans="2:11" ht="26.25" customHeight="1">
      <c r="B21" s="752"/>
      <c r="C21" s="753"/>
      <c r="D21" s="753"/>
      <c r="E21" s="754"/>
      <c r="F21" s="746"/>
      <c r="G21" s="715"/>
      <c r="H21" s="716"/>
      <c r="I21" s="714"/>
      <c r="J21" s="747"/>
      <c r="K21" s="716"/>
    </row>
    <row r="22" spans="5:20" ht="15.75">
      <c r="E22" s="755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</row>
    <row r="23" spans="10:20" ht="15.75"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</row>
    <row r="24" spans="10:20" ht="15.75"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</row>
    <row r="25" spans="3:20" ht="15.75">
      <c r="C25" s="757"/>
      <c r="D25" s="757"/>
      <c r="E25" s="757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</row>
    <row r="26" spans="3:20" ht="15.75">
      <c r="C26" s="757"/>
      <c r="D26" s="757"/>
      <c r="E26" s="757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</row>
    <row r="27" spans="3:20" ht="15.75">
      <c r="C27" s="757"/>
      <c r="D27" s="757"/>
      <c r="E27" s="757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6"/>
    </row>
    <row r="28" spans="3:20" ht="15.75">
      <c r="C28" s="757"/>
      <c r="D28" s="757"/>
      <c r="E28" s="757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</row>
    <row r="29" spans="3:20" ht="15.75">
      <c r="C29" s="757"/>
      <c r="D29" s="757"/>
      <c r="E29" s="757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</row>
    <row r="30" spans="3:20" ht="15.75">
      <c r="C30" s="757"/>
      <c r="D30" s="757"/>
      <c r="E30" s="757"/>
      <c r="J30" s="756"/>
      <c r="K30" s="756"/>
      <c r="L30" s="756"/>
      <c r="M30" s="756"/>
      <c r="N30" s="756"/>
      <c r="O30" s="756"/>
      <c r="P30" s="756"/>
      <c r="Q30" s="756"/>
      <c r="R30" s="756"/>
      <c r="S30" s="756"/>
      <c r="T30" s="756"/>
    </row>
    <row r="31" spans="3:20" ht="15.75">
      <c r="C31" s="758"/>
      <c r="D31" s="758"/>
      <c r="E31" s="757"/>
      <c r="J31" s="756"/>
      <c r="K31" s="756"/>
      <c r="L31" s="756"/>
      <c r="M31" s="756"/>
      <c r="N31" s="756"/>
      <c r="O31" s="756"/>
      <c r="P31" s="756"/>
      <c r="Q31" s="756"/>
      <c r="R31" s="756"/>
      <c r="S31" s="756"/>
      <c r="T31" s="756"/>
    </row>
    <row r="32" spans="3:20" ht="15.75">
      <c r="C32" s="757"/>
      <c r="D32" s="757"/>
      <c r="E32" s="757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</row>
    <row r="33" spans="3:20" ht="15.75">
      <c r="C33" s="757"/>
      <c r="D33" s="757"/>
      <c r="E33" s="757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</row>
    <row r="34" spans="3:20" ht="15.75">
      <c r="C34" s="757"/>
      <c r="D34" s="757"/>
      <c r="E34" s="757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</row>
    <row r="35" spans="3:20" ht="15.75">
      <c r="C35" s="757"/>
      <c r="D35" s="757"/>
      <c r="E35" s="757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6"/>
    </row>
    <row r="36" spans="3:20" ht="15.75">
      <c r="C36" s="758"/>
      <c r="D36" s="758"/>
      <c r="E36" s="757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</row>
    <row r="37" spans="3:20" ht="15.75">
      <c r="C37" s="757"/>
      <c r="D37" s="757"/>
      <c r="E37" s="757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</row>
    <row r="38" spans="3:5" ht="15.75">
      <c r="C38" s="757"/>
      <c r="D38" s="757"/>
      <c r="E38" s="757"/>
    </row>
    <row r="39" spans="3:5" ht="15.75">
      <c r="C39" s="757"/>
      <c r="D39" s="757"/>
      <c r="E39" s="757"/>
    </row>
    <row r="40" spans="3:5" ht="15.75">
      <c r="C40" s="757"/>
      <c r="D40" s="757"/>
      <c r="E40" s="757"/>
    </row>
    <row r="41" spans="3:5" ht="15.75">
      <c r="C41" s="757"/>
      <c r="D41" s="757"/>
      <c r="E41" s="757"/>
    </row>
    <row r="42" spans="3:5" ht="15.75">
      <c r="C42" s="758"/>
      <c r="D42" s="758"/>
      <c r="E42" s="757"/>
    </row>
    <row r="43" spans="3:5" ht="15.75">
      <c r="C43" s="757"/>
      <c r="D43" s="757"/>
      <c r="E43" s="757"/>
    </row>
    <row r="44" spans="3:5" ht="15.75">
      <c r="C44" s="757"/>
      <c r="D44" s="757"/>
      <c r="E44" s="757"/>
    </row>
    <row r="45" spans="3:5" ht="15.75">
      <c r="C45" s="757"/>
      <c r="D45" s="757"/>
      <c r="E45" s="757"/>
    </row>
    <row r="46" spans="3:5" ht="15.75">
      <c r="C46" s="757"/>
      <c r="D46" s="757"/>
      <c r="E46" s="757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24"/>
  <sheetViews>
    <sheetView zoomScalePageLayoutView="0" workbookViewId="0" topLeftCell="A1">
      <selection activeCell="H32" sqref="H31:H32"/>
    </sheetView>
  </sheetViews>
  <sheetFormatPr defaultColWidth="9.140625" defaultRowHeight="12.75"/>
  <cols>
    <col min="1" max="1" width="4.28125" style="119" customWidth="1"/>
    <col min="2" max="2" width="31.28125" style="119" customWidth="1"/>
    <col min="3" max="3" width="7.28125" style="119" customWidth="1"/>
    <col min="4" max="4" width="12.28125" style="119" customWidth="1"/>
    <col min="5" max="5" width="14.57421875" style="119" customWidth="1"/>
    <col min="6" max="6" width="14.421875" style="119" customWidth="1"/>
    <col min="7" max="7" width="11.140625" style="119" customWidth="1"/>
    <col min="8" max="8" width="15.7109375" style="119" customWidth="1"/>
    <col min="9" max="9" width="8.57421875" style="119" customWidth="1"/>
    <col min="10" max="10" width="12.140625" style="119" customWidth="1"/>
    <col min="11" max="11" width="12.8515625" style="119" customWidth="1"/>
    <col min="12" max="12" width="14.57421875" style="119" customWidth="1"/>
    <col min="13" max="16384" width="9.140625" style="119" customWidth="1"/>
  </cols>
  <sheetData>
    <row r="2" ht="20.25">
      <c r="H2" s="645" t="s">
        <v>261</v>
      </c>
    </row>
    <row r="3" ht="18.75">
      <c r="H3" s="429" t="s">
        <v>5</v>
      </c>
    </row>
    <row r="4" ht="18.75">
      <c r="H4" s="429" t="s">
        <v>402</v>
      </c>
    </row>
    <row r="5" spans="1:24" ht="21" customHeight="1">
      <c r="A5" s="144"/>
      <c r="B5" s="26"/>
      <c r="C5" s="2"/>
      <c r="D5" s="2"/>
      <c r="E5" s="2"/>
      <c r="F5" s="2"/>
      <c r="G5" s="264"/>
      <c r="H5" s="154" t="s">
        <v>123</v>
      </c>
      <c r="I5" s="854"/>
      <c r="J5" s="855"/>
      <c r="K5" s="36"/>
      <c r="L5" s="36"/>
      <c r="M5" s="36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144"/>
      <c r="B6" s="26"/>
      <c r="C6" s="2"/>
      <c r="D6" s="2"/>
      <c r="E6" s="2"/>
      <c r="F6" s="2"/>
      <c r="G6" s="154"/>
      <c r="H6" s="154"/>
      <c r="I6" s="854"/>
      <c r="J6" s="855"/>
      <c r="K6" s="36"/>
      <c r="L6" s="36"/>
      <c r="M6" s="36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>
      <c r="A7" s="144"/>
      <c r="B7" s="26"/>
      <c r="C7" s="2"/>
      <c r="D7" s="2"/>
      <c r="E7" s="2"/>
      <c r="F7" s="2"/>
      <c r="G7" s="2"/>
      <c r="H7" s="856"/>
      <c r="I7" s="854"/>
      <c r="J7" s="855"/>
      <c r="K7" s="36"/>
      <c r="L7" s="36"/>
      <c r="M7" s="36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766" customFormat="1" ht="18.75">
      <c r="A8" s="184" t="s">
        <v>245</v>
      </c>
      <c r="B8" s="24"/>
      <c r="C8" s="24"/>
      <c r="D8" s="24"/>
      <c r="E8" s="24"/>
      <c r="F8" s="24"/>
      <c r="G8" s="24"/>
      <c r="H8" s="24"/>
      <c r="I8" s="24"/>
      <c r="J8" s="85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766" customFormat="1" ht="18.75">
      <c r="A9" s="184" t="s">
        <v>246</v>
      </c>
      <c r="B9" s="184"/>
      <c r="C9" s="24"/>
      <c r="D9" s="24"/>
      <c r="E9" s="24"/>
      <c r="F9" s="24"/>
      <c r="G9" s="24"/>
      <c r="H9" s="24"/>
      <c r="I9" s="24"/>
      <c r="J9" s="85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s="766" customFormat="1" ht="18.75">
      <c r="A10" s="184"/>
      <c r="B10" s="24"/>
      <c r="C10" s="24"/>
      <c r="D10" s="24"/>
      <c r="E10" s="24"/>
      <c r="F10" s="24"/>
      <c r="G10" s="24"/>
      <c r="H10" s="24"/>
      <c r="I10" s="405" t="s">
        <v>330</v>
      </c>
      <c r="J10" s="85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9.5" customHeight="1">
      <c r="A11" s="858"/>
      <c r="B11" s="859"/>
      <c r="C11" s="859"/>
      <c r="D11" s="863"/>
      <c r="E11" s="88" t="s">
        <v>286</v>
      </c>
      <c r="F11" s="860"/>
      <c r="G11" s="861"/>
      <c r="H11" s="88" t="s">
        <v>285</v>
      </c>
      <c r="I11" s="904"/>
      <c r="J11" s="906"/>
      <c r="K11" s="862"/>
      <c r="L11" s="36"/>
      <c r="M11" s="3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863"/>
      <c r="B12" s="863"/>
      <c r="C12" s="907"/>
      <c r="D12" s="1016" t="s">
        <v>262</v>
      </c>
      <c r="E12" s="531"/>
      <c r="F12" s="865" t="s">
        <v>247</v>
      </c>
      <c r="G12" s="866"/>
      <c r="H12" s="492"/>
      <c r="I12" s="905" t="s">
        <v>319</v>
      </c>
      <c r="J12" s="1016" t="s">
        <v>263</v>
      </c>
      <c r="K12" s="36"/>
      <c r="L12" s="36"/>
      <c r="M12" s="3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 customHeight="1">
      <c r="A13" s="867" t="s">
        <v>561</v>
      </c>
      <c r="B13" s="868" t="s">
        <v>248</v>
      </c>
      <c r="C13" s="902" t="s">
        <v>331</v>
      </c>
      <c r="D13" s="1016"/>
      <c r="E13" s="908" t="s">
        <v>249</v>
      </c>
      <c r="F13" s="1018" t="s">
        <v>250</v>
      </c>
      <c r="G13" s="1020" t="s">
        <v>251</v>
      </c>
      <c r="H13" s="868" t="s">
        <v>36</v>
      </c>
      <c r="I13" s="1022" t="s">
        <v>252</v>
      </c>
      <c r="J13" s="1016"/>
      <c r="K13" s="36"/>
      <c r="L13" s="36"/>
      <c r="M13" s="3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9.5" customHeight="1">
      <c r="A14" s="869"/>
      <c r="B14" s="869"/>
      <c r="C14" s="903" t="s">
        <v>253</v>
      </c>
      <c r="D14" s="1017"/>
      <c r="E14" s="909"/>
      <c r="F14" s="1019"/>
      <c r="G14" s="1021"/>
      <c r="H14" s="309"/>
      <c r="I14" s="1023"/>
      <c r="J14" s="1017"/>
      <c r="K14" s="36"/>
      <c r="L14" s="36"/>
      <c r="M14" s="3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870">
        <v>1</v>
      </c>
      <c r="B15" s="870">
        <v>2</v>
      </c>
      <c r="C15" s="870">
        <v>3</v>
      </c>
      <c r="D15" s="910"/>
      <c r="E15" s="870">
        <v>4</v>
      </c>
      <c r="F15" s="870">
        <v>5</v>
      </c>
      <c r="G15" s="870">
        <v>6</v>
      </c>
      <c r="H15" s="870">
        <v>7</v>
      </c>
      <c r="I15" s="870">
        <v>8</v>
      </c>
      <c r="J15" s="855"/>
      <c r="K15" s="36"/>
      <c r="L15" s="36"/>
      <c r="M15" s="3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" customHeight="1">
      <c r="A16" s="864"/>
      <c r="B16" s="871" t="s">
        <v>315</v>
      </c>
      <c r="C16" s="869"/>
      <c r="D16" s="911">
        <f>D18</f>
        <v>-1289504.01</v>
      </c>
      <c r="E16" s="872">
        <f>SUM(E18:E22)</f>
        <v>27186891.93</v>
      </c>
      <c r="F16" s="873">
        <f>SUM(F18,)</f>
        <v>11001612.7</v>
      </c>
      <c r="G16" s="873"/>
      <c r="H16" s="874">
        <f>SUM(H18:H22)</f>
        <v>27186891.93</v>
      </c>
      <c r="I16" s="872">
        <f>SUM(I18:I22)</f>
        <v>0</v>
      </c>
      <c r="J16" s="912">
        <f>J18</f>
        <v>-1289504.01</v>
      </c>
      <c r="K16" s="875"/>
      <c r="L16" s="875">
        <f>D16+E16-H16-J16</f>
        <v>0</v>
      </c>
      <c r="M16" s="3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7.25" customHeight="1">
      <c r="A17" s="864"/>
      <c r="B17" s="876" t="s">
        <v>254</v>
      </c>
      <c r="C17" s="877"/>
      <c r="D17" s="877"/>
      <c r="E17" s="878"/>
      <c r="F17" s="879"/>
      <c r="G17" s="864"/>
      <c r="H17" s="880"/>
      <c r="I17" s="881"/>
      <c r="J17" s="913"/>
      <c r="K17" s="875"/>
      <c r="L17" s="875"/>
      <c r="M17" s="3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.75" customHeight="1">
      <c r="A18" s="882" t="s">
        <v>255</v>
      </c>
      <c r="B18" s="883" t="s">
        <v>256</v>
      </c>
      <c r="C18" s="884">
        <v>600</v>
      </c>
      <c r="D18" s="917">
        <v>-1289504.01</v>
      </c>
      <c r="E18" s="916">
        <v>27186891.93</v>
      </c>
      <c r="F18" s="918">
        <f>SUM(F20,)</f>
        <v>11001612.7</v>
      </c>
      <c r="G18" s="919"/>
      <c r="H18" s="916">
        <v>27186891.93</v>
      </c>
      <c r="I18" s="920"/>
      <c r="J18" s="917">
        <v>-1289504.01</v>
      </c>
      <c r="K18" s="885"/>
      <c r="L18" s="885"/>
      <c r="M18" s="886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</row>
    <row r="19" spans="1:24" ht="12.75">
      <c r="A19" s="887"/>
      <c r="B19" s="492" t="s">
        <v>319</v>
      </c>
      <c r="C19" s="888">
        <v>60004</v>
      </c>
      <c r="D19" s="888"/>
      <c r="E19" s="889"/>
      <c r="F19" s="404"/>
      <c r="G19" s="890"/>
      <c r="H19" s="889"/>
      <c r="I19" s="891"/>
      <c r="J19" s="914"/>
      <c r="K19" s="892"/>
      <c r="L19" s="892"/>
      <c r="M19" s="886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79.5" customHeight="1">
      <c r="A20" s="887"/>
      <c r="B20" s="492" t="s">
        <v>257</v>
      </c>
      <c r="C20" s="888"/>
      <c r="D20" s="888"/>
      <c r="E20" s="889"/>
      <c r="F20" s="900">
        <f>11000184.75+1427.95</f>
        <v>11001612.7</v>
      </c>
      <c r="G20" s="893" t="s">
        <v>258</v>
      </c>
      <c r="H20" s="889"/>
      <c r="I20" s="891"/>
      <c r="J20" s="914"/>
      <c r="K20" s="892"/>
      <c r="L20" s="892"/>
      <c r="M20" s="37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" customHeight="1">
      <c r="A21" s="887"/>
      <c r="B21" s="492" t="s">
        <v>259</v>
      </c>
      <c r="C21" s="888"/>
      <c r="D21" s="888"/>
      <c r="E21" s="889"/>
      <c r="F21" s="404"/>
      <c r="G21" s="890"/>
      <c r="H21" s="889"/>
      <c r="I21" s="891"/>
      <c r="J21" s="914"/>
      <c r="K21" s="892"/>
      <c r="L21" s="892"/>
      <c r="M21" s="37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21" customHeight="1">
      <c r="A22" s="894"/>
      <c r="B22" s="895" t="s">
        <v>260</v>
      </c>
      <c r="C22" s="896"/>
      <c r="D22" s="896"/>
      <c r="E22" s="897"/>
      <c r="F22" s="901">
        <f>1188634.75+1427.95</f>
        <v>1190062.7</v>
      </c>
      <c r="G22" s="898"/>
      <c r="H22" s="897"/>
      <c r="I22" s="899"/>
      <c r="J22" s="915"/>
      <c r="K22" s="892"/>
      <c r="L22" s="892"/>
      <c r="M22" s="37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2"/>
      <c r="B23" s="2"/>
      <c r="C23" s="2"/>
      <c r="D23" s="2"/>
      <c r="E23" s="2"/>
      <c r="F23" s="2"/>
      <c r="G23" s="2"/>
      <c r="H23" s="2"/>
      <c r="I23" s="2"/>
      <c r="J23" s="855"/>
      <c r="K23" s="36"/>
      <c r="L23" s="36"/>
      <c r="M23" s="3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"/>
      <c r="B24" s="2"/>
      <c r="C24" s="2"/>
      <c r="D24" s="2"/>
      <c r="E24" s="2"/>
      <c r="F24" s="2"/>
      <c r="G24" s="2"/>
      <c r="H24" s="2"/>
      <c r="I24" s="2"/>
      <c r="J24" s="855"/>
      <c r="K24" s="36"/>
      <c r="L24" s="36"/>
      <c r="M24" s="3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2"/>
      <c r="B25" s="2"/>
      <c r="C25" s="2"/>
      <c r="D25" s="2"/>
      <c r="E25" s="2"/>
      <c r="F25" s="2"/>
      <c r="G25" s="2"/>
      <c r="H25" s="2"/>
      <c r="I25" s="2"/>
      <c r="J25" s="855"/>
      <c r="K25" s="36"/>
      <c r="L25" s="36"/>
      <c r="M25" s="3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2"/>
      <c r="B26" s="2"/>
      <c r="C26" s="2"/>
      <c r="D26" s="1015"/>
      <c r="E26" s="632"/>
      <c r="F26" s="531"/>
      <c r="G26" s="531"/>
      <c r="H26" s="632"/>
      <c r="I26" s="2"/>
      <c r="J26" s="855"/>
      <c r="K26" s="36"/>
      <c r="L26" s="36"/>
      <c r="M26" s="3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1015"/>
      <c r="E27" s="531"/>
      <c r="F27" s="531"/>
      <c r="G27" s="531"/>
      <c r="H27" s="531"/>
      <c r="I27" s="2"/>
      <c r="J27" s="855"/>
      <c r="K27" s="36"/>
      <c r="L27" s="36"/>
      <c r="M27" s="3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1015"/>
      <c r="E28" s="632"/>
      <c r="F28" s="632"/>
      <c r="G28" s="632"/>
      <c r="H28" s="1015"/>
      <c r="I28" s="2"/>
      <c r="J28" s="855"/>
      <c r="K28" s="36"/>
      <c r="L28" s="36"/>
      <c r="M28" s="3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531"/>
      <c r="E29" s="531"/>
      <c r="F29" s="531"/>
      <c r="G29" s="531"/>
      <c r="H29" s="1015"/>
      <c r="I29" s="2"/>
      <c r="J29" s="855"/>
      <c r="K29" s="36"/>
      <c r="L29" s="36"/>
      <c r="M29" s="3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4"/>
      <c r="D30" s="632"/>
      <c r="E30" s="632"/>
      <c r="F30" s="632"/>
      <c r="G30" s="632"/>
      <c r="H30" s="1015"/>
      <c r="I30" s="2"/>
      <c r="J30" s="855"/>
      <c r="K30" s="36"/>
      <c r="L30" s="36"/>
      <c r="M30" s="3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4"/>
      <c r="D31" s="4"/>
      <c r="E31" s="4"/>
      <c r="F31" s="4"/>
      <c r="G31" s="4"/>
      <c r="H31" s="2"/>
      <c r="I31" s="2"/>
      <c r="J31" s="855"/>
      <c r="K31" s="36"/>
      <c r="L31" s="36"/>
      <c r="M31" s="3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4"/>
      <c r="D32" s="4"/>
      <c r="E32" s="4"/>
      <c r="F32" s="4"/>
      <c r="G32" s="4"/>
      <c r="H32" s="2"/>
      <c r="I32" s="2"/>
      <c r="J32" s="855"/>
      <c r="K32" s="36"/>
      <c r="L32" s="36"/>
      <c r="M32" s="3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4"/>
      <c r="D33" s="4"/>
      <c r="E33" s="4"/>
      <c r="F33" s="4"/>
      <c r="G33" s="4"/>
      <c r="H33" s="2"/>
      <c r="I33" s="2"/>
      <c r="J33" s="855"/>
      <c r="K33" s="36"/>
      <c r="L33" s="36"/>
      <c r="M33" s="3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4"/>
      <c r="D34" s="4"/>
      <c r="E34" s="4"/>
      <c r="F34" s="4"/>
      <c r="G34" s="4"/>
      <c r="H34" s="2"/>
      <c r="I34" s="2"/>
      <c r="J34" s="855"/>
      <c r="K34" s="36"/>
      <c r="L34" s="36"/>
      <c r="M34" s="3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4"/>
      <c r="D35" s="4"/>
      <c r="E35" s="4"/>
      <c r="F35" s="4"/>
      <c r="G35" s="4"/>
      <c r="H35" s="2"/>
      <c r="I35" s="2"/>
      <c r="J35" s="855"/>
      <c r="K35" s="36"/>
      <c r="L35" s="36"/>
      <c r="M35" s="3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4"/>
      <c r="D36" s="4"/>
      <c r="E36" s="4"/>
      <c r="F36" s="4"/>
      <c r="G36" s="4"/>
      <c r="H36" s="2"/>
      <c r="I36" s="2"/>
      <c r="J36" s="855"/>
      <c r="K36" s="36"/>
      <c r="L36" s="36"/>
      <c r="M36" s="3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855"/>
      <c r="K37" s="36"/>
      <c r="L37" s="36"/>
      <c r="M37" s="3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855"/>
      <c r="K38" s="36"/>
      <c r="L38" s="36"/>
      <c r="M38" s="3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855"/>
      <c r="K39" s="36"/>
      <c r="L39" s="36"/>
      <c r="M39" s="3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855"/>
      <c r="K40" s="36"/>
      <c r="L40" s="36"/>
      <c r="M40" s="3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855"/>
      <c r="K41" s="36"/>
      <c r="L41" s="36"/>
      <c r="M41" s="3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855"/>
      <c r="K42" s="36"/>
      <c r="L42" s="36"/>
      <c r="M42" s="3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855"/>
      <c r="K43" s="36"/>
      <c r="L43" s="36"/>
      <c r="M43" s="3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855"/>
      <c r="K44" s="36"/>
      <c r="L44" s="36"/>
      <c r="M44" s="3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855"/>
      <c r="K45" s="36"/>
      <c r="L45" s="36"/>
      <c r="M45" s="36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855"/>
      <c r="K46" s="36"/>
      <c r="L46" s="36"/>
      <c r="M46" s="3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855"/>
      <c r="K47" s="36"/>
      <c r="L47" s="36"/>
      <c r="M47" s="3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855"/>
      <c r="K48" s="36"/>
      <c r="L48" s="36"/>
      <c r="M48" s="3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855"/>
      <c r="K49" s="36"/>
      <c r="L49" s="36"/>
      <c r="M49" s="3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855"/>
      <c r="K50" s="36"/>
      <c r="L50" s="36"/>
      <c r="M50" s="36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855"/>
      <c r="K51" s="36"/>
      <c r="L51" s="36"/>
      <c r="M51" s="3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855"/>
      <c r="K52" s="36"/>
      <c r="L52" s="36"/>
      <c r="M52" s="36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855"/>
      <c r="K53" s="36"/>
      <c r="L53" s="36"/>
      <c r="M53" s="3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855"/>
      <c r="K54" s="36"/>
      <c r="L54" s="36"/>
      <c r="M54" s="36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855"/>
      <c r="K55" s="36"/>
      <c r="L55" s="36"/>
      <c r="M55" s="36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855"/>
      <c r="K56" s="36"/>
      <c r="L56" s="36"/>
      <c r="M56" s="36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855"/>
      <c r="K57" s="36"/>
      <c r="L57" s="36"/>
      <c r="M57" s="3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855"/>
      <c r="K58" s="36"/>
      <c r="L58" s="36"/>
      <c r="M58" s="3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855"/>
      <c r="K59" s="36"/>
      <c r="L59" s="36"/>
      <c r="M59" s="36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855"/>
      <c r="K60" s="36"/>
      <c r="L60" s="36"/>
      <c r="M60" s="36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855"/>
      <c r="K61" s="36"/>
      <c r="L61" s="36"/>
      <c r="M61" s="36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855"/>
      <c r="K62" s="36"/>
      <c r="L62" s="36"/>
      <c r="M62" s="36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855"/>
      <c r="K63" s="36"/>
      <c r="L63" s="36"/>
      <c r="M63" s="36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855"/>
      <c r="K64" s="36"/>
      <c r="L64" s="36"/>
      <c r="M64" s="36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855"/>
      <c r="K65" s="36"/>
      <c r="L65" s="36"/>
      <c r="M65" s="36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855"/>
      <c r="K66" s="36"/>
      <c r="L66" s="36"/>
      <c r="M66" s="36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855"/>
      <c r="K67" s="36"/>
      <c r="L67" s="36"/>
      <c r="M67" s="36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855"/>
      <c r="K68" s="36"/>
      <c r="L68" s="36"/>
      <c r="M68" s="36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855"/>
      <c r="K69" s="36"/>
      <c r="L69" s="36"/>
      <c r="M69" s="36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855"/>
      <c r="K70" s="36"/>
      <c r="L70" s="36"/>
      <c r="M70" s="36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855"/>
      <c r="K71" s="36"/>
      <c r="L71" s="36"/>
      <c r="M71" s="36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855"/>
      <c r="K72" s="36"/>
      <c r="L72" s="36"/>
      <c r="M72" s="36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855"/>
      <c r="K73" s="36"/>
      <c r="L73" s="36"/>
      <c r="M73" s="36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855"/>
      <c r="K74" s="36"/>
      <c r="L74" s="36"/>
      <c r="M74" s="3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855"/>
      <c r="K75" s="36"/>
      <c r="L75" s="36"/>
      <c r="M75" s="3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855"/>
      <c r="K76" s="36"/>
      <c r="L76" s="36"/>
      <c r="M76" s="3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855"/>
      <c r="K77" s="36"/>
      <c r="L77" s="36"/>
      <c r="M77" s="3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855"/>
      <c r="K78" s="36"/>
      <c r="L78" s="36"/>
      <c r="M78" s="36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855"/>
      <c r="K79" s="36"/>
      <c r="L79" s="36"/>
      <c r="M79" s="3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855"/>
      <c r="K80" s="36"/>
      <c r="L80" s="36"/>
      <c r="M80" s="36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855"/>
      <c r="K81" s="36"/>
      <c r="L81" s="36"/>
      <c r="M81" s="3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855"/>
      <c r="K82" s="36"/>
      <c r="L82" s="36"/>
      <c r="M82" s="36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855"/>
      <c r="K83" s="36"/>
      <c r="L83" s="36"/>
      <c r="M83" s="36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855"/>
      <c r="K84" s="36"/>
      <c r="L84" s="36"/>
      <c r="M84" s="36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855"/>
      <c r="K85" s="36"/>
      <c r="L85" s="36"/>
      <c r="M85" s="36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855"/>
      <c r="K86" s="36"/>
      <c r="L86" s="36"/>
      <c r="M86" s="36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855"/>
      <c r="K87" s="36"/>
      <c r="L87" s="36"/>
      <c r="M87" s="3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855"/>
      <c r="K88" s="36"/>
      <c r="L88" s="36"/>
      <c r="M88" s="3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855"/>
      <c r="K89" s="36"/>
      <c r="L89" s="36"/>
      <c r="M89" s="3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855"/>
      <c r="K90" s="36"/>
      <c r="L90" s="36"/>
      <c r="M90" s="36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855"/>
      <c r="K91" s="36"/>
      <c r="L91" s="36"/>
      <c r="M91" s="36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855"/>
      <c r="K92" s="36"/>
      <c r="L92" s="36"/>
      <c r="M92" s="3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855"/>
      <c r="K93" s="36"/>
      <c r="L93" s="36"/>
      <c r="M93" s="36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855"/>
      <c r="K94" s="36"/>
      <c r="L94" s="36"/>
      <c r="M94" s="36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855"/>
      <c r="K95" s="36"/>
      <c r="L95" s="36"/>
      <c r="M95" s="36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855"/>
      <c r="K96" s="36"/>
      <c r="L96" s="36"/>
      <c r="M96" s="3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855"/>
      <c r="K97" s="36"/>
      <c r="L97" s="36"/>
      <c r="M97" s="36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855"/>
      <c r="K98" s="36"/>
      <c r="L98" s="36"/>
      <c r="M98" s="36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855"/>
      <c r="K99" s="36"/>
      <c r="L99" s="36"/>
      <c r="M99" s="36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855"/>
      <c r="K100" s="36"/>
      <c r="L100" s="36"/>
      <c r="M100" s="36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855"/>
      <c r="K101" s="36"/>
      <c r="L101" s="36"/>
      <c r="M101" s="36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855"/>
      <c r="K102" s="36"/>
      <c r="L102" s="36"/>
      <c r="M102" s="36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855"/>
      <c r="K103" s="36"/>
      <c r="L103" s="36"/>
      <c r="M103" s="3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855"/>
      <c r="K104" s="36"/>
      <c r="L104" s="36"/>
      <c r="M104" s="3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855"/>
      <c r="K105" s="36"/>
      <c r="L105" s="36"/>
      <c r="M105" s="3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855"/>
      <c r="K106" s="36"/>
      <c r="L106" s="36"/>
      <c r="M106" s="36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855"/>
      <c r="K107" s="36"/>
      <c r="L107" s="36"/>
      <c r="M107" s="36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855"/>
      <c r="K108" s="36"/>
      <c r="L108" s="36"/>
      <c r="M108" s="36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855"/>
      <c r="K109" s="36"/>
      <c r="L109" s="36"/>
      <c r="M109" s="36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855"/>
      <c r="K110" s="36"/>
      <c r="L110" s="36"/>
      <c r="M110" s="36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855"/>
      <c r="K111" s="36"/>
      <c r="L111" s="36"/>
      <c r="M111" s="36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855"/>
      <c r="K112" s="36"/>
      <c r="L112" s="36"/>
      <c r="M112" s="36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855"/>
      <c r="K113" s="36"/>
      <c r="L113" s="36"/>
      <c r="M113" s="36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855"/>
      <c r="K114" s="36"/>
      <c r="L114" s="36"/>
      <c r="M114" s="36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855"/>
      <c r="K115" s="36"/>
      <c r="L115" s="36"/>
      <c r="M115" s="36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855"/>
      <c r="K116" s="36"/>
      <c r="L116" s="36"/>
      <c r="M116" s="36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855"/>
      <c r="K117" s="36"/>
      <c r="L117" s="36"/>
      <c r="M117" s="3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855"/>
      <c r="K118" s="36"/>
      <c r="L118" s="36"/>
      <c r="M118" s="3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855"/>
      <c r="K119" s="36"/>
      <c r="L119" s="36"/>
      <c r="M119" s="36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855"/>
      <c r="K120" s="36"/>
      <c r="L120" s="36"/>
      <c r="M120" s="36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855"/>
      <c r="K121" s="36"/>
      <c r="L121" s="36"/>
      <c r="M121" s="36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855"/>
      <c r="K122" s="36"/>
      <c r="L122" s="36"/>
      <c r="M122" s="36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855"/>
      <c r="K123" s="36"/>
      <c r="L123" s="36"/>
      <c r="M123" s="3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855"/>
      <c r="K124" s="36"/>
      <c r="L124" s="36"/>
      <c r="M124" s="3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855"/>
      <c r="K125" s="36"/>
      <c r="L125" s="36"/>
      <c r="M125" s="3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855"/>
      <c r="K126" s="36"/>
      <c r="L126" s="36"/>
      <c r="M126" s="36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855"/>
      <c r="K127" s="36"/>
      <c r="L127" s="36"/>
      <c r="M127" s="3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855"/>
      <c r="K128" s="36"/>
      <c r="L128" s="36"/>
      <c r="M128" s="3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855"/>
      <c r="K129" s="36"/>
      <c r="L129" s="36"/>
      <c r="M129" s="3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855"/>
      <c r="K130" s="36"/>
      <c r="L130" s="36"/>
      <c r="M130" s="3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855"/>
      <c r="K131" s="36"/>
      <c r="L131" s="36"/>
      <c r="M131" s="3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855"/>
      <c r="K132" s="36"/>
      <c r="L132" s="36"/>
      <c r="M132" s="3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855"/>
      <c r="K133" s="36"/>
      <c r="L133" s="36"/>
      <c r="M133" s="3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855"/>
      <c r="K134" s="36"/>
      <c r="L134" s="36"/>
      <c r="M134" s="3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855"/>
      <c r="K135" s="36"/>
      <c r="L135" s="36"/>
      <c r="M135" s="3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855"/>
      <c r="K136" s="36"/>
      <c r="L136" s="36"/>
      <c r="M136" s="3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855"/>
      <c r="K137" s="36"/>
      <c r="L137" s="36"/>
      <c r="M137" s="3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855"/>
      <c r="K138" s="36"/>
      <c r="L138" s="36"/>
      <c r="M138" s="3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855"/>
      <c r="K139" s="36"/>
      <c r="L139" s="36"/>
      <c r="M139" s="36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855"/>
      <c r="K140" s="36"/>
      <c r="L140" s="36"/>
      <c r="M140" s="36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855"/>
      <c r="K141" s="36"/>
      <c r="L141" s="36"/>
      <c r="M141" s="36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855"/>
      <c r="K142" s="36"/>
      <c r="L142" s="36"/>
      <c r="M142" s="36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855"/>
      <c r="K143" s="36"/>
      <c r="L143" s="36"/>
      <c r="M143" s="36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855"/>
      <c r="K144" s="36"/>
      <c r="L144" s="36"/>
      <c r="M144" s="36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855"/>
      <c r="K145" s="36"/>
      <c r="L145" s="36"/>
      <c r="M145" s="36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855"/>
      <c r="K146" s="36"/>
      <c r="L146" s="36"/>
      <c r="M146" s="36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855"/>
      <c r="K147" s="36"/>
      <c r="L147" s="36"/>
      <c r="M147" s="36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855"/>
      <c r="K148" s="36"/>
      <c r="L148" s="36"/>
      <c r="M148" s="36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855"/>
      <c r="K149" s="36"/>
      <c r="L149" s="36"/>
      <c r="M149" s="36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855"/>
      <c r="K150" s="36"/>
      <c r="L150" s="36"/>
      <c r="M150" s="36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855"/>
      <c r="K151" s="36"/>
      <c r="L151" s="36"/>
      <c r="M151" s="36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855"/>
      <c r="K152" s="36"/>
      <c r="L152" s="36"/>
      <c r="M152" s="36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855"/>
      <c r="K153" s="36"/>
      <c r="L153" s="36"/>
      <c r="M153" s="36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855"/>
      <c r="K154" s="36"/>
      <c r="L154" s="36"/>
      <c r="M154" s="36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855"/>
      <c r="K155" s="36"/>
      <c r="L155" s="36"/>
      <c r="M155" s="36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855"/>
      <c r="K156" s="36"/>
      <c r="L156" s="36"/>
      <c r="M156" s="36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855"/>
      <c r="K157" s="36"/>
      <c r="L157" s="36"/>
      <c r="M157" s="36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855"/>
      <c r="K158" s="36"/>
      <c r="L158" s="36"/>
      <c r="M158" s="3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855"/>
      <c r="K159" s="36"/>
      <c r="L159" s="36"/>
      <c r="M159" s="36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855"/>
      <c r="K160" s="36"/>
      <c r="L160" s="36"/>
      <c r="M160" s="36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855"/>
      <c r="K161" s="36"/>
      <c r="L161" s="36"/>
      <c r="M161" s="36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855"/>
      <c r="K162" s="36"/>
      <c r="L162" s="36"/>
      <c r="M162" s="36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855"/>
      <c r="K163" s="36"/>
      <c r="L163" s="36"/>
      <c r="M163" s="36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855"/>
      <c r="K164" s="36"/>
      <c r="L164" s="36"/>
      <c r="M164" s="36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855"/>
      <c r="K165" s="36"/>
      <c r="L165" s="36"/>
      <c r="M165" s="36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855"/>
      <c r="K166" s="36"/>
      <c r="L166" s="36"/>
      <c r="M166" s="36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855"/>
      <c r="K167" s="36"/>
      <c r="L167" s="36"/>
      <c r="M167" s="36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855"/>
      <c r="K168" s="36"/>
      <c r="L168" s="36"/>
      <c r="M168" s="36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855"/>
      <c r="K169" s="36"/>
      <c r="L169" s="36"/>
      <c r="M169" s="36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855"/>
      <c r="K170" s="36"/>
      <c r="L170" s="36"/>
      <c r="M170" s="36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855"/>
      <c r="K171" s="36"/>
      <c r="L171" s="36"/>
      <c r="M171" s="36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855"/>
      <c r="K172" s="36"/>
      <c r="L172" s="36"/>
      <c r="M172" s="36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855"/>
      <c r="K173" s="36"/>
      <c r="L173" s="36"/>
      <c r="M173" s="36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855"/>
      <c r="K174" s="36"/>
      <c r="L174" s="36"/>
      <c r="M174" s="36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855"/>
      <c r="K175" s="36"/>
      <c r="L175" s="36"/>
      <c r="M175" s="36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855"/>
      <c r="K176" s="36"/>
      <c r="L176" s="36"/>
      <c r="M176" s="36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855"/>
      <c r="K177" s="36"/>
      <c r="L177" s="36"/>
      <c r="M177" s="36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855"/>
      <c r="K178" s="36"/>
      <c r="L178" s="36"/>
      <c r="M178" s="36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855"/>
      <c r="K179" s="36"/>
      <c r="L179" s="36"/>
      <c r="M179" s="36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855"/>
      <c r="K180" s="36"/>
      <c r="L180" s="36"/>
      <c r="M180" s="36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855"/>
      <c r="K181" s="36"/>
      <c r="L181" s="36"/>
      <c r="M181" s="36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855"/>
      <c r="K182" s="36"/>
      <c r="L182" s="36"/>
      <c r="M182" s="36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855"/>
      <c r="K183" s="36"/>
      <c r="L183" s="36"/>
      <c r="M183" s="36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855"/>
      <c r="K184" s="36"/>
      <c r="L184" s="36"/>
      <c r="M184" s="36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855"/>
      <c r="K185" s="36"/>
      <c r="L185" s="36"/>
      <c r="M185" s="36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855"/>
      <c r="K186" s="36"/>
      <c r="L186" s="36"/>
      <c r="M186" s="36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855"/>
      <c r="K187" s="36"/>
      <c r="L187" s="36"/>
      <c r="M187" s="36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855"/>
      <c r="K188" s="36"/>
      <c r="L188" s="36"/>
      <c r="M188" s="36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855"/>
      <c r="K189" s="36"/>
      <c r="L189" s="36"/>
      <c r="M189" s="36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855"/>
      <c r="K190" s="36"/>
      <c r="L190" s="36"/>
      <c r="M190" s="36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855"/>
      <c r="K191" s="36"/>
      <c r="L191" s="36"/>
      <c r="M191" s="36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855"/>
      <c r="K192" s="36"/>
      <c r="L192" s="36"/>
      <c r="M192" s="36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855"/>
      <c r="K193" s="36"/>
      <c r="L193" s="36"/>
      <c r="M193" s="36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855"/>
      <c r="K194" s="36"/>
      <c r="L194" s="36"/>
      <c r="M194" s="36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855"/>
      <c r="K195" s="36"/>
      <c r="L195" s="36"/>
      <c r="M195" s="36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855"/>
      <c r="K196" s="36"/>
      <c r="L196" s="36"/>
      <c r="M196" s="36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855"/>
      <c r="K197" s="36"/>
      <c r="L197" s="36"/>
      <c r="M197" s="36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855"/>
      <c r="K198" s="36"/>
      <c r="L198" s="36"/>
      <c r="M198" s="36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855"/>
      <c r="K199" s="36"/>
      <c r="L199" s="36"/>
      <c r="M199" s="36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855"/>
      <c r="K200" s="36"/>
      <c r="L200" s="36"/>
      <c r="M200" s="36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855"/>
      <c r="K201" s="36"/>
      <c r="L201" s="36"/>
      <c r="M201" s="36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855"/>
      <c r="K202" s="36"/>
      <c r="L202" s="36"/>
      <c r="M202" s="36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855"/>
      <c r="K203" s="36"/>
      <c r="L203" s="36"/>
      <c r="M203" s="36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855"/>
      <c r="K204" s="36"/>
      <c r="L204" s="36"/>
      <c r="M204" s="36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855"/>
      <c r="K205" s="36"/>
      <c r="L205" s="36"/>
      <c r="M205" s="36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855"/>
      <c r="K206" s="36"/>
      <c r="L206" s="36"/>
      <c r="M206" s="36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855"/>
      <c r="K207" s="36"/>
      <c r="L207" s="36"/>
      <c r="M207" s="36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855"/>
      <c r="K208" s="36"/>
      <c r="L208" s="36"/>
      <c r="M208" s="36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855"/>
      <c r="K209" s="36"/>
      <c r="L209" s="36"/>
      <c r="M209" s="3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855"/>
      <c r="K210" s="36"/>
      <c r="L210" s="36"/>
      <c r="M210" s="3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855"/>
      <c r="K211" s="36"/>
      <c r="L211" s="36"/>
      <c r="M211" s="3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855"/>
      <c r="K212" s="36"/>
      <c r="L212" s="36"/>
      <c r="M212" s="36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855"/>
      <c r="K213" s="36"/>
      <c r="L213" s="36"/>
      <c r="M213" s="36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855"/>
      <c r="K214" s="36"/>
      <c r="L214" s="36"/>
      <c r="M214" s="36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855"/>
      <c r="K215" s="36"/>
      <c r="L215" s="36"/>
      <c r="M215" s="36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855"/>
      <c r="K216" s="36"/>
      <c r="L216" s="36"/>
      <c r="M216" s="36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855"/>
      <c r="K217" s="36"/>
      <c r="L217" s="36"/>
      <c r="M217" s="36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855"/>
      <c r="K218" s="36"/>
      <c r="L218" s="36"/>
      <c r="M218" s="36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855"/>
      <c r="K219" s="36"/>
      <c r="L219" s="36"/>
      <c r="M219" s="3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I220" s="2"/>
      <c r="J220" s="855"/>
      <c r="K220" s="36"/>
      <c r="L220" s="36"/>
      <c r="M220" s="36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I221" s="2"/>
      <c r="J221" s="855"/>
      <c r="K221" s="36"/>
      <c r="L221" s="36"/>
      <c r="M221" s="36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I222" s="2"/>
      <c r="J222" s="855"/>
      <c r="K222" s="36"/>
      <c r="L222" s="36"/>
      <c r="M222" s="36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I223" s="2"/>
      <c r="J223" s="855"/>
      <c r="K223" s="36"/>
      <c r="L223" s="36"/>
      <c r="M223" s="36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I224" s="2"/>
      <c r="J224" s="855"/>
      <c r="K224" s="36"/>
      <c r="L224" s="36"/>
      <c r="M224" s="36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</sheetData>
  <sheetProtection/>
  <mergeCells count="7">
    <mergeCell ref="D26:D28"/>
    <mergeCell ref="H28:H30"/>
    <mergeCell ref="D12:D14"/>
    <mergeCell ref="J12:J14"/>
    <mergeCell ref="F13:F14"/>
    <mergeCell ref="G13:G14"/>
    <mergeCell ref="I13:I14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G74"/>
  <sheetViews>
    <sheetView zoomScalePageLayoutView="0" workbookViewId="0" topLeftCell="A43">
      <selection activeCell="F65" sqref="F65"/>
    </sheetView>
  </sheetViews>
  <sheetFormatPr defaultColWidth="9.140625" defaultRowHeight="12.75"/>
  <cols>
    <col min="3" max="3" width="18.140625" style="0" customWidth="1"/>
    <col min="4" max="4" width="23.57421875" style="765" customWidth="1"/>
    <col min="5" max="5" width="23.7109375" style="361" customWidth="1"/>
    <col min="6" max="6" width="28.140625" style="361" customWidth="1"/>
    <col min="7" max="7" width="20.7109375" style="0" customWidth="1"/>
  </cols>
  <sheetData>
    <row r="1" ht="20.25">
      <c r="E1" s="931"/>
    </row>
    <row r="30" ht="20.25">
      <c r="E30" s="398"/>
    </row>
    <row r="35" ht="20.25">
      <c r="E35" s="398"/>
    </row>
    <row r="40" ht="20.25">
      <c r="E40" s="845"/>
    </row>
    <row r="49" ht="20.25">
      <c r="E49" s="845"/>
    </row>
    <row r="59" spans="5:7" ht="20.25">
      <c r="E59" s="932"/>
      <c r="G59" s="932"/>
    </row>
    <row r="60" spans="5:7" ht="20.25">
      <c r="E60" s="932"/>
      <c r="G60" s="932"/>
    </row>
    <row r="61" spans="5:7" ht="20.25">
      <c r="E61" s="932"/>
      <c r="G61" s="932"/>
    </row>
    <row r="62" spans="5:7" ht="20.25">
      <c r="E62" s="932"/>
      <c r="G62" s="932"/>
    </row>
    <row r="63" spans="5:7" ht="20.25">
      <c r="E63" s="932"/>
      <c r="G63" s="932"/>
    </row>
    <row r="74" spans="4:5" ht="15.75">
      <c r="D74" s="930"/>
      <c r="E74" s="93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2014-04-23T13:05:41Z</cp:lastPrinted>
  <dcterms:created xsi:type="dcterms:W3CDTF">2009-03-04T08:33:11Z</dcterms:created>
  <dcterms:modified xsi:type="dcterms:W3CDTF">2014-04-24T06:30:15Z</dcterms:modified>
  <cp:category/>
  <cp:version/>
  <cp:contentType/>
  <cp:contentStatus/>
</cp:coreProperties>
</file>