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Proj Uch. RM nr    25.06. 2014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  <sheet name="Arkusz1" sheetId="7" r:id="rId7"/>
    <sheet name="Wolny" sheetId="8" r:id="rId8"/>
  </sheets>
  <definedNames>
    <definedName name="_xlnm.Print_Titles" localSheetId="1">'zał. nr 1'!$11:$13</definedName>
    <definedName name="_xlnm.Print_Titles" localSheetId="2">'Zał. nr 2'!$12:$13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<sst xmlns="http://schemas.openxmlformats.org/spreadsheetml/2006/main" count="871" uniqueCount="598">
  <si>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</si>
  <si>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</si>
  <si>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Opracowanie dokumentacji projektowo-kosztorysowej na budowę dróg w rejonie bloków przy ulicy Gosławickiej w Koninie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</si>
  <si>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</si>
  <si>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</si>
  <si>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</si>
  <si>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</si>
  <si>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</si>
  <si>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</si>
  <si>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</si>
  <si>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</si>
  <si>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cel: podniesienie jakości edukacji w przedszkolu poprzez stworzenie warunków do zdobywania kompetencji zawodowych i językowych  związanych ze specyfikacją placowki dla 10 osób kadry edukacyjnej, przyczyniając się do osiągnięcia jak najlepszych efektów pracy z dzieckiem w tym niepełnosprawnym i jego rodziną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</si>
  <si>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</si>
  <si>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</si>
  <si>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</si>
  <si>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</si>
  <si>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</si>
  <si>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>2014/2015</t>
  </si>
  <si>
    <t>cel: Stworzenie warunków do podniesienia i uzupełnienia kwalifikacji związanych z wdrożeniem rozwiazań ekologicznych i zdrowotnych oraz zdobycia kompetencji jezykowych  wśrod nauczycieli</t>
  </si>
  <si>
    <t xml:space="preserve">Projekt pt. "Nowe horyzonty w edukacji dziecka" </t>
  </si>
  <si>
    <t>Zadania powiatu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</si>
  <si>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</si>
  <si>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</si>
  <si>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</si>
  <si>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2012/2014</t>
  </si>
  <si>
    <t>Europejski Fundusz Społeczny - Program  Operacyjny  Kapitał Ludzki</t>
  </si>
  <si>
    <t>ZS im. Kopernika w  Koninie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</si>
  <si>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</si>
  <si>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</si>
  <si>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</si>
  <si>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</si>
  <si>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</si>
  <si>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„Uczenie się przez całe życie”  Leonardo da Vinci</t>
  </si>
  <si>
    <t>ZSB  w Koninie</t>
  </si>
  <si>
    <t>2013/2014</t>
  </si>
  <si>
    <t>cel: doskonalenie kompetencji zawodowych  oraz szkolenie językowe i kulturowe</t>
  </si>
  <si>
    <t>„Mistrz w zawodzie - praktyki zagraniczne dla uczniów”</t>
  </si>
  <si>
    <t>Promocja jednostek samorządu terytorialnego</t>
  </si>
  <si>
    <t>Wykonanie systemu monitoringu na terenie Ośrodka "Przystań Gosławice"</t>
  </si>
  <si>
    <t>Zakup namiotów reklamowych Miasta Konina</t>
  </si>
  <si>
    <t>2310</t>
  </si>
  <si>
    <t>Zwiększa się plan dotacji celowej o kwotę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</si>
  <si>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</si>
  <si>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realizowanych na podstawie porozumień między jednostkami samorządu terytorialnego</t>
  </si>
  <si>
    <r>
      <t xml:space="preserve">na 2014 rok  - zadania własne" </t>
    </r>
    <r>
      <rPr>
        <sz val="12"/>
        <rFont val="Times New Roman"/>
        <family val="1"/>
      </rPr>
      <t>dokonuje się następujących zmian:</t>
    </r>
  </si>
  <si>
    <t>7. W Załączniku Nr 2 do uchwały budżetowej dokonuje się następujących zmian:</t>
  </si>
  <si>
    <t>Utrzymanie zieleni w miastach i gminach</t>
  </si>
  <si>
    <t>756</t>
  </si>
  <si>
    <t>75618</t>
  </si>
  <si>
    <t>Budowa dróg os. Łężyn - rejon ul. Mostowej III etap</t>
  </si>
  <si>
    <t>0490</t>
  </si>
  <si>
    <t>90002</t>
  </si>
  <si>
    <t xml:space="preserve"> - kwotę wpływów związanych z gromadzeniem środków w ramach</t>
  </si>
  <si>
    <t xml:space="preserve"> - kwotę wpływów z opłat za gospodarowanie odpadami komunalnymi</t>
  </si>
  <si>
    <t>75075</t>
  </si>
  <si>
    <t>2320</t>
  </si>
  <si>
    <t>4810</t>
  </si>
  <si>
    <t>dz. 900 rozdz.90095 § 6050 zmniejsza się o kwotę</t>
  </si>
  <si>
    <t xml:space="preserve">Zagospodarowanie terenów pogórniczych os. Zatorze w zakresie budowy </t>
  </si>
  <si>
    <t xml:space="preserve"> ścieżki spacerowej - Etap V</t>
  </si>
  <si>
    <t xml:space="preserve">Zagospodarowanie terenów pogórniczych os. Zatorze , Etap V </t>
  </si>
  <si>
    <t>Konin ul. Paderewskiego</t>
  </si>
  <si>
    <t>4210</t>
  </si>
  <si>
    <t>4240</t>
  </si>
  <si>
    <t>0830</t>
  </si>
  <si>
    <t>75023</t>
  </si>
  <si>
    <t>4010</t>
  </si>
  <si>
    <t>754</t>
  </si>
  <si>
    <t>75495</t>
  </si>
  <si>
    <t>921</t>
  </si>
  <si>
    <t>92109</t>
  </si>
  <si>
    <t>2480</t>
  </si>
  <si>
    <t>60015</t>
  </si>
  <si>
    <t>75818</t>
  </si>
  <si>
    <t>6800</t>
  </si>
  <si>
    <t>80110</t>
  </si>
  <si>
    <t>853</t>
  </si>
  <si>
    <t>85395</t>
  </si>
  <si>
    <t>2007</t>
  </si>
  <si>
    <t>80130</t>
  </si>
  <si>
    <t>926</t>
  </si>
  <si>
    <t>92601</t>
  </si>
  <si>
    <t>92604</t>
  </si>
  <si>
    <t>realizowanych na podstawie porozumień z organami administracji rządowej na 2014 rok"</t>
  </si>
  <si>
    <t>dokonuje się następujących zmian:</t>
  </si>
  <si>
    <r>
      <t xml:space="preserve">5. W Załączniku nr 8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</si>
  <si>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dz.852 rozdz.85295 § 2020 zwiększa się o kwotę</t>
  </si>
  <si>
    <t>dz.852 rozdz.85295  zwiększa się o kwotę</t>
  </si>
  <si>
    <t>§ 4010 zwiększa się o kwotę</t>
  </si>
  <si>
    <t>§ 4110 zwiększa się o kwotę</t>
  </si>
  <si>
    <t>§ 4120 zwiększa się o kwotę</t>
  </si>
  <si>
    <t>§ 4210 zwiększa się o kwotę</t>
  </si>
  <si>
    <t>§ 4260 zwiększa się o kwotę</t>
  </si>
  <si>
    <t>§ 4280 zwiększa się o kwotę</t>
  </si>
  <si>
    <t>§ 4300 zwiększa się o kwotę</t>
  </si>
  <si>
    <t>85219</t>
  </si>
  <si>
    <t>4110</t>
  </si>
  <si>
    <t>4120</t>
  </si>
  <si>
    <t>85295</t>
  </si>
  <si>
    <t>4280</t>
  </si>
  <si>
    <t>85324</t>
  </si>
  <si>
    <t>2910</t>
  </si>
  <si>
    <t>Wyszczególnienie</t>
  </si>
  <si>
    <t xml:space="preserve">Określenie zadań </t>
  </si>
  <si>
    <t>Razem zadania gminy</t>
  </si>
  <si>
    <t>Dotacje celowe</t>
  </si>
  <si>
    <t xml:space="preserve">usuwanie wyrobów zawierających azbest z nieruchomości położonych na terenie miasta Konina </t>
  </si>
  <si>
    <t xml:space="preserve">Razem zadania powiatu </t>
  </si>
  <si>
    <t>OGÓŁEM</t>
  </si>
  <si>
    <t xml:space="preserve">do Uchwały nr </t>
  </si>
  <si>
    <t xml:space="preserve">z dnia 25 czerwca  2014 roku       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</si>
  <si>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</si>
  <si>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</si>
  <si>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</si>
  <si>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</si>
  <si>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</si>
  <si>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</si>
  <si>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</si>
  <si>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</si>
  <si>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</si>
  <si>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</si>
  <si>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 xml:space="preserve">Oświata i wychowanie </t>
  </si>
  <si>
    <r>
      <t xml:space="preserve">12.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</si>
  <si>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r>
      <t xml:space="preserve">13.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</si>
  <si>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>Załącznik nr 3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</si>
  <si>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</si>
  <si>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</si>
  <si>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</si>
  <si>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Plan  na 2014 rok</t>
  </si>
  <si>
    <t xml:space="preserve">Dotacje podmiotowe </t>
  </si>
  <si>
    <t>dotacja dla niepublicznego przedszkola i punktów przedszkolnych rozdz. 80104</t>
  </si>
  <si>
    <t>dotacja dla niepublicznego gimnazjum  rozdz.80110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</si>
  <si>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</si>
  <si>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</si>
  <si>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</si>
  <si>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</si>
  <si>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</si>
  <si>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</si>
  <si>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</si>
  <si>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</si>
  <si>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</si>
  <si>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</si>
  <si>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</si>
  <si>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</si>
  <si>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</si>
  <si>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</si>
  <si>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prywatnych żłobków</t>
  </si>
  <si>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</si>
  <si>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</si>
  <si>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</si>
  <si>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</si>
  <si>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"Jesteś przedsiębiorczy! Zacznij działać już dziś w Koninie"w ramach programu POKL (dotacja celowa)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</si>
  <si>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</si>
  <si>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</si>
  <si>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</si>
  <si>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</si>
  <si>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</si>
  <si>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 xml:space="preserve">prace konserwatorskie obrazu Św. Rocha z wyposażenia kościoła parafii Rzymskokatolickiej p.w. św.Wojciecha w Koninie 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</si>
  <si>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</si>
  <si>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</si>
  <si>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</si>
  <si>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</si>
  <si>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</si>
  <si>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</si>
  <si>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</si>
  <si>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</si>
  <si>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</si>
  <si>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</si>
  <si>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</si>
  <si>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</si>
  <si>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</si>
  <si>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</si>
  <si>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</si>
  <si>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</si>
  <si>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</si>
  <si>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</si>
  <si>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</si>
  <si>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 xml:space="preserve">do Uchwały nr  </t>
  </si>
  <si>
    <t xml:space="preserve">DRUK nr 895 </t>
  </si>
  <si>
    <t>Załącznik nr  4</t>
  </si>
  <si>
    <t>Załącznik nr 5</t>
  </si>
  <si>
    <r>
      <t xml:space="preserve">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</si>
  <si>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t xml:space="preserve">do Uchwały nr    </t>
  </si>
  <si>
    <t>koszty utrzymania dzieci  z miasta Konina umieszczonych w  przedszklolu na terenie innej gminy</t>
  </si>
  <si>
    <t>Dotacja celowa na zakupy inwestycyjne dla Oddziału Leczenia Uzależnień Wojewódzkiego Szpitala Zespolonego w Koninie - zakup kombajnu wielofunkcyjnego i rzutnika multimedialnego</t>
  </si>
  <si>
    <t xml:space="preserve">Projekt pt. "Aktywni po pięćdziesiątce - czas na zmiany" </t>
  </si>
  <si>
    <t>Gospodarka komunalna  i ochrona środowiska</t>
  </si>
  <si>
    <t>dotacja dla KDK  na zakup  i montaż instalacji satelitarnej do odbioru i emisji wydarzeń kulturalnych</t>
  </si>
  <si>
    <t xml:space="preserve">dotacja dla KDK na wykonanie Termomodernizacji budynków Konińskiego Domu Kultury, Młodzieżowego Domu Kultury oraz Miejskiej Biblioteki Publicznej w Koninie 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</si>
  <si>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</si>
  <si>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</si>
  <si>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</si>
  <si>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 xml:space="preserve">  PLAN  PRZYCHODÓW  I  WYDATKÓW SAMORZĄDOWEGO ZAKŁADU BUDŻETOWEGO </t>
  </si>
  <si>
    <t xml:space="preserve">                                                                             NA 2014 ROK</t>
  </si>
  <si>
    <t xml:space="preserve">       Plan  przychodów na 2014 rok</t>
  </si>
  <si>
    <t xml:space="preserve">  Plan wydatków na 2014 rok</t>
  </si>
  <si>
    <t>stan środków na początek okresu sprawozdawczego</t>
  </si>
  <si>
    <t xml:space="preserve">w tym: </t>
  </si>
  <si>
    <t>stan środków na koniec okresu sprawozdawczego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</si>
  <si>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</si>
  <si>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</si>
  <si>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</si>
  <si>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</si>
  <si>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</si>
  <si>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</si>
  <si>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</si>
  <si>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</si>
  <si>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</si>
  <si>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</si>
  <si>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</si>
  <si>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</si>
  <si>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</si>
  <si>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 xml:space="preserve">       porozumienia międzygminne</t>
  </si>
  <si>
    <t>6680</t>
  </si>
  <si>
    <t xml:space="preserve">           rozdz.80104 § 6050 zwiększa się o kwotę</t>
  </si>
  <si>
    <t>dz. 801 zwiększa się o kwotę</t>
  </si>
  <si>
    <t xml:space="preserve">           rozdz.80195 § 6050 zwiększa się o kwotę</t>
  </si>
  <si>
    <t>Zarządzanie energią w budynkach użyteczności publicznej w Koninie</t>
  </si>
  <si>
    <t>dz. 600 rozdz.60016 § 6050 zwiększa się o kwotę</t>
  </si>
  <si>
    <t>Budowa ulic na osiedlu Wilków (Leszczynowa, Borowa)</t>
  </si>
  <si>
    <t>60016</t>
  </si>
  <si>
    <t>4270</t>
  </si>
  <si>
    <t>Opracowanie koncepcji na budowę łącznika ul. I. Paderewskiego</t>
  </si>
  <si>
    <t>i ul. Kard. S. Wyszyńskiego w Koninie</t>
  </si>
  <si>
    <t>851</t>
  </si>
  <si>
    <t>85149</t>
  </si>
  <si>
    <t xml:space="preserve">          rozdz.90095 § 6050 zwiększa się o kwotę</t>
  </si>
  <si>
    <t>dz. 900   zwiększa się o kwotę</t>
  </si>
  <si>
    <t>Budowa ulicy Nasturcjowej w Koninie</t>
  </si>
  <si>
    <t>852</t>
  </si>
  <si>
    <t>2020</t>
  </si>
  <si>
    <t xml:space="preserve">dz.926 rozdz.92604 § 6050 zmniejsza się o kwotę </t>
  </si>
  <si>
    <t>§ 6050 zwiększa się o kwotę</t>
  </si>
  <si>
    <t>§ 6060 zwiększa się o kwotę</t>
  </si>
  <si>
    <t xml:space="preserve">          rozdz.90015 zwiększa się o kwotę</t>
  </si>
  <si>
    <t xml:space="preserve">dz.926 rozdz.92601 § 6050 zwiększa się o kwotę </t>
  </si>
  <si>
    <t>Opracowanie koncepcji na budowę łącznika ul. I. Paderewskiego i ul. Kard. S. Wyszyńskiego w Koninie</t>
  </si>
  <si>
    <t>do sektora finansów publicznych na cele publiczne związane z realizacją zadań miasta na 2014 rok"</t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</si>
  <si>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</si>
  <si>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t>samorządowego zakładu budżetowego na 2014 rok"  otrzymuje brzmienie</t>
  </si>
  <si>
    <t>Zakup infrastruktury oświetleniowej na terenie Miasta Konin</t>
  </si>
  <si>
    <t>Nr 812 Rady Miasta Konina z dnia 28 maja 2014 r.; Nr 59/2014 Prezydenta Miasta Konina z dnia 5 czerwca 2014 r.;</t>
  </si>
  <si>
    <r>
      <t xml:space="preserve">  </t>
    </r>
    <r>
      <rPr>
        <b/>
        <i/>
        <sz val="12"/>
        <rFont val="Times New Roman"/>
        <family val="1"/>
      </rPr>
      <t>- wprowadza się następujące zmiany:</t>
    </r>
  </si>
  <si>
    <t>6. W § 1 ust. 3</t>
  </si>
  <si>
    <t>8. W Załączniku Nr 2 do uchwały budżetowej dokonuje się następujących zmian:</t>
  </si>
  <si>
    <t>9. W § 1  ust. 4 otrzymuje brzmienie w treści:</t>
  </si>
  <si>
    <r>
      <t xml:space="preserve"> 10.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</si>
  <si>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11. Załącznik nr 5 do uchwały budżetowej obejmujący:</t>
  </si>
  <si>
    <r>
      <t xml:space="preserve">14. Załącznik nr 13 do uchwały budżetowej obejmujący  </t>
    </r>
    <r>
      <rPr>
        <i/>
        <sz val="13"/>
        <rFont val="Times New Roman"/>
        <family val="1"/>
      </rPr>
      <t xml:space="preserve">"Plan przychodów i wydatków </t>
    </r>
  </si>
  <si>
    <t>15. W § 4 do uchwały budżetowej dokonuje się następujących zmian:</t>
  </si>
  <si>
    <t>92695</t>
  </si>
  <si>
    <t>2360</t>
  </si>
  <si>
    <t>2820</t>
  </si>
  <si>
    <t xml:space="preserve"> - kwotę wydatków na gospodarowanie odpadami komunalnymi</t>
  </si>
  <si>
    <t xml:space="preserve">                                     z dnia  25  czerwca  2014 roku</t>
  </si>
  <si>
    <t xml:space="preserve">z dnia   25 czerwca  2014 roku       </t>
  </si>
  <si>
    <t>Założenie monitoringu wizyjnego w Przedszkolu nr 2</t>
  </si>
  <si>
    <t>Zagospodarowanie terenów pogórniczych os. Zatorze,  Etap V  Konin ul. Paderewskiego</t>
  </si>
  <si>
    <t xml:space="preserve">do Uchwały nr     </t>
  </si>
  <si>
    <t xml:space="preserve">z dnia 25 czerwca 2014 roku       </t>
  </si>
  <si>
    <t>4017</t>
  </si>
  <si>
    <t>4117</t>
  </si>
  <si>
    <t>4177</t>
  </si>
  <si>
    <t>4307</t>
  </si>
  <si>
    <t>90015</t>
  </si>
  <si>
    <t>4260</t>
  </si>
  <si>
    <t>6060</t>
  </si>
  <si>
    <t xml:space="preserve">                                                                               § 4</t>
  </si>
  <si>
    <t xml:space="preserve"> - kwotę środków i dotacji na realizację zadań w ramach</t>
  </si>
  <si>
    <t>programów i projektów funduszy strukturalnych</t>
  </si>
  <si>
    <t>­ kwotę wydatków na programy finansowane z udziałem środków</t>
  </si>
  <si>
    <t xml:space="preserve">                                     UCHWAŁA  NR     </t>
  </si>
  <si>
    <r>
      <rPr>
        <sz val="12"/>
        <rFont val="Times New Roman"/>
        <family val="1"/>
      </rP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</si>
  <si>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t>Nr 40/2014 Prezydenta Miasta Konina z dnia 11 kwietnia 2014 r.; Nr 42/2014 Prezydenta Miasta Konina</t>
  </si>
  <si>
    <t>z dnia 22 kwietnia 2014 r.; Nr 771 Rady Miasta Konina z dnia 30 kwietnia 2014 r.; Nr 45/2014 Prezydenta</t>
  </si>
  <si>
    <t>Miasta Konina z dnia 8 maja 2014 r.; Nr 48/2014 Prezydenta Miasta Konina z dnia 22 maja 2014 r.;</t>
  </si>
  <si>
    <t>60004</t>
  </si>
  <si>
    <t>dz.600 rozdz.60004 § 2310 zwiększa się o kwotę</t>
  </si>
  <si>
    <t>dz.600 rozdz.60004 § 2650 zwiększa się o kwotę</t>
  </si>
  <si>
    <t>2650</t>
  </si>
  <si>
    <t>75095</t>
  </si>
  <si>
    <t>80140</t>
  </si>
  <si>
    <t>0750</t>
  </si>
  <si>
    <t>90019</t>
  </si>
  <si>
    <t>0690</t>
  </si>
  <si>
    <t>kwotę wpływów związanych z gromadzeniem środków w ramach</t>
  </si>
  <si>
    <t>ustawy Prawo ochrony środowiska</t>
  </si>
  <si>
    <t xml:space="preserve">        "Ustala się kwotę wydatków na ochronę środowiska związanych z realizacją ustawy </t>
  </si>
  <si>
    <t xml:space="preserve">      Prawo ochrony środowiska z tego:</t>
  </si>
  <si>
    <t xml:space="preserve">         a)      wydatki bieżące  </t>
  </si>
  <si>
    <t>(dz.900)</t>
  </si>
  <si>
    <t xml:space="preserve">         b)      wydatki majątkowe  </t>
  </si>
  <si>
    <t>(dz. 600; 900 i 921)"</t>
  </si>
  <si>
    <t>o których mowa w art. 5 ust. 1 pkt 2 i 3 ufp w części związanej</t>
  </si>
  <si>
    <t>z realizacją zadań jst</t>
  </si>
  <si>
    <t>Opracowanie dokumentacji projektowo - kosztorysowej na   budowę budynku gospodarczego z pomieszczeniami przynależnymi  do lokali mieszkalnych w budynku przy ul. M. Dąbrowskiej 50 w Koninie</t>
  </si>
  <si>
    <t xml:space="preserve">zaliczanych do sektora finansów publicznych na cele publiczne związane z realizacją zadań </t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</si>
  <si>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</si>
  <si>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Budowa boiska do koszykówki na terenie zieleni miejskiej przy ul. Janowskiej</t>
  </si>
  <si>
    <t xml:space="preserve">        b) dochody majątkowe w wysokości                                        </t>
  </si>
  <si>
    <t>dz. 600 rozdz.60015 § 6050 zwiększa się o kwotę</t>
  </si>
  <si>
    <t>Budowa łącznika pomiędzy ul. Poznańską i ul. Przemysłową</t>
  </si>
  <si>
    <r>
      <t xml:space="preserve">brzmienie w treści </t>
    </r>
    <r>
      <rPr>
        <b/>
        <sz val="13"/>
        <rFont val="Times New Roman"/>
        <family val="1"/>
      </rPr>
      <t xml:space="preserve">Załącznika nr  2 </t>
    </r>
    <r>
      <rPr>
        <sz val="13"/>
        <rFont val="Times New Roman"/>
        <family val="1"/>
      </rPr>
      <t>do niniejszej uchwały</t>
    </r>
  </si>
  <si>
    <t>w tym;</t>
  </si>
  <si>
    <t>Zakup i montaż areatora wodnego</t>
  </si>
  <si>
    <t>Opracowanie dokumentacji na budowę  oświetlenia ulicy Beniowskiej i doświetlenia przejścia dla pieszych na ul. Beniowskiej w Koninie</t>
  </si>
  <si>
    <t>dz. 758 rozdz.75818  § 6800   zmniejsza się o kwotę</t>
  </si>
  <si>
    <t>" Limit wydatków bieżących na programy finansowane z udziałem środków, o których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</si>
  <si>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</si>
  <si>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t>Zakup samochodu służbowego do przewozu  osób niepełnosprawnych-MOPR KONIN</t>
  </si>
  <si>
    <t>Dostawa i montaż wyświetlaczy czasu</t>
  </si>
  <si>
    <t xml:space="preserve">miasta Konina na 2014 rok zmienionej  uchwałami i zarządzeniami w sprawie zmian w budżecie miasta Konina </t>
  </si>
  <si>
    <t>80195</t>
  </si>
  <si>
    <t>4220</t>
  </si>
  <si>
    <t>900</t>
  </si>
  <si>
    <t>90095</t>
  </si>
  <si>
    <t>0970</t>
  </si>
  <si>
    <t>80104</t>
  </si>
  <si>
    <t xml:space="preserve">Projekt pt. "Aktywni po pięćdziesiątce - czas na zmiany!" </t>
  </si>
  <si>
    <t>600</t>
  </si>
  <si>
    <t>750</t>
  </si>
  <si>
    <t>6050</t>
  </si>
  <si>
    <t>75814</t>
  </si>
  <si>
    <t>Przebudowa ul. Jana Matejki w Koninie</t>
  </si>
  <si>
    <t>Dokumentacja projektowo-kosztorysowa na wykonanie doświetlonego przejścia dla pieszych na skrzyżowaniu ulic: Europejska - Wierzbowa w Koninie</t>
  </si>
  <si>
    <t>Rozbudowa sieci i centrali telefonicznej Urzędu Miejskiego</t>
  </si>
  <si>
    <t>Projekt</t>
  </si>
  <si>
    <t>4170</t>
  </si>
  <si>
    <t>Przebudowa ul. Południowej w Koninie</t>
  </si>
  <si>
    <t>Opracowanie dokumantacji projwktowo-kosztorysowej na przebudowe ulic : Beznazwy i Wilczej w Koninie</t>
  </si>
  <si>
    <t>Opracowanie dokumentacji projektowo-kosztorysowej na budowę miejsc postojowych na ul. K. Szymanowskiego 5a w Koninie</t>
  </si>
  <si>
    <t xml:space="preserve">Opracowanie dokumentacji projektowo-kosztorysowej na budowę parkingu przy ul.  Wyzwolenia 23 w Koninie </t>
  </si>
  <si>
    <t>Zakup  wyposażenia na plac zabaw dla Przedszkola nr 13</t>
  </si>
  <si>
    <t>Zakup  wyposażenia na plac zabaw dla Przedszkola nr 14</t>
  </si>
  <si>
    <t>Modernizacja kuchni w  Szkole Podstawowej nr 6 w Koninie</t>
  </si>
  <si>
    <t>Budowa oświetlenia na parkingu przy ul. F. Chopina 18 i 17 c,d,e,f,g,h,i,j w Koninie</t>
  </si>
  <si>
    <t>Budowa ulic: Dobrowolskiego, Kuratowskiego, Mazurkiewicza i Trzebiatowskiego w Koninie</t>
  </si>
  <si>
    <t xml:space="preserve">Budowa budynku usług publicznych przy ul. Z. Urbanowskiej w Koninie </t>
  </si>
  <si>
    <t>Dotacja celowa na zakup  i montaż instalacji satelitarnej do odbioru i emisji wydarzeń kulturalnych</t>
  </si>
  <si>
    <t>Kultura fizyczna</t>
  </si>
  <si>
    <t>Instytucje kultury fizycznej</t>
  </si>
  <si>
    <t>Zakup infrastruktury oświetleniowej na osiedlu Niesłusz w Koninie</t>
  </si>
  <si>
    <t>Dokumentacje przyszłościowe</t>
  </si>
  <si>
    <t>Skate Park dla rowerzystów z monitoringiem i oświetleniem</t>
  </si>
  <si>
    <t>Zadaszenie trybun na stadionie przy ul. Podwale</t>
  </si>
  <si>
    <t>Zakupy inwestycyjne dla obiektów MOSiR w Koninie</t>
  </si>
  <si>
    <t>Zakup karuzeli dla dzieci na plac zabaw do Przedszkola nr 5</t>
  </si>
  <si>
    <t>Budowa zespołu boisk przy Gimnazjum nr 7 w Koninie</t>
  </si>
  <si>
    <t>Żłobki</t>
  </si>
  <si>
    <t xml:space="preserve">Dostosowanie klatki schodowej do obowiązujących przepisów ppoż w budynku Żłobka Miejskiego  przy ul. Staszica 17 w Koninie
</t>
  </si>
  <si>
    <t xml:space="preserve">Adaptacja pomieszczeń pralni na oddział dziecięcy w Żłobku Miejskim przy ul. Staszica 17 w Koninie
</t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</si>
  <si>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</si>
  <si>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</si>
  <si>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t>Docieplenie budynku na stadionie przy ul. Łężyńskiej wraz z monitoringiem</t>
  </si>
  <si>
    <t>. "Jesteś przedsiębiorczy! Zacznij działać już dziś w Koninie"w ramach programu POKL (dotacja celowa)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</si>
  <si>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</si>
  <si>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</si>
  <si>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</si>
  <si>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</si>
  <si>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</si>
  <si>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</si>
  <si>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</si>
  <si>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</si>
  <si>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</si>
  <si>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</si>
  <si>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</si>
  <si>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</si>
  <si>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</si>
  <si>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</si>
  <si>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</si>
  <si>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</si>
  <si>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</si>
  <si>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</si>
  <si>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</si>
  <si>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</si>
  <si>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</si>
  <si>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</si>
  <si>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</si>
  <si>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</si>
  <si>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</si>
  <si>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</si>
  <si>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</si>
  <si>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</si>
  <si>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</si>
  <si>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</si>
  <si>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</si>
  <si>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</si>
  <si>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</si>
  <si>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</si>
  <si>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</si>
  <si>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</si>
  <si>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Ochrona zdrowia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</si>
  <si>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</si>
  <si>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</si>
  <si>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</si>
  <si>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</si>
  <si>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</si>
  <si>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</si>
  <si>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</si>
  <si>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</si>
  <si>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</si>
  <si>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</si>
  <si>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</si>
  <si>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</si>
  <si>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</si>
  <si>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</si>
  <si>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</si>
  <si>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</si>
  <si>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</si>
  <si>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</si>
  <si>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</si>
  <si>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</si>
  <si>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</si>
  <si>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</si>
  <si>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</si>
  <si>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</si>
  <si>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2) dochody powiatu ogółem                                                                                  </t>
  </si>
  <si>
    <t xml:space="preserve">             Zmniejsza się</t>
  </si>
  <si>
    <t xml:space="preserve">          Zwiększa się</t>
  </si>
  <si>
    <t>W części dotyczącej dochodów  powiatu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</si>
  <si>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</si>
  <si>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</si>
  <si>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</si>
  <si>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</si>
  <si>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</si>
  <si>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</si>
  <si>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</si>
  <si>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</si>
  <si>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</si>
  <si>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</si>
  <si>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</si>
  <si>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</si>
  <si>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</si>
  <si>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</si>
  <si>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</si>
  <si>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</si>
  <si>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</si>
  <si>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</si>
  <si>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</si>
  <si>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</si>
  <si>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</si>
  <si>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</si>
  <si>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</si>
  <si>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</si>
  <si>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>3. W Załączniku Nr 1 do uchwały budżetowej dokonuje się następujących zmian:</t>
  </si>
  <si>
    <t>Przebudowa ulicy Stodolnianej w Koninie</t>
  </si>
  <si>
    <t>Rozbudowa skrzyżowania ulic Stanisława Staszica, Romana Dmowskiego i Tadeusza Kościuszki na skrzyżowanie typu "rondo" w Koninie</t>
  </si>
  <si>
    <t>Adaptacja budynku przy ul. Benesza 1 w Koninie  na cele administracyjne</t>
  </si>
  <si>
    <t>Ochotnicze Straże Pożarne</t>
  </si>
  <si>
    <t xml:space="preserve">Zakupy inwestycyjne </t>
  </si>
  <si>
    <t>Gimnazja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</si>
  <si>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</si>
  <si>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</si>
  <si>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Budowa kanalizacji deszczowej na terenie osiedla Pątnów  w Koninie</t>
  </si>
  <si>
    <t>Budowa przyłączy kanalizacyjnych i przyłączenie nieruchomości do miejskiej sieci kanalizacyjnej</t>
  </si>
  <si>
    <t>Przebudowa ul. Żwirki i Wigury wraz z kanalizacją deszczową</t>
  </si>
  <si>
    <t>Przebudowa pomieszczeń garażowych budynku strażnicy wraz z modernizacją kanalizacji deszczowej oraz wymianą nawierzchni placu manewrowego JRG Nr 1 i Komendy Miejskiej Państwowej Straży Pożarnej w Koninie</t>
  </si>
  <si>
    <t>801</t>
  </si>
  <si>
    <t xml:space="preserve">         1) dochody gminy ogółem                                                                                  </t>
  </si>
  <si>
    <t>758</t>
  </si>
  <si>
    <t>4300</t>
  </si>
  <si>
    <t>Stołówki szkolne i przedszkolne</t>
  </si>
  <si>
    <t xml:space="preserve">         W uchwale Nr 700 Rady Miasta Konina z dnia 18 grudnia 2013 r. w sprawie uchwalenia budżetu</t>
  </si>
  <si>
    <t xml:space="preserve">Plan wydatków majątkowych realizowanych ze środków </t>
  </si>
  <si>
    <t>budżetowych miasta Konina na 2014 rok</t>
  </si>
  <si>
    <t xml:space="preserve">           Plan na 2014 rok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</si>
  <si>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</si>
  <si>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</si>
  <si>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</si>
  <si>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</si>
  <si>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</si>
  <si>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</si>
  <si>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</si>
  <si>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</si>
  <si>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</si>
  <si>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Opracowanie  dokumentacji projektowo-kosztorysowej na budowę ul. Grójeckiej w Koninie</t>
  </si>
  <si>
    <t>Budowa czterech domków mieszkalnych oraz rozbudowa budynku gospodarczego w Koninie przy ul. M. Dąbrowskiej</t>
  </si>
  <si>
    <t>Rewitalizacja Starówki - budowa budynków mieszkalnych wielorodzinnych pomiędzy ulicą Wodną i Grunwaldzką w Koninie</t>
  </si>
  <si>
    <t>Doposażenie techniczne urzędu</t>
  </si>
  <si>
    <t>Opracowanie dokumentacji projektowo-kosztorysowej na budowę sali gimnastycznej Szkoły Podstawowej   Nr 1 w Koninie</t>
  </si>
  <si>
    <t>Zakup samochodu do przewozu osób niepełnosprawnych - SOSW w Koninie</t>
  </si>
  <si>
    <t>Budowa kompleksu boisk przy Szkole Podstawowej Nr 4 w Koninie</t>
  </si>
  <si>
    <t xml:space="preserve">Wykonanie piłkochwytu na boisku Szkoły Podstawowej Nr 1 </t>
  </si>
  <si>
    <t>Adaptacja płyty asfaltowej na placu szkolnym na kort tenisowy przy Szkole Podstawowej Nr 3</t>
  </si>
  <si>
    <t>Zakup piłkochwytów w Szkole Podstawowej Nr 9</t>
  </si>
  <si>
    <t>Zakup serwera do pracowni komputerowej w Szkole Podstawowej Nr 10</t>
  </si>
  <si>
    <t>Budowa parkingu przy Przedszkolu Nr 7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</si>
  <si>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</si>
  <si>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</si>
  <si>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</si>
  <si>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Opracowanie dokumentacji projektowo-kosztorysowej na budowę boisk przy  Gimnazjum Nr 1 w Koninie</t>
  </si>
  <si>
    <t>Zakup obieraczki do ziemniaków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</si>
  <si>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</si>
  <si>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</si>
  <si>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</si>
  <si>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</si>
  <si>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</si>
  <si>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</si>
  <si>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</si>
  <si>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</si>
  <si>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"Twoja firma - wspomagamy przedsiębiorczych w Koninie" - w ramach programu POKL (dotacja celowa)</t>
  </si>
  <si>
    <t>Modernizacja oświetlenia ulicznego miasta  Konina na energooszczędne</t>
  </si>
  <si>
    <t>Wniesienie wkładu pieniężnego na budowę sieci kanalizacji sanitarnej i wodociągu w ulicy Rudzickiej</t>
  </si>
  <si>
    <t>Wniesienie wkładu pieniężnego do spółki Geotermia Konin Spółka z o.o. w Koninie</t>
  </si>
  <si>
    <t>Budowa placów zabaw na os. Laskówiec i Grójec w Koninie</t>
  </si>
  <si>
    <t xml:space="preserve">Uzbrojenie terenów inwestycyjnych w obrębie Konin - Międzylesie 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</si>
  <si>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</si>
  <si>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</si>
  <si>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</si>
  <si>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 xml:space="preserve">Termomodernizacja budynków Konińskiego Domu Kultury, Młodzieżowego Domu Kultury oraz Miejskiej Biblioteki Publicznej w Koninie </t>
  </si>
  <si>
    <t>Przebudowa mostu im. Józefa Piłsudskiego w Koninie</t>
  </si>
  <si>
    <t>Turystyka</t>
  </si>
  <si>
    <t>Opracowanie dokumentacji projektowej na budowę toalet przy Bulwarze Nadwarciańskim w Koninie</t>
  </si>
  <si>
    <t xml:space="preserve">Zakup sprzętu komputerowego 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</si>
  <si>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</si>
  <si>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</si>
  <si>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</si>
  <si>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</si>
  <si>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</si>
  <si>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</si>
  <si>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</si>
  <si>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</si>
  <si>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Edukacyjna opieka wychowawcza</t>
  </si>
  <si>
    <t>Specjalne ośrodki szkolno-wychowawcze</t>
  </si>
  <si>
    <t>Zakup kserokopiarki w SOS-W w Koninie</t>
  </si>
  <si>
    <t>Rozbudowa boisk przy ZSGE ul. Kard. Wyszyńskiego 3  w Koninie</t>
  </si>
  <si>
    <t xml:space="preserve">ZAŁĄCZNIK nr  1 </t>
  </si>
  <si>
    <t>Nadbudowa wielorodzinnych budynków mieszkalnych w Koninie - koncepcja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</si>
  <si>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</si>
  <si>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</si>
  <si>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W części dotyczącej zadań  powiatowej</t>
  </si>
  <si>
    <t>b) kwotę części powiatowej</t>
  </si>
  <si>
    <t>Modernizacja węzła sanitarnego przy sali gimnastycznej wraz z korytarzem w Szkole Podstawowej nr 12 w Koninie</t>
  </si>
  <si>
    <t>Zakup zmywarki do kuchni w Szkole Podstawowej Nr 1</t>
  </si>
  <si>
    <t>Budowa ulicy Brunatnej w Koninie - etap I</t>
  </si>
  <si>
    <t>Budowa drogi - łącznik od ul. Przemysłowej do ul. Kleczewskiej w Koninie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</si>
  <si>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</si>
  <si>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</si>
  <si>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Zakup i montaż wiat  przystankowych</t>
  </si>
  <si>
    <t>Lokalny transport zbiorowy</t>
  </si>
  <si>
    <t>Przebudowa i rozbudowa budynków komunalnych przy ul. Wiosny Ludów 11 i 13 w Koninie</t>
  </si>
  <si>
    <t>Zakup i montaż urządzeń na plac zabaw dla Przedszkola nr 17 w Koninie</t>
  </si>
  <si>
    <t xml:space="preserve">Wykonanie, dostawa i montaż regałów  przesuwanych do  pomieszczenia Archiwum w budynku przy ul. Andrzeja Benesza 
 w Koninie
</t>
  </si>
  <si>
    <t>na 2014 rok:  Nr 721 Rady Miasta Konina z dnia 29 stycznia 2014 r.; Nr  11/2014 Prezydenta Miasta Konina</t>
  </si>
  <si>
    <t xml:space="preserve">Opracowanie dokumentacji projektowej na nowy przebieg cieku wodnego zlokalizowanego na terenie Międzylesia m. Konina </t>
  </si>
  <si>
    <t>Wniesienie wkładu pieniężnego na budowę wodociągu w ulicy Piaskowej, Borowej i Świerkowej</t>
  </si>
  <si>
    <t>Wykonanie instalacji ewakuacyjnej w Przedszkolu nr 7 w Koninie</t>
  </si>
  <si>
    <t>Zakup kuchni gazowej dla Przedszkola nr 7 w Koninie</t>
  </si>
  <si>
    <t>Zmniejsza się plan wydatków o kwotę</t>
  </si>
  <si>
    <t>Zakup obieraczki do ziemniaków dla przedszkola nr 17 w Koninie</t>
  </si>
  <si>
    <t>Przebudowa chodnika przy ul. Przemysłowej w Koninie</t>
  </si>
  <si>
    <t>Przebudowa chodnika przy ul. Zofii Nałkowskiej w Koninie</t>
  </si>
  <si>
    <t>Zakup kotła warzelnego do kuchni dla Przedszkola nr 16 w Koninie</t>
  </si>
  <si>
    <t>Opracowanie dokumentacji projektowo-kosztorysowej na przebudowę ul. Jana Pawła II w Koninie</t>
  </si>
  <si>
    <t xml:space="preserve">Wniesienie wkładu pieniężnego na budowę kanalizacji sanitarnej oraz  wodociągu  w ulicach Matejki i Wyspiańskiego </t>
  </si>
  <si>
    <t>Wniesienie wkładu pieniężnego na budowę sieci wodociągowej w ulicach Staromorzysławskiej, Działkowej i Granicznej</t>
  </si>
  <si>
    <t>Opracowanie dokumentacji projektowo-  kosztorysowej na budowę oświetlenia ulic Konwaliowej i Malwowej w Koninie</t>
  </si>
  <si>
    <t>ZAŁĄCZNIK nr 2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</si>
  <si>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</si>
  <si>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</si>
  <si>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2014 rok</t>
  </si>
  <si>
    <t xml:space="preserve">                  2014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</si>
  <si>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</si>
  <si>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</si>
  <si>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</si>
  <si>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</si>
  <si>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</si>
  <si>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</si>
  <si>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</si>
  <si>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</si>
  <si>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</si>
  <si>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</si>
  <si>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</si>
  <si>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</si>
  <si>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>Przedszkole nr 2 w Koninie "Kraina Wesołej Zabawy"</t>
  </si>
  <si>
    <t>cel: Rozwój wykształcenia i kompetencji w regionach</t>
  </si>
  <si>
    <t>Podniesienie i uzupełnienie kwalifikacji kadry pedagogicznej i administracyjnej poprzez realizacje projektu Pt. "Dokształcanie to Twoja szansa"</t>
  </si>
  <si>
    <t>2012-2014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</si>
  <si>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</si>
  <si>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</si>
  <si>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</si>
  <si>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</si>
  <si>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</si>
  <si>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</si>
  <si>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</si>
  <si>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</si>
  <si>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</si>
  <si>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</si>
  <si>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</si>
  <si>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</si>
  <si>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pkt 3) kwotę rezerwy celowej na inwestycje i zakupy inwestycyjne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</si>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</sst>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17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b/>
      <i/>
      <sz val="16"/>
      <name val="Times New Roman"/>
      <family val="1"/>
    </font>
    <font>
      <sz val="9"/>
      <name val="Arial"/>
      <family val="0"/>
    </font>
    <font>
      <b/>
      <sz val="10"/>
      <color indexed="12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6"/>
      <name val="Arial"/>
      <family val="0"/>
    </font>
    <font>
      <b/>
      <sz val="14"/>
      <color indexed="17"/>
      <name val="Times New Roman"/>
      <family val="1"/>
    </font>
    <font>
      <sz val="11"/>
      <name val="Times New Roman CE"/>
      <family val="1"/>
    </font>
    <font>
      <sz val="11"/>
      <color indexed="10"/>
      <name val="Times New Roman"/>
      <family val="1"/>
    </font>
    <font>
      <sz val="14"/>
      <name val="Arial CE"/>
      <family val="0"/>
    </font>
    <font>
      <sz val="14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48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5" fillId="0" borderId="3" applyNumberFormat="0" applyFill="0" applyAlignment="0" applyProtection="0"/>
    <xf numFmtId="0" fontId="106" fillId="29" borderId="4" applyNumberFormat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1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2" fillId="0" borderId="8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0" fontId="32" fillId="0" borderId="13" xfId="52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10" xfId="52" applyFont="1" applyFill="1" applyBorder="1" applyAlignment="1">
      <alignment vertical="center" wrapText="1"/>
      <protection/>
    </xf>
    <xf numFmtId="0" fontId="12" fillId="0" borderId="22" xfId="0" applyFont="1" applyFill="1" applyBorder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34" fillId="0" borderId="17" xfId="0" applyFont="1" applyFill="1" applyBorder="1" applyAlignment="1">
      <alignment vertical="center" wrapText="1"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34" fillId="0" borderId="16" xfId="0" applyNumberFormat="1" applyFont="1" applyFill="1" applyBorder="1" applyAlignment="1">
      <alignment vertical="center" wrapText="1"/>
    </xf>
    <xf numFmtId="4" fontId="33" fillId="0" borderId="16" xfId="0" applyNumberFormat="1" applyFont="1" applyFill="1" applyBorder="1" applyAlignment="1">
      <alignment vertical="center" wrapText="1"/>
    </xf>
    <xf numFmtId="4" fontId="34" fillId="0" borderId="13" xfId="0" applyNumberFormat="1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4" fontId="33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0" borderId="13" xfId="0" applyNumberFormat="1" applyFont="1" applyFill="1" applyBorder="1" applyAlignment="1">
      <alignment vertical="center"/>
    </xf>
    <xf numFmtId="0" fontId="32" fillId="0" borderId="11" xfId="52" applyFont="1" applyFill="1" applyBorder="1" applyAlignment="1">
      <alignment vertical="center" wrapText="1"/>
      <protection/>
    </xf>
    <xf numFmtId="4" fontId="32" fillId="0" borderId="1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4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8" fillId="0" borderId="0" xfId="55" applyNumberFormat="1" applyFont="1" applyFill="1">
      <alignment/>
      <protection/>
    </xf>
    <xf numFmtId="49" fontId="38" fillId="0" borderId="0" xfId="55" applyNumberFormat="1" applyFont="1" applyFill="1" applyAlignment="1">
      <alignment horizontal="center"/>
      <protection/>
    </xf>
    <xf numFmtId="0" fontId="38" fillId="0" borderId="0" xfId="0" applyFont="1" applyFill="1" applyAlignment="1">
      <alignment horizontal="left"/>
    </xf>
    <xf numFmtId="0" fontId="38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20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8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8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23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top"/>
      <protection/>
    </xf>
    <xf numFmtId="0" fontId="10" fillId="0" borderId="18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3" fillId="0" borderId="0" xfId="56" applyNumberFormat="1" applyFont="1" applyFill="1">
      <alignment/>
      <protection/>
    </xf>
    <xf numFmtId="49" fontId="31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6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0" fontId="27" fillId="0" borderId="0" xfId="52" applyFont="1" applyFill="1">
      <alignment/>
      <protection/>
    </xf>
    <xf numFmtId="49" fontId="9" fillId="0" borderId="0" xfId="0" applyNumberFormat="1" applyFont="1" applyFill="1" applyAlignment="1">
      <alignment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32" fillId="0" borderId="14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33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9" fillId="0" borderId="22" xfId="0" applyFont="1" applyFill="1" applyBorder="1" applyAlignment="1">
      <alignment vertical="center" wrapText="1"/>
    </xf>
    <xf numFmtId="4" fontId="57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59" fillId="0" borderId="0" xfId="0" applyNumberFormat="1" applyFont="1" applyFill="1" applyAlignment="1">
      <alignment/>
    </xf>
    <xf numFmtId="49" fontId="3" fillId="0" borderId="13" xfId="52" applyNumberFormat="1" applyFont="1" applyFill="1" applyBorder="1" applyAlignment="1">
      <alignment horizontal="center" vertical="center"/>
      <protection/>
    </xf>
    <xf numFmtId="4" fontId="32" fillId="0" borderId="10" xfId="52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18" xfId="0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34" fillId="0" borderId="17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vertical="center"/>
    </xf>
    <xf numFmtId="4" fontId="60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/>
    </xf>
    <xf numFmtId="0" fontId="33" fillId="0" borderId="2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4" fontId="32" fillId="0" borderId="13" xfId="52" applyNumberFormat="1" applyFont="1" applyFill="1" applyBorder="1" applyAlignment="1">
      <alignment vertical="center"/>
      <protection/>
    </xf>
    <xf numFmtId="0" fontId="32" fillId="0" borderId="10" xfId="52" applyFont="1" applyFill="1" applyBorder="1" applyAlignment="1">
      <alignment vertical="top" wrapText="1"/>
      <protection/>
    </xf>
    <xf numFmtId="0" fontId="12" fillId="0" borderId="13" xfId="0" applyFont="1" applyFill="1" applyBorder="1" applyAlignment="1">
      <alignment vertical="center"/>
    </xf>
    <xf numFmtId="0" fontId="34" fillId="0" borderId="10" xfId="52" applyFont="1" applyFill="1" applyBorder="1" applyAlignment="1">
      <alignment vertical="center" wrapText="1"/>
      <protection/>
    </xf>
    <xf numFmtId="4" fontId="34" fillId="0" borderId="10" xfId="52" applyNumberFormat="1" applyFont="1" applyFill="1" applyBorder="1" applyAlignment="1">
      <alignment vertical="center" wrapText="1"/>
      <protection/>
    </xf>
    <xf numFmtId="4" fontId="34" fillId="0" borderId="13" xfId="52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0" xfId="52" applyFont="1" applyFill="1" applyBorder="1" applyAlignment="1">
      <alignment vertical="center" wrapText="1"/>
      <protection/>
    </xf>
    <xf numFmtId="4" fontId="33" fillId="0" borderId="10" xfId="52" applyNumberFormat="1" applyFont="1" applyFill="1" applyBorder="1" applyAlignment="1">
      <alignment vertical="center" wrapText="1"/>
      <protection/>
    </xf>
    <xf numFmtId="4" fontId="33" fillId="0" borderId="13" xfId="52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32" fillId="0" borderId="13" xfId="52" applyFont="1" applyFill="1" applyBorder="1" applyAlignment="1">
      <alignment vertical="center" wrapText="1"/>
      <protection/>
    </xf>
    <xf numFmtId="0" fontId="34" fillId="0" borderId="13" xfId="52" applyFont="1" applyFill="1" applyBorder="1" applyAlignment="1">
      <alignment vertical="center" wrapText="1"/>
      <protection/>
    </xf>
    <xf numFmtId="0" fontId="54" fillId="0" borderId="0" xfId="0" applyFont="1" applyFill="1" applyAlignment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3" xfId="52" applyFont="1" applyFill="1" applyBorder="1" applyAlignment="1">
      <alignment vertical="center" wrapText="1"/>
      <protection/>
    </xf>
    <xf numFmtId="0" fontId="37" fillId="0" borderId="0" xfId="0" applyFont="1" applyFill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49" fontId="5" fillId="0" borderId="16" xfId="52" applyNumberFormat="1" applyFont="1" applyFill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4" fontId="62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0" fontId="35" fillId="0" borderId="0" xfId="53" applyFont="1" applyFill="1" applyAlignment="1">
      <alignment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33" fillId="33" borderId="19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4" fontId="64" fillId="0" borderId="0" xfId="53" applyNumberFormat="1" applyFont="1" applyFill="1" applyAlignment="1">
      <alignment horizontal="right" vertical="center"/>
      <protection/>
    </xf>
    <xf numFmtId="0" fontId="9" fillId="34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4" fontId="32" fillId="0" borderId="15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4" fontId="59" fillId="0" borderId="0" xfId="0" applyNumberFormat="1" applyFont="1" applyFill="1" applyAlignment="1">
      <alignment/>
    </xf>
    <xf numFmtId="49" fontId="5" fillId="0" borderId="19" xfId="52" applyNumberFormat="1" applyFont="1" applyFill="1" applyBorder="1" applyAlignment="1">
      <alignment horizontal="center" vertical="center"/>
      <protection/>
    </xf>
    <xf numFmtId="0" fontId="32" fillId="0" borderId="17" xfId="0" applyFont="1" applyFill="1" applyBorder="1" applyAlignment="1">
      <alignment horizontal="center" vertical="center"/>
    </xf>
    <xf numFmtId="0" fontId="32" fillId="0" borderId="13" xfId="52" applyFont="1" applyFill="1" applyBorder="1" applyAlignment="1">
      <alignment horizontal="left" vertical="top" wrapText="1"/>
      <protection/>
    </xf>
    <xf numFmtId="4" fontId="32" fillId="0" borderId="13" xfId="52" applyNumberFormat="1" applyFont="1" applyFill="1" applyBorder="1" applyAlignment="1">
      <alignment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4" fontId="16" fillId="0" borderId="0" xfId="56" applyNumberFormat="1" applyFont="1" applyFill="1" applyAlignment="1">
      <alignment horizontal="right"/>
      <protection/>
    </xf>
    <xf numFmtId="0" fontId="56" fillId="0" borderId="0" xfId="0" applyFont="1" applyFill="1" applyAlignment="1">
      <alignment vertical="center"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0" xfId="57" applyFont="1" applyFill="1" applyBorder="1">
      <alignment/>
      <protection/>
    </xf>
    <xf numFmtId="0" fontId="3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28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32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9" fillId="0" borderId="18" xfId="57" applyFont="1" applyFill="1" applyBorder="1" applyAlignment="1">
      <alignment horizontal="center"/>
      <protection/>
    </xf>
    <xf numFmtId="0" fontId="9" fillId="0" borderId="18" xfId="53" applyFont="1" applyFill="1" applyBorder="1">
      <alignment/>
      <protection/>
    </xf>
    <xf numFmtId="0" fontId="9" fillId="0" borderId="18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26" fillId="0" borderId="12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6" fillId="0" borderId="10" xfId="57" applyFont="1" applyFill="1" applyBorder="1" applyAlignment="1">
      <alignment horizontal="left" vertical="top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26" fillId="0" borderId="22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32" fillId="0" borderId="0" xfId="53" applyNumberFormat="1" applyFont="1" applyFill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0" fontId="26" fillId="0" borderId="14" xfId="0" applyFont="1" applyFill="1" applyBorder="1" applyAlignment="1">
      <alignment vertical="center"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2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0" fontId="9" fillId="0" borderId="19" xfId="57" applyFont="1" applyFill="1" applyBorder="1" applyAlignment="1">
      <alignment horizontal="center" vertical="center"/>
      <protection/>
    </xf>
    <xf numFmtId="4" fontId="9" fillId="0" borderId="14" xfId="57" applyNumberFormat="1" applyFont="1" applyFill="1" applyBorder="1" applyAlignment="1">
      <alignment vertical="center"/>
      <protection/>
    </xf>
    <xf numFmtId="0" fontId="26" fillId="0" borderId="15" xfId="0" applyFont="1" applyFill="1" applyBorder="1" applyAlignment="1">
      <alignment vertical="center"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6" xfId="57" applyNumberFormat="1" applyFont="1" applyFill="1" applyBorder="1" applyAlignment="1">
      <alignment vertical="center"/>
      <protection/>
    </xf>
    <xf numFmtId="0" fontId="26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vertical="center" wrapText="1"/>
      <protection/>
    </xf>
    <xf numFmtId="0" fontId="26" fillId="0" borderId="18" xfId="53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vertical="center" wrapText="1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26" fillId="0" borderId="19" xfId="53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4" fontId="3" fillId="0" borderId="19" xfId="53" applyNumberFormat="1" applyFont="1" applyFill="1" applyBorder="1" applyAlignment="1">
      <alignment horizontal="right" vertical="center" wrapText="1"/>
      <protection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4" fontId="9" fillId="0" borderId="13" xfId="57" applyNumberFormat="1" applyFont="1" applyFill="1" applyBorder="1" applyAlignment="1">
      <alignment vertical="center" wrapText="1"/>
      <protection/>
    </xf>
    <xf numFmtId="4" fontId="9" fillId="0" borderId="15" xfId="57" applyNumberFormat="1" applyFont="1" applyFill="1" applyBorder="1" applyAlignment="1">
      <alignment vertical="center"/>
      <protection/>
    </xf>
    <xf numFmtId="0" fontId="9" fillId="0" borderId="24" xfId="0" applyFont="1" applyFill="1" applyBorder="1" applyAlignment="1">
      <alignment vertical="center" wrapText="1"/>
    </xf>
    <xf numFmtId="4" fontId="9" fillId="0" borderId="14" xfId="57" applyNumberFormat="1" applyFont="1" applyFill="1" applyBorder="1" applyAlignment="1">
      <alignment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14" xfId="53" applyFont="1" applyFill="1" applyBorder="1" applyAlignment="1">
      <alignment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0" xfId="57" applyNumberFormat="1" applyFont="1" applyFill="1" applyBorder="1" applyAlignment="1">
      <alignment vertical="center" wrapText="1"/>
      <protection/>
    </xf>
    <xf numFmtId="0" fontId="26" fillId="0" borderId="2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32" fillId="0" borderId="22" xfId="0" applyFont="1" applyFill="1" applyBorder="1" applyAlignment="1">
      <alignment vertical="center" wrapText="1"/>
    </xf>
    <xf numFmtId="4" fontId="9" fillId="0" borderId="22" xfId="57" applyNumberFormat="1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9" fillId="0" borderId="18" xfId="53" applyFont="1" applyFill="1" applyBorder="1" applyAlignment="1">
      <alignment vertical="center" wrapText="1"/>
      <protection/>
    </xf>
    <xf numFmtId="4" fontId="3" fillId="0" borderId="18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19" xfId="57" applyNumberFormat="1" applyFont="1" applyFill="1" applyBorder="1" applyAlignment="1">
      <alignment vertical="center" wrapText="1"/>
      <protection/>
    </xf>
    <xf numFmtId="4" fontId="3" fillId="0" borderId="21" xfId="0" applyNumberFormat="1" applyFont="1" applyFill="1" applyBorder="1" applyAlignment="1">
      <alignment vertical="center"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20" xfId="0" applyNumberFormat="1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0" fontId="9" fillId="0" borderId="11" xfId="57" applyFont="1" applyFill="1" applyBorder="1" applyAlignment="1">
      <alignment vertical="center" wrapText="1"/>
      <protection/>
    </xf>
    <xf numFmtId="0" fontId="4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67" fillId="0" borderId="0" xfId="0" applyNumberFormat="1" applyFont="1" applyFill="1" applyAlignment="1">
      <alignment/>
    </xf>
    <xf numFmtId="0" fontId="43" fillId="0" borderId="12" xfId="0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4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52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31" fillId="0" borderId="0" xfId="52" applyNumberFormat="1" applyFont="1" applyFill="1" applyBorder="1" applyAlignment="1">
      <alignment vertical="center"/>
      <protection/>
    </xf>
    <xf numFmtId="0" fontId="6" fillId="0" borderId="0" xfId="58" applyFont="1" applyFill="1" applyAlignment="1">
      <alignment horizontal="left"/>
      <protection/>
    </xf>
    <xf numFmtId="0" fontId="32" fillId="0" borderId="13" xfId="0" applyFont="1" applyFill="1" applyBorder="1" applyAlignment="1">
      <alignment wrapText="1"/>
    </xf>
    <xf numFmtId="49" fontId="3" fillId="0" borderId="14" xfId="52" applyNumberFormat="1" applyFont="1" applyFill="1" applyBorder="1" applyAlignment="1">
      <alignment horizontal="center" vertical="center"/>
      <protection/>
    </xf>
    <xf numFmtId="4" fontId="68" fillId="0" borderId="0" xfId="0" applyNumberFormat="1" applyFont="1" applyAlignment="1">
      <alignment/>
    </xf>
    <xf numFmtId="0" fontId="3" fillId="0" borderId="20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4" fontId="32" fillId="0" borderId="20" xfId="0" applyNumberFormat="1" applyFont="1" applyFill="1" applyBorder="1" applyAlignment="1">
      <alignment vertical="center" wrapText="1"/>
    </xf>
    <xf numFmtId="0" fontId="27" fillId="34" borderId="21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3" fillId="0" borderId="14" xfId="0" applyFont="1" applyFill="1" applyBorder="1" applyAlignment="1">
      <alignment horizontal="center" vertical="center"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5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" fontId="25" fillId="0" borderId="0" xfId="52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4" fontId="32" fillId="0" borderId="13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wrapText="1"/>
    </xf>
    <xf numFmtId="0" fontId="34" fillId="0" borderId="11" xfId="52" applyFont="1" applyFill="1" applyBorder="1" applyAlignment="1">
      <alignment vertical="center" wrapText="1"/>
      <protection/>
    </xf>
    <xf numFmtId="4" fontId="34" fillId="0" borderId="10" xfId="52" applyNumberFormat="1" applyFont="1" applyFill="1" applyBorder="1" applyAlignment="1">
      <alignment vertical="center"/>
      <protection/>
    </xf>
    <xf numFmtId="4" fontId="34" fillId="0" borderId="13" xfId="52" applyNumberFormat="1" applyFont="1" applyFill="1" applyBorder="1" applyAlignment="1">
      <alignment vertical="center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13" fillId="0" borderId="0" xfId="52" applyNumberFormat="1" applyFont="1" applyFill="1" applyBorder="1" applyAlignment="1">
      <alignment vertical="center"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0" fontId="5" fillId="0" borderId="16" xfId="52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49" fontId="12" fillId="0" borderId="13" xfId="52" applyNumberFormat="1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0" fontId="31" fillId="0" borderId="0" xfId="0" applyFont="1" applyFill="1" applyAlignment="1">
      <alignment/>
    </xf>
    <xf numFmtId="4" fontId="33" fillId="0" borderId="10" xfId="52" applyNumberFormat="1" applyFont="1" applyFill="1" applyBorder="1" applyAlignment="1">
      <alignment vertical="center"/>
      <protection/>
    </xf>
    <xf numFmtId="4" fontId="33" fillId="0" borderId="13" xfId="52" applyNumberFormat="1" applyFont="1" applyFill="1" applyBorder="1" applyAlignment="1">
      <alignment vertical="center"/>
      <protection/>
    </xf>
    <xf numFmtId="4" fontId="22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 applyAlignment="1">
      <alignment horizontal="right" vertical="top"/>
      <protection/>
    </xf>
    <xf numFmtId="49" fontId="16" fillId="0" borderId="0" xfId="53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/>
    </xf>
    <xf numFmtId="0" fontId="12" fillId="0" borderId="0" xfId="52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49" fontId="3" fillId="0" borderId="17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0" fontId="70" fillId="0" borderId="0" xfId="52" applyFont="1" applyFill="1" applyAlignment="1">
      <alignment horizontal="left"/>
      <protection/>
    </xf>
    <xf numFmtId="0" fontId="70" fillId="0" borderId="0" xfId="58" applyFont="1" applyFill="1" applyAlignment="1">
      <alignment horizontal="left"/>
      <protection/>
    </xf>
    <xf numFmtId="4" fontId="5" fillId="0" borderId="20" xfId="52" applyNumberFormat="1" applyFont="1" applyFill="1" applyBorder="1" applyAlignment="1">
      <alignment horizontal="right" vertical="center" wrapText="1"/>
      <protection/>
    </xf>
    <xf numFmtId="0" fontId="16" fillId="0" borderId="0" xfId="53" applyFont="1" applyFill="1">
      <alignment/>
      <protection/>
    </xf>
    <xf numFmtId="49" fontId="16" fillId="0" borderId="0" xfId="0" applyNumberFormat="1" applyFont="1" applyFill="1" applyAlignment="1">
      <alignment horizontal="left"/>
    </xf>
    <xf numFmtId="4" fontId="39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5" fillId="0" borderId="0" xfId="52" applyNumberFormat="1" applyFont="1" applyFill="1" applyBorder="1" applyAlignment="1">
      <alignment horizontal="center" vertical="center"/>
      <protection/>
    </xf>
    <xf numFmtId="4" fontId="17" fillId="0" borderId="0" xfId="52" applyNumberFormat="1" applyFont="1" applyFill="1" applyBorder="1" applyAlignment="1">
      <alignment vertical="center"/>
      <protection/>
    </xf>
    <xf numFmtId="49" fontId="17" fillId="0" borderId="0" xfId="52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/>
    </xf>
    <xf numFmtId="4" fontId="15" fillId="0" borderId="0" xfId="52" applyNumberFormat="1" applyFont="1" applyFill="1" applyBorder="1" applyAlignment="1">
      <alignment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0" fontId="32" fillId="0" borderId="12" xfId="52" applyFont="1" applyFill="1" applyBorder="1" applyAlignment="1">
      <alignment vertical="center" wrapText="1"/>
      <protection/>
    </xf>
    <xf numFmtId="4" fontId="32" fillId="0" borderId="12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" fontId="32" fillId="35" borderId="13" xfId="52" applyNumberFormat="1" applyFont="1" applyFill="1" applyBorder="1" applyAlignment="1">
      <alignment vertical="center"/>
      <protection/>
    </xf>
    <xf numFmtId="0" fontId="32" fillId="36" borderId="10" xfId="0" applyFont="1" applyFill="1" applyBorder="1" applyAlignment="1">
      <alignment vertical="center" wrapText="1"/>
    </xf>
    <xf numFmtId="4" fontId="3" fillId="0" borderId="20" xfId="52" applyNumberFormat="1" applyFont="1" applyFill="1" applyBorder="1" applyAlignment="1">
      <alignment horizontal="right" vertical="center" wrapText="1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4" fontId="69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0" fontId="3" fillId="0" borderId="21" xfId="52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49" fontId="32" fillId="0" borderId="13" xfId="52" applyNumberFormat="1" applyFont="1" applyFill="1" applyBorder="1" applyAlignment="1">
      <alignment horizontal="left" vertical="center" wrapText="1"/>
      <protection/>
    </xf>
    <xf numFmtId="0" fontId="32" fillId="0" borderId="23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" fillId="0" borderId="24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/>
    </xf>
    <xf numFmtId="0" fontId="34" fillId="0" borderId="14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/>
    </xf>
    <xf numFmtId="0" fontId="32" fillId="0" borderId="11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/>
    </xf>
    <xf numFmtId="0" fontId="34" fillId="0" borderId="2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center" vertical="center"/>
    </xf>
    <xf numFmtId="49" fontId="32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 wrapText="1"/>
    </xf>
    <xf numFmtId="4" fontId="13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73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8" fillId="0" borderId="22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4" fillId="0" borderId="1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34" fillId="0" borderId="13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Alignment="1">
      <alignment/>
    </xf>
    <xf numFmtId="0" fontId="77" fillId="0" borderId="1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75" fillId="0" borderId="18" xfId="0" applyNumberFormat="1" applyFont="1" applyFill="1" applyBorder="1" applyAlignment="1">
      <alignment horizontal="right" vertical="center"/>
    </xf>
    <xf numFmtId="0" fontId="7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75" fillId="0" borderId="19" xfId="0" applyFont="1" applyFill="1" applyBorder="1" applyAlignment="1">
      <alignment horizontal="center" vertical="center"/>
    </xf>
    <xf numFmtId="4" fontId="75" fillId="0" borderId="19" xfId="0" applyNumberFormat="1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vertical="center"/>
    </xf>
    <xf numFmtId="4" fontId="75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" fontId="32" fillId="0" borderId="19" xfId="0" applyNumberFormat="1" applyFont="1" applyFill="1" applyBorder="1" applyAlignment="1">
      <alignment vertical="center"/>
    </xf>
    <xf numFmtId="4" fontId="78" fillId="0" borderId="15" xfId="0" applyNumberFormat="1" applyFont="1" applyFill="1" applyBorder="1" applyAlignment="1">
      <alignment vertical="center" wrapText="1"/>
    </xf>
    <xf numFmtId="4" fontId="32" fillId="0" borderId="21" xfId="0" applyNumberFormat="1" applyFont="1" applyFill="1" applyBorder="1" applyAlignment="1">
      <alignment vertical="center"/>
    </xf>
    <xf numFmtId="4" fontId="75" fillId="0" borderId="19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Alignment="1">
      <alignment vertical="center"/>
    </xf>
    <xf numFmtId="4" fontId="74" fillId="0" borderId="15" xfId="0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vertical="center"/>
    </xf>
    <xf numFmtId="4" fontId="78" fillId="0" borderId="16" xfId="0" applyNumberFormat="1" applyFont="1" applyFill="1" applyBorder="1" applyAlignment="1">
      <alignment vertical="center" wrapText="1"/>
    </xf>
    <xf numFmtId="4" fontId="32" fillId="0" borderId="20" xfId="0" applyNumberFormat="1" applyFont="1" applyFill="1" applyBorder="1" applyAlignment="1">
      <alignment vertical="center"/>
    </xf>
    <xf numFmtId="4" fontId="75" fillId="0" borderId="12" xfId="0" applyNumberFormat="1" applyFont="1" applyFill="1" applyBorder="1" applyAlignment="1">
      <alignment horizontal="right" vertical="center"/>
    </xf>
    <xf numFmtId="4" fontId="3" fillId="37" borderId="13" xfId="0" applyNumberFormat="1" applyFont="1" applyFill="1" applyBorder="1" applyAlignment="1">
      <alignment vertical="center"/>
    </xf>
    <xf numFmtId="49" fontId="5" fillId="0" borderId="16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49" fontId="6" fillId="0" borderId="0" xfId="56" applyNumberFormat="1" applyFont="1" applyFill="1">
      <alignment/>
      <protection/>
    </xf>
    <xf numFmtId="4" fontId="12" fillId="0" borderId="0" xfId="0" applyNumberFormat="1" applyFont="1" applyFill="1" applyAlignment="1">
      <alignment vertical="center"/>
    </xf>
    <xf numFmtId="49" fontId="13" fillId="0" borderId="0" xfId="52" applyNumberFormat="1" applyFont="1" applyFill="1">
      <alignment/>
      <protection/>
    </xf>
    <xf numFmtId="49" fontId="13" fillId="0" borderId="0" xfId="52" applyNumberFormat="1" applyFont="1" applyFill="1" applyBorder="1" applyAlignment="1">
      <alignment horizontal="center" vertical="center"/>
      <protection/>
    </xf>
    <xf numFmtId="4" fontId="30" fillId="0" borderId="0" xfId="0" applyNumberFormat="1" applyFont="1" applyFill="1" applyAlignment="1">
      <alignment vertical="center"/>
    </xf>
    <xf numFmtId="49" fontId="31" fillId="0" borderId="0" xfId="52" applyNumberFormat="1" applyFont="1" applyFill="1" applyBorder="1" applyAlignment="1">
      <alignment horizontal="center" vertical="center"/>
      <protection/>
    </xf>
    <xf numFmtId="4" fontId="27" fillId="0" borderId="0" xfId="0" applyNumberFormat="1" applyFont="1" applyFill="1" applyAlignment="1">
      <alignment vertical="center"/>
    </xf>
    <xf numFmtId="0" fontId="32" fillId="37" borderId="22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vertical="center" wrapText="1"/>
    </xf>
    <xf numFmtId="4" fontId="32" fillId="37" borderId="10" xfId="0" applyNumberFormat="1" applyFont="1" applyFill="1" applyBorder="1" applyAlignment="1">
      <alignment vertical="center"/>
    </xf>
    <xf numFmtId="4" fontId="32" fillId="37" borderId="13" xfId="0" applyNumberFormat="1" applyFont="1" applyFill="1" applyBorder="1" applyAlignment="1">
      <alignment vertical="center"/>
    </xf>
    <xf numFmtId="4" fontId="32" fillId="37" borderId="13" xfId="0" applyNumberFormat="1" applyFont="1" applyFill="1" applyBorder="1" applyAlignment="1">
      <alignment vertical="center"/>
    </xf>
    <xf numFmtId="0" fontId="32" fillId="37" borderId="11" xfId="0" applyFont="1" applyFill="1" applyBorder="1" applyAlignment="1">
      <alignment horizontal="center" vertical="center"/>
    </xf>
    <xf numFmtId="4" fontId="32" fillId="37" borderId="10" xfId="0" applyNumberFormat="1" applyFont="1" applyFill="1" applyBorder="1" applyAlignment="1">
      <alignment vertical="center" wrapText="1"/>
    </xf>
    <xf numFmtId="4" fontId="32" fillId="37" borderId="13" xfId="0" applyNumberFormat="1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 wrapText="1"/>
    </xf>
    <xf numFmtId="0" fontId="32" fillId="37" borderId="13" xfId="0" applyFont="1" applyFill="1" applyBorder="1" applyAlignment="1">
      <alignment vertical="center" wrapText="1"/>
    </xf>
    <xf numFmtId="4" fontId="32" fillId="37" borderId="10" xfId="52" applyNumberFormat="1" applyFont="1" applyFill="1" applyBorder="1" applyAlignment="1">
      <alignment vertical="center"/>
      <protection/>
    </xf>
    <xf numFmtId="0" fontId="32" fillId="37" borderId="10" xfId="52" applyFont="1" applyFill="1" applyBorder="1" applyAlignment="1">
      <alignment vertical="center" wrapText="1"/>
      <protection/>
    </xf>
    <xf numFmtId="4" fontId="32" fillId="37" borderId="13" xfId="52" applyNumberFormat="1" applyFont="1" applyFill="1" applyBorder="1" applyAlignment="1">
      <alignment vertical="center"/>
      <protection/>
    </xf>
    <xf numFmtId="0" fontId="27" fillId="37" borderId="13" xfId="0" applyFont="1" applyFill="1" applyBorder="1" applyAlignment="1">
      <alignment vertical="center"/>
    </xf>
    <xf numFmtId="0" fontId="9" fillId="37" borderId="13" xfId="0" applyFont="1" applyFill="1" applyBorder="1" applyAlignment="1">
      <alignment vertical="center"/>
    </xf>
    <xf numFmtId="4" fontId="3" fillId="37" borderId="12" xfId="53" applyNumberFormat="1" applyFont="1" applyFill="1" applyBorder="1" applyAlignment="1">
      <alignment horizontal="right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4" fontId="32" fillId="37" borderId="16" xfId="0" applyNumberFormat="1" applyFont="1" applyFill="1" applyBorder="1" applyAlignment="1">
      <alignment vertical="center"/>
    </xf>
    <xf numFmtId="4" fontId="12" fillId="37" borderId="19" xfId="0" applyNumberFormat="1" applyFont="1" applyFill="1" applyBorder="1" applyAlignment="1">
      <alignment vertical="center"/>
    </xf>
    <xf numFmtId="4" fontId="12" fillId="37" borderId="15" xfId="0" applyNumberFormat="1" applyFont="1" applyFill="1" applyBorder="1" applyAlignment="1">
      <alignment vertical="center"/>
    </xf>
    <xf numFmtId="4" fontId="13" fillId="37" borderId="12" xfId="0" applyNumberFormat="1" applyFont="1" applyFill="1" applyBorder="1" applyAlignment="1">
      <alignment/>
    </xf>
    <xf numFmtId="4" fontId="13" fillId="37" borderId="16" xfId="0" applyNumberFormat="1" applyFont="1" applyFill="1" applyBorder="1" applyAlignment="1">
      <alignment/>
    </xf>
    <xf numFmtId="4" fontId="13" fillId="37" borderId="19" xfId="0" applyNumberFormat="1" applyFont="1" applyFill="1" applyBorder="1" applyAlignment="1">
      <alignment/>
    </xf>
    <xf numFmtId="4" fontId="32" fillId="37" borderId="15" xfId="0" applyNumberFormat="1" applyFont="1" applyFill="1" applyBorder="1" applyAlignment="1">
      <alignment vertical="center"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11" fillId="0" borderId="1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2" fillId="0" borderId="23" xfId="54" applyFont="1" applyFill="1" applyBorder="1" applyAlignment="1">
      <alignment horizontal="left" vertical="center" wrapText="1"/>
      <protection/>
    </xf>
    <xf numFmtId="0" fontId="32" fillId="0" borderId="13" xfId="54" applyFont="1" applyFill="1" applyBorder="1" applyAlignment="1">
      <alignment horizontal="left" vertical="center" wrapText="1"/>
      <protection/>
    </xf>
    <xf numFmtId="0" fontId="32" fillId="0" borderId="18" xfId="54" applyFont="1" applyFill="1" applyBorder="1" applyAlignment="1">
      <alignment horizontal="left" vertical="center" wrapText="1"/>
      <protection/>
    </xf>
    <xf numFmtId="0" fontId="34" fillId="0" borderId="1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3" fillId="36" borderId="12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3" fillId="0" borderId="0" xfId="53" applyNumberFormat="1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20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67" fillId="0" borderId="0" xfId="52" applyNumberFormat="1" applyFont="1" applyFill="1" applyBorder="1">
      <alignment/>
      <protection/>
    </xf>
    <xf numFmtId="4" fontId="49" fillId="0" borderId="0" xfId="0" applyNumberFormat="1" applyFont="1" applyFill="1" applyBorder="1" applyAlignment="1">
      <alignment vertical="center"/>
    </xf>
    <xf numFmtId="4" fontId="11" fillId="0" borderId="0" xfId="52" applyNumberFormat="1" applyFont="1" applyFill="1" applyBorder="1">
      <alignment/>
      <protection/>
    </xf>
    <xf numFmtId="4" fontId="12" fillId="0" borderId="0" xfId="52" applyNumberFormat="1" applyFont="1" applyFill="1" applyBorder="1">
      <alignment/>
      <protection/>
    </xf>
    <xf numFmtId="4" fontId="46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/>
    </xf>
    <xf numFmtId="4" fontId="41" fillId="0" borderId="0" xfId="52" applyNumberFormat="1" applyFont="1" applyFill="1" applyBorder="1">
      <alignment/>
      <protection/>
    </xf>
    <xf numFmtId="4" fontId="21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7" fillId="0" borderId="0" xfId="52" applyNumberFormat="1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4" fontId="39" fillId="0" borderId="0" xfId="52" applyNumberFormat="1" applyFont="1" applyFill="1" applyBorder="1">
      <alignment/>
      <protection/>
    </xf>
    <xf numFmtId="4" fontId="29" fillId="0" borderId="0" xfId="52" applyNumberFormat="1" applyFont="1" applyFill="1" applyBorder="1">
      <alignment/>
      <protection/>
    </xf>
    <xf numFmtId="4" fontId="48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42" fillId="0" borderId="0" xfId="52" applyNumberFormat="1" applyFont="1" applyFill="1" applyBorder="1">
      <alignment/>
      <protection/>
    </xf>
    <xf numFmtId="4" fontId="49" fillId="0" borderId="0" xfId="52" applyNumberFormat="1" applyFont="1" applyFill="1" applyBorder="1">
      <alignment/>
      <protection/>
    </xf>
    <xf numFmtId="4" fontId="50" fillId="0" borderId="0" xfId="52" applyNumberFormat="1" applyFont="1" applyFill="1" applyBorder="1">
      <alignment/>
      <protection/>
    </xf>
    <xf numFmtId="4" fontId="51" fillId="0" borderId="0" xfId="52" applyNumberFormat="1" applyFont="1" applyFill="1" applyBorder="1">
      <alignment/>
      <protection/>
    </xf>
    <xf numFmtId="4" fontId="71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4" fontId="39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4" fillId="0" borderId="0" xfId="52" applyNumberFormat="1" applyFont="1" applyFill="1" applyBorder="1">
      <alignment/>
      <protection/>
    </xf>
    <xf numFmtId="4" fontId="65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 applyAlignment="1">
      <alignment vertical="center"/>
      <protection/>
    </xf>
    <xf numFmtId="4" fontId="45" fillId="0" borderId="0" xfId="52" applyNumberFormat="1" applyFont="1" applyFill="1" applyBorder="1" applyAlignment="1">
      <alignment vertical="center"/>
      <protection/>
    </xf>
    <xf numFmtId="4" fontId="12" fillId="0" borderId="0" xfId="52" applyNumberFormat="1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4" fontId="46" fillId="0" borderId="0" xfId="52" applyNumberFormat="1" applyFont="1" applyFill="1" applyBorder="1" applyAlignment="1">
      <alignment vertical="center"/>
      <protection/>
    </xf>
    <xf numFmtId="4" fontId="22" fillId="0" borderId="0" xfId="52" applyNumberFormat="1" applyFont="1" applyFill="1" applyBorder="1" applyAlignment="1">
      <alignment vertical="center"/>
      <protection/>
    </xf>
    <xf numFmtId="4" fontId="43" fillId="0" borderId="0" xfId="52" applyNumberFormat="1" applyFont="1" applyFill="1" applyBorder="1" applyAlignment="1">
      <alignment vertical="center"/>
      <protection/>
    </xf>
    <xf numFmtId="4" fontId="21" fillId="0" borderId="0" xfId="52" applyNumberFormat="1" applyFont="1" applyFill="1" applyBorder="1" applyAlignment="1">
      <alignment vertical="center"/>
      <protection/>
    </xf>
    <xf numFmtId="4" fontId="9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4" fontId="79" fillId="0" borderId="0" xfId="52" applyNumberFormat="1" applyFont="1" applyFill="1" applyBorder="1" applyAlignment="1">
      <alignment vertical="center"/>
      <protection/>
    </xf>
    <xf numFmtId="4" fontId="80" fillId="0" borderId="0" xfId="52" applyNumberFormat="1" applyFont="1" applyFill="1" applyBorder="1" applyAlignment="1">
      <alignment vertical="center"/>
      <protection/>
    </xf>
    <xf numFmtId="4" fontId="81" fillId="0" borderId="0" xfId="52" applyNumberFormat="1" applyFont="1" applyFill="1" applyBorder="1" applyAlignment="1">
      <alignment vertical="center"/>
      <protection/>
    </xf>
    <xf numFmtId="0" fontId="40" fillId="0" borderId="0" xfId="0" applyFont="1" applyFill="1" applyBorder="1" applyAlignment="1">
      <alignment/>
    </xf>
    <xf numFmtId="0" fontId="39" fillId="0" borderId="0" xfId="52" applyFont="1" applyFill="1" applyBorder="1">
      <alignment/>
      <protection/>
    </xf>
    <xf numFmtId="0" fontId="32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9"/>
  <sheetViews>
    <sheetView tabSelected="1" zoomScale="120" zoomScaleNormal="120" zoomScalePageLayoutView="0" workbookViewId="0" topLeftCell="A1">
      <selection activeCell="B341" sqref="B341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4" customWidth="1"/>
    <col min="9" max="9" width="28.00390625" style="860" customWidth="1"/>
    <col min="10" max="10" width="22.28125" style="861" customWidth="1"/>
    <col min="11" max="12" width="20.8515625" style="860" customWidth="1"/>
    <col min="13" max="13" width="22.421875" style="860" customWidth="1"/>
    <col min="14" max="14" width="24.28125" style="497" customWidth="1"/>
    <col min="15" max="15" width="9.140625" style="497" customWidth="1"/>
    <col min="16" max="17" width="9.140625" style="395" customWidth="1"/>
    <col min="18" max="16384" width="9.140625" style="2" customWidth="1"/>
  </cols>
  <sheetData>
    <row r="1" ht="19.5" customHeight="1">
      <c r="G1" s="180" t="s">
        <v>178</v>
      </c>
    </row>
    <row r="2" spans="1:17" s="49" customFormat="1" ht="19.5" customHeight="1">
      <c r="A2" s="127" t="s">
        <v>271</v>
      </c>
      <c r="B2" s="128"/>
      <c r="C2" s="129"/>
      <c r="D2" s="5"/>
      <c r="E2" s="5"/>
      <c r="F2" s="5"/>
      <c r="G2" s="360"/>
      <c r="H2" s="269" t="s">
        <v>326</v>
      </c>
      <c r="I2" s="862"/>
      <c r="J2" s="863"/>
      <c r="K2" s="864"/>
      <c r="L2" s="862"/>
      <c r="M2" s="862"/>
      <c r="N2" s="862"/>
      <c r="O2" s="865"/>
      <c r="P2" s="123"/>
      <c r="Q2" s="123"/>
    </row>
    <row r="3" spans="1:17" s="49" customFormat="1" ht="19.5" customHeight="1">
      <c r="A3" s="127" t="s">
        <v>407</v>
      </c>
      <c r="B3" s="128"/>
      <c r="C3" s="129"/>
      <c r="D3" s="5"/>
      <c r="E3" s="5"/>
      <c r="F3" s="5"/>
      <c r="G3" s="92"/>
      <c r="H3" s="377"/>
      <c r="I3" s="862"/>
      <c r="J3" s="863"/>
      <c r="K3" s="864"/>
      <c r="L3" s="862"/>
      <c r="M3" s="862"/>
      <c r="N3" s="862"/>
      <c r="O3" s="865"/>
      <c r="P3" s="123"/>
      <c r="Q3" s="123"/>
    </row>
    <row r="4" spans="1:17" s="49" customFormat="1" ht="19.5" customHeight="1">
      <c r="A4" s="127" t="s">
        <v>254</v>
      </c>
      <c r="B4" s="128"/>
      <c r="C4" s="129"/>
      <c r="D4" s="5"/>
      <c r="E4" s="5"/>
      <c r="F4" s="5"/>
      <c r="G4" s="92"/>
      <c r="H4" s="94"/>
      <c r="I4" s="862"/>
      <c r="J4" s="863"/>
      <c r="K4" s="864"/>
      <c r="L4" s="862"/>
      <c r="M4" s="862"/>
      <c r="N4" s="862"/>
      <c r="O4" s="865"/>
      <c r="P4" s="123"/>
      <c r="Q4" s="123"/>
    </row>
    <row r="5" spans="1:17" s="49" customFormat="1" ht="17.25" customHeight="1">
      <c r="A5" s="91"/>
      <c r="B5" s="92"/>
      <c r="C5" s="93"/>
      <c r="D5" s="92"/>
      <c r="E5" s="92"/>
      <c r="F5" s="92"/>
      <c r="G5" s="92"/>
      <c r="H5" s="94"/>
      <c r="I5" s="862"/>
      <c r="J5" s="863"/>
      <c r="K5" s="864"/>
      <c r="L5" s="862"/>
      <c r="M5" s="862"/>
      <c r="N5" s="862"/>
      <c r="O5" s="865"/>
      <c r="P5" s="123"/>
      <c r="Q5" s="123"/>
    </row>
    <row r="6" spans="1:14" ht="15" customHeight="1">
      <c r="A6" s="23"/>
      <c r="B6" s="5"/>
      <c r="C6" s="6"/>
      <c r="D6" s="5"/>
      <c r="E6" s="5"/>
      <c r="F6" s="5"/>
      <c r="G6" s="5"/>
      <c r="H6" s="7"/>
      <c r="I6" s="866"/>
      <c r="J6" s="867"/>
      <c r="K6" s="402"/>
      <c r="L6" s="866"/>
      <c r="M6" s="866"/>
      <c r="N6" s="866"/>
    </row>
    <row r="7" spans="1:14" ht="19.5" customHeight="1">
      <c r="A7" s="23" t="s">
        <v>537</v>
      </c>
      <c r="B7" s="5"/>
      <c r="C7" s="6"/>
      <c r="D7" s="5"/>
      <c r="E7" s="5"/>
      <c r="F7" s="5"/>
      <c r="G7" s="5"/>
      <c r="H7" s="7"/>
      <c r="I7" s="866"/>
      <c r="J7" s="867"/>
      <c r="K7" s="402"/>
      <c r="L7" s="866"/>
      <c r="M7" s="866"/>
      <c r="N7" s="866"/>
    </row>
    <row r="8" spans="1:14" ht="15.75" customHeight="1">
      <c r="A8" s="23"/>
      <c r="B8" s="5"/>
      <c r="C8" s="6"/>
      <c r="D8" s="5"/>
      <c r="E8" s="5"/>
      <c r="F8" s="5"/>
      <c r="G8" s="5"/>
      <c r="H8" s="7"/>
      <c r="I8" s="866"/>
      <c r="J8" s="867"/>
      <c r="K8" s="402"/>
      <c r="L8" s="866"/>
      <c r="M8" s="866"/>
      <c r="N8" s="866"/>
    </row>
    <row r="9" spans="1:14" ht="15" customHeight="1">
      <c r="A9" s="5"/>
      <c r="B9" s="5"/>
      <c r="C9" s="6"/>
      <c r="D9" s="5"/>
      <c r="E9" s="5"/>
      <c r="F9" s="5"/>
      <c r="G9" s="5"/>
      <c r="H9" s="7"/>
      <c r="I9" s="866"/>
      <c r="J9" s="867"/>
      <c r="K9" s="402"/>
      <c r="L9" s="866"/>
      <c r="M9" s="866"/>
      <c r="N9" s="866"/>
    </row>
    <row r="10" spans="1:14" ht="19.5" customHeight="1">
      <c r="A10" s="130" t="s">
        <v>408</v>
      </c>
      <c r="B10" s="128"/>
      <c r="C10" s="129"/>
      <c r="D10" s="5"/>
      <c r="E10" s="5"/>
      <c r="F10" s="5"/>
      <c r="G10" s="5"/>
      <c r="H10" s="7"/>
      <c r="I10" s="866"/>
      <c r="J10" s="867"/>
      <c r="K10" s="402"/>
      <c r="L10" s="866"/>
      <c r="M10" s="866"/>
      <c r="N10" s="866"/>
    </row>
    <row r="11" spans="1:14" ht="19.5" customHeight="1">
      <c r="A11" s="130" t="s">
        <v>528</v>
      </c>
      <c r="B11" s="128"/>
      <c r="C11" s="129"/>
      <c r="D11" s="5"/>
      <c r="E11" s="5"/>
      <c r="F11" s="5"/>
      <c r="G11" s="5"/>
      <c r="H11" s="7"/>
      <c r="I11" s="866"/>
      <c r="J11" s="867"/>
      <c r="K11" s="402"/>
      <c r="L11" s="866"/>
      <c r="M11" s="866"/>
      <c r="N11" s="866"/>
    </row>
    <row r="12" spans="1:14" ht="19.5" customHeight="1">
      <c r="A12" s="130" t="s">
        <v>529</v>
      </c>
      <c r="B12" s="128"/>
      <c r="C12" s="129"/>
      <c r="D12" s="5"/>
      <c r="E12" s="5"/>
      <c r="F12" s="5"/>
      <c r="G12" s="5"/>
      <c r="H12" s="7"/>
      <c r="I12" s="866"/>
      <c r="J12" s="867"/>
      <c r="K12" s="402"/>
      <c r="L12" s="866"/>
      <c r="M12" s="866"/>
      <c r="N12" s="866"/>
    </row>
    <row r="13" spans="1:14" ht="19.5" customHeight="1">
      <c r="A13" s="130"/>
      <c r="B13" s="128"/>
      <c r="C13" s="129"/>
      <c r="D13" s="5"/>
      <c r="E13" s="5"/>
      <c r="F13" s="5"/>
      <c r="G13" s="5"/>
      <c r="H13" s="7"/>
      <c r="I13" s="866"/>
      <c r="J13" s="867"/>
      <c r="K13" s="402"/>
      <c r="L13" s="866"/>
      <c r="M13" s="866"/>
      <c r="N13" s="866"/>
    </row>
    <row r="14" spans="1:17" s="28" customFormat="1" ht="19.5" customHeight="1">
      <c r="A14" s="8"/>
      <c r="B14" s="8"/>
      <c r="C14" s="30"/>
      <c r="D14" s="8"/>
      <c r="E14" s="30" t="s">
        <v>359</v>
      </c>
      <c r="F14" s="8"/>
      <c r="G14" s="8"/>
      <c r="H14" s="9"/>
      <c r="I14" s="868"/>
      <c r="J14" s="868"/>
      <c r="K14" s="869"/>
      <c r="L14" s="868"/>
      <c r="M14" s="868"/>
      <c r="N14" s="867"/>
      <c r="O14" s="870"/>
      <c r="P14" s="871"/>
      <c r="Q14" s="871"/>
    </row>
    <row r="15" spans="1:17" s="28" customFormat="1" ht="19.5" customHeight="1">
      <c r="A15" s="8"/>
      <c r="B15" s="8"/>
      <c r="C15" s="30"/>
      <c r="D15" s="8"/>
      <c r="E15" s="30"/>
      <c r="F15" s="8"/>
      <c r="G15" s="8"/>
      <c r="H15" s="9"/>
      <c r="I15" s="868"/>
      <c r="J15" s="868"/>
      <c r="K15" s="869"/>
      <c r="L15" s="868"/>
      <c r="M15" s="868"/>
      <c r="N15" s="867"/>
      <c r="O15" s="870"/>
      <c r="P15" s="871"/>
      <c r="Q15" s="871"/>
    </row>
    <row r="16" spans="1:14" ht="19.5" customHeight="1">
      <c r="A16" s="567" t="s">
        <v>462</v>
      </c>
      <c r="B16" s="116"/>
      <c r="C16" s="116"/>
      <c r="D16" s="116"/>
      <c r="E16" s="30"/>
      <c r="F16" s="5"/>
      <c r="G16" s="5"/>
      <c r="H16" s="7"/>
      <c r="I16" s="872"/>
      <c r="J16" s="868"/>
      <c r="K16" s="873"/>
      <c r="L16" s="873"/>
      <c r="M16" s="873"/>
      <c r="N16" s="866"/>
    </row>
    <row r="17" spans="1:14" ht="19.5" customHeight="1">
      <c r="A17" s="568" t="s">
        <v>311</v>
      </c>
      <c r="B17" s="116"/>
      <c r="C17" s="116"/>
      <c r="D17" s="116"/>
      <c r="E17" s="30"/>
      <c r="F17" s="5"/>
      <c r="G17" s="5"/>
      <c r="H17" s="7"/>
      <c r="I17" s="873"/>
      <c r="J17" s="868"/>
      <c r="K17" s="873"/>
      <c r="L17" s="873"/>
      <c r="M17" s="873"/>
      <c r="N17" s="866"/>
    </row>
    <row r="18" spans="1:10" ht="19.5" customHeight="1">
      <c r="A18" s="132" t="s">
        <v>543</v>
      </c>
      <c r="B18" s="8"/>
      <c r="C18" s="133"/>
      <c r="D18" s="8"/>
      <c r="E18" s="30"/>
      <c r="F18" s="8"/>
      <c r="H18" s="1"/>
      <c r="J18" s="874"/>
    </row>
    <row r="19" spans="1:10" ht="19.5" customHeight="1">
      <c r="A19" s="87" t="s">
        <v>351</v>
      </c>
      <c r="B19" s="519"/>
      <c r="C19" s="521"/>
      <c r="D19" s="522"/>
      <c r="E19" s="522"/>
      <c r="F19" s="8"/>
      <c r="G19" s="522"/>
      <c r="H19" s="20"/>
      <c r="J19" s="874"/>
    </row>
    <row r="20" spans="1:10" ht="19.5" customHeight="1">
      <c r="A20" s="87" t="s">
        <v>352</v>
      </c>
      <c r="B20" s="523"/>
      <c r="C20" s="524"/>
      <c r="D20" s="522"/>
      <c r="E20" s="522"/>
      <c r="F20" s="522"/>
      <c r="G20" s="522"/>
      <c r="H20" s="20"/>
      <c r="J20" s="874"/>
    </row>
    <row r="21" spans="1:10" ht="19.5" customHeight="1">
      <c r="A21" s="539" t="s">
        <v>272</v>
      </c>
      <c r="B21" s="519"/>
      <c r="C21" s="521"/>
      <c r="D21" s="522"/>
      <c r="E21" s="522"/>
      <c r="F21" s="522"/>
      <c r="G21" s="522"/>
      <c r="H21" s="20"/>
      <c r="J21" s="874"/>
    </row>
    <row r="22" spans="1:10" ht="19.5" customHeight="1">
      <c r="A22" s="87" t="s">
        <v>273</v>
      </c>
      <c r="B22" s="519"/>
      <c r="C22" s="521"/>
      <c r="D22" s="522"/>
      <c r="E22" s="522"/>
      <c r="F22" s="522"/>
      <c r="G22" s="522"/>
      <c r="H22" s="20"/>
      <c r="J22" s="874"/>
    </row>
    <row r="23" spans="1:10" ht="19.5" customHeight="1">
      <c r="A23" s="87" t="s">
        <v>274</v>
      </c>
      <c r="B23" s="519"/>
      <c r="C23" s="521"/>
      <c r="D23" s="522"/>
      <c r="E23" s="522"/>
      <c r="F23" s="522"/>
      <c r="G23" s="522"/>
      <c r="H23" s="20"/>
      <c r="J23" s="874"/>
    </row>
    <row r="24" spans="1:10" ht="19.5" customHeight="1">
      <c r="A24" s="87" t="s">
        <v>275</v>
      </c>
      <c r="B24" s="519"/>
      <c r="C24" s="521"/>
      <c r="D24" s="522"/>
      <c r="E24" s="522"/>
      <c r="F24" s="522"/>
      <c r="G24" s="522"/>
      <c r="H24" s="20"/>
      <c r="J24" s="874"/>
    </row>
    <row r="25" spans="1:14" ht="19.5" customHeight="1">
      <c r="A25" s="87" t="s">
        <v>241</v>
      </c>
      <c r="B25" s="519"/>
      <c r="C25" s="521"/>
      <c r="D25" s="522"/>
      <c r="E25" s="522"/>
      <c r="F25" s="522"/>
      <c r="G25" s="522"/>
      <c r="H25" s="20"/>
      <c r="I25" s="875"/>
      <c r="N25" s="875"/>
    </row>
    <row r="26" spans="1:14" ht="19.5" customHeight="1">
      <c r="A26" s="87" t="s">
        <v>242</v>
      </c>
      <c r="I26" s="875"/>
      <c r="N26" s="875"/>
    </row>
    <row r="27" spans="1:14" ht="19.5" customHeight="1">
      <c r="A27" s="87"/>
      <c r="I27" s="875"/>
      <c r="N27" s="875"/>
    </row>
    <row r="28" spans="1:14" ht="19.5" customHeight="1">
      <c r="A28" s="511"/>
      <c r="I28" s="875"/>
      <c r="N28" s="875"/>
    </row>
    <row r="29" spans="1:14" ht="19.5" customHeight="1">
      <c r="A29" s="134" t="s">
        <v>409</v>
      </c>
      <c r="B29" s="131"/>
      <c r="C29" s="131"/>
      <c r="I29" s="876"/>
      <c r="J29" s="874"/>
      <c r="K29" s="875"/>
      <c r="L29" s="877"/>
      <c r="N29" s="878"/>
    </row>
    <row r="30" spans="1:11" ht="19.5" customHeight="1">
      <c r="A30" s="136"/>
      <c r="B30" s="137"/>
      <c r="C30" s="137"/>
      <c r="D30" s="26"/>
      <c r="E30" s="26"/>
      <c r="F30" s="138"/>
      <c r="H30" s="138"/>
      <c r="I30" s="879"/>
      <c r="K30" s="875"/>
    </row>
    <row r="31" spans="1:11" ht="19.5" customHeight="1">
      <c r="A31" s="136" t="s">
        <v>410</v>
      </c>
      <c r="B31" s="137"/>
      <c r="C31" s="137"/>
      <c r="D31" s="26"/>
      <c r="E31" s="26"/>
      <c r="F31" s="138"/>
      <c r="H31" s="138">
        <f>H35+H57</f>
        <v>409462857.21000004</v>
      </c>
      <c r="I31" s="879"/>
      <c r="K31" s="875"/>
    </row>
    <row r="32" spans="1:11" ht="19.5" customHeight="1">
      <c r="A32" s="136" t="s">
        <v>411</v>
      </c>
      <c r="B32" s="137"/>
      <c r="C32" s="137"/>
      <c r="D32" s="26"/>
      <c r="E32" s="26"/>
      <c r="F32" s="138"/>
      <c r="H32" s="138">
        <f>H36+H58</f>
        <v>409455845.93</v>
      </c>
      <c r="I32" s="880"/>
      <c r="K32" s="875"/>
    </row>
    <row r="33" spans="1:11" ht="19.5" customHeight="1">
      <c r="A33" s="139" t="s">
        <v>412</v>
      </c>
      <c r="B33" s="140"/>
      <c r="C33" s="140"/>
      <c r="D33" s="26"/>
      <c r="E33" s="26"/>
      <c r="F33" s="138"/>
      <c r="H33" s="138"/>
      <c r="I33" s="880"/>
      <c r="K33" s="875"/>
    </row>
    <row r="34" spans="1:11" ht="19.5" customHeight="1">
      <c r="A34" s="139"/>
      <c r="B34" s="140"/>
      <c r="C34" s="140"/>
      <c r="D34" s="26"/>
      <c r="E34" s="26"/>
      <c r="F34" s="138"/>
      <c r="H34" s="138"/>
      <c r="I34" s="880"/>
      <c r="K34" s="875"/>
    </row>
    <row r="35" spans="1:11" ht="19.5" customHeight="1">
      <c r="A35" s="136" t="s">
        <v>458</v>
      </c>
      <c r="B35" s="137"/>
      <c r="C35" s="137"/>
      <c r="D35" s="141"/>
      <c r="E35" s="26"/>
      <c r="F35" s="1"/>
      <c r="H35" s="138">
        <v>291048266.62</v>
      </c>
      <c r="I35" s="880"/>
      <c r="K35" s="875"/>
    </row>
    <row r="36" spans="1:11" ht="19.5" customHeight="1">
      <c r="A36" s="136" t="s">
        <v>411</v>
      </c>
      <c r="B36" s="137"/>
      <c r="C36" s="137"/>
      <c r="D36" s="141"/>
      <c r="E36" s="26"/>
      <c r="F36" s="1"/>
      <c r="H36" s="138">
        <f>H35-D86+F86</f>
        <v>290248295.18</v>
      </c>
      <c r="I36" s="880"/>
      <c r="J36" s="881"/>
      <c r="K36" s="875"/>
    </row>
    <row r="37" spans="1:11" ht="19.5" customHeight="1">
      <c r="A37" s="139"/>
      <c r="B37" s="131" t="s">
        <v>413</v>
      </c>
      <c r="C37" s="140"/>
      <c r="D37" s="26"/>
      <c r="E37" s="26"/>
      <c r="F37" s="1"/>
      <c r="H37" s="138"/>
      <c r="I37" s="880"/>
      <c r="J37" s="881"/>
      <c r="K37" s="875"/>
    </row>
    <row r="38" spans="1:11" ht="19.5" customHeight="1">
      <c r="A38" s="142" t="s">
        <v>414</v>
      </c>
      <c r="B38" s="137"/>
      <c r="C38" s="137"/>
      <c r="D38" s="26"/>
      <c r="E38" s="26"/>
      <c r="F38" s="1"/>
      <c r="H38" s="138">
        <v>274926652.8</v>
      </c>
      <c r="I38" s="880"/>
      <c r="K38" s="875"/>
    </row>
    <row r="39" spans="1:11" ht="19.5" customHeight="1">
      <c r="A39" s="142" t="s">
        <v>411</v>
      </c>
      <c r="B39" s="137"/>
      <c r="C39" s="137"/>
      <c r="D39" s="26"/>
      <c r="E39" s="26"/>
      <c r="F39" s="1"/>
      <c r="H39" s="138">
        <f>H38-D86+F86-F79</f>
        <v>274045021.66</v>
      </c>
      <c r="I39" s="880"/>
      <c r="K39" s="875"/>
    </row>
    <row r="40" spans="1:11" ht="19.5" customHeight="1">
      <c r="A40" s="142"/>
      <c r="B40" s="137" t="s">
        <v>357</v>
      </c>
      <c r="C40" s="137"/>
      <c r="D40" s="26"/>
      <c r="E40" s="26"/>
      <c r="F40" s="1"/>
      <c r="H40" s="138"/>
      <c r="I40" s="880"/>
      <c r="K40" s="875"/>
    </row>
    <row r="41" spans="1:11" ht="19.5" customHeight="1">
      <c r="A41" s="142"/>
      <c r="B41" s="258" t="s">
        <v>268</v>
      </c>
      <c r="C41" s="137"/>
      <c r="D41" s="26"/>
      <c r="E41" s="26"/>
      <c r="F41" s="1"/>
      <c r="H41" s="138"/>
      <c r="I41" s="880"/>
      <c r="K41" s="875"/>
    </row>
    <row r="42" spans="1:11" ht="19.5" customHeight="1">
      <c r="A42" s="142"/>
      <c r="B42" s="258" t="s">
        <v>269</v>
      </c>
      <c r="C42" s="140"/>
      <c r="D42" s="26"/>
      <c r="E42" s="26"/>
      <c r="F42" s="1"/>
      <c r="H42" s="1">
        <v>3398837.11</v>
      </c>
      <c r="I42" s="880"/>
      <c r="K42" s="875"/>
    </row>
    <row r="43" spans="1:11" ht="19.5" customHeight="1">
      <c r="A43" s="142"/>
      <c r="B43" s="258" t="s">
        <v>415</v>
      </c>
      <c r="C43" s="143"/>
      <c r="D43" s="258"/>
      <c r="E43" s="26"/>
      <c r="F43" s="1"/>
      <c r="H43" s="1">
        <f>H42-D84+F84</f>
        <v>3388153.11</v>
      </c>
      <c r="I43" s="880"/>
      <c r="K43" s="875"/>
    </row>
    <row r="44" spans="1:11" ht="19.5" customHeight="1">
      <c r="A44" s="142"/>
      <c r="B44" s="258"/>
      <c r="C44" s="143"/>
      <c r="D44" s="258"/>
      <c r="E44" s="26"/>
      <c r="F44" s="1"/>
      <c r="H44" s="1"/>
      <c r="I44" s="880"/>
      <c r="K44" s="875"/>
    </row>
    <row r="45" spans="1:11" ht="19.5" customHeight="1">
      <c r="A45" s="142"/>
      <c r="B45" s="258" t="s">
        <v>52</v>
      </c>
      <c r="C45" s="143"/>
      <c r="D45" s="258"/>
      <c r="E45" s="26"/>
      <c r="F45" s="1"/>
      <c r="H45" s="1"/>
      <c r="I45" s="880"/>
      <c r="K45" s="875"/>
    </row>
    <row r="46" spans="1:11" ht="19.5" customHeight="1">
      <c r="A46" s="142"/>
      <c r="B46" s="258" t="s">
        <v>286</v>
      </c>
      <c r="C46" s="143"/>
      <c r="D46" s="258"/>
      <c r="E46" s="26"/>
      <c r="F46" s="1"/>
      <c r="H46" s="1">
        <v>5700000</v>
      </c>
      <c r="I46" s="880"/>
      <c r="K46" s="875"/>
    </row>
    <row r="47" spans="1:11" ht="19.5" customHeight="1">
      <c r="A47" s="142"/>
      <c r="B47" s="258" t="s">
        <v>415</v>
      </c>
      <c r="C47" s="143"/>
      <c r="D47" s="258"/>
      <c r="E47" s="26"/>
      <c r="F47" s="1"/>
      <c r="H47" s="1">
        <f>H46+F85</f>
        <v>8377337.359999999</v>
      </c>
      <c r="I47" s="880"/>
      <c r="K47" s="875"/>
    </row>
    <row r="48" spans="1:11" ht="19.5" customHeight="1">
      <c r="A48" s="142"/>
      <c r="B48" s="258"/>
      <c r="C48" s="143"/>
      <c r="D48" s="258"/>
      <c r="E48" s="26"/>
      <c r="F48" s="1"/>
      <c r="H48" s="1"/>
      <c r="I48" s="880"/>
      <c r="K48" s="875"/>
    </row>
    <row r="49" spans="1:11" ht="19.5" customHeight="1">
      <c r="A49" s="142"/>
      <c r="B49" s="258" t="s">
        <v>53</v>
      </c>
      <c r="C49" s="143"/>
      <c r="D49" s="258"/>
      <c r="E49" s="26"/>
      <c r="F49" s="1"/>
      <c r="H49" s="1">
        <v>16000000</v>
      </c>
      <c r="I49" s="880"/>
      <c r="K49" s="875"/>
    </row>
    <row r="50" spans="1:11" ht="19.5" customHeight="1">
      <c r="A50" s="142"/>
      <c r="B50" s="258" t="s">
        <v>415</v>
      </c>
      <c r="C50" s="143"/>
      <c r="D50" s="258"/>
      <c r="E50" s="26"/>
      <c r="F50" s="1"/>
      <c r="H50" s="1">
        <f>H49-D76</f>
        <v>14000000</v>
      </c>
      <c r="I50" s="880"/>
      <c r="K50" s="875"/>
    </row>
    <row r="51" spans="1:11" ht="19.5" customHeight="1">
      <c r="A51" s="142"/>
      <c r="B51" s="258"/>
      <c r="C51" s="143"/>
      <c r="D51" s="258"/>
      <c r="E51" s="26"/>
      <c r="F51" s="1"/>
      <c r="H51" s="1"/>
      <c r="I51" s="880"/>
      <c r="K51" s="875"/>
    </row>
    <row r="52" spans="1:11" ht="19.5" customHeight="1">
      <c r="A52" s="142"/>
      <c r="B52" s="258"/>
      <c r="C52" s="143"/>
      <c r="D52" s="258"/>
      <c r="E52" s="26"/>
      <c r="F52" s="1"/>
      <c r="H52" s="1"/>
      <c r="I52" s="880"/>
      <c r="K52" s="875"/>
    </row>
    <row r="53" spans="1:11" ht="19.5" customHeight="1">
      <c r="A53" s="142" t="s">
        <v>299</v>
      </c>
      <c r="B53" s="137"/>
      <c r="C53" s="137"/>
      <c r="D53" s="26"/>
      <c r="E53" s="26"/>
      <c r="F53" s="1"/>
      <c r="H53" s="138">
        <v>16121613.82</v>
      </c>
      <c r="I53" s="880"/>
      <c r="K53" s="875"/>
    </row>
    <row r="54" spans="1:11" ht="19.5" customHeight="1">
      <c r="A54" s="142" t="s">
        <v>411</v>
      </c>
      <c r="B54" s="137"/>
      <c r="C54" s="137"/>
      <c r="D54" s="26"/>
      <c r="E54" s="26"/>
      <c r="F54" s="1"/>
      <c r="H54" s="138">
        <f>H53+F79</f>
        <v>16203273.52</v>
      </c>
      <c r="I54" s="880"/>
      <c r="K54" s="875"/>
    </row>
    <row r="55" spans="1:11" ht="19.5" customHeight="1">
      <c r="A55" s="142"/>
      <c r="B55" s="137"/>
      <c r="C55" s="137"/>
      <c r="D55" s="26"/>
      <c r="E55" s="149"/>
      <c r="F55" s="1"/>
      <c r="H55" s="1"/>
      <c r="I55" s="880"/>
      <c r="K55" s="875"/>
    </row>
    <row r="56" spans="1:11" ht="19.5" customHeight="1">
      <c r="A56" s="142"/>
      <c r="B56" s="258"/>
      <c r="C56" s="143"/>
      <c r="D56" s="258"/>
      <c r="E56" s="26"/>
      <c r="F56" s="1"/>
      <c r="H56" s="1"/>
      <c r="I56" s="880"/>
      <c r="K56" s="875"/>
    </row>
    <row r="57" spans="1:11" ht="19.5" customHeight="1">
      <c r="A57" s="136" t="s">
        <v>416</v>
      </c>
      <c r="B57" s="137"/>
      <c r="C57" s="137"/>
      <c r="D57" s="141"/>
      <c r="E57" s="149"/>
      <c r="F57" s="196"/>
      <c r="H57" s="138">
        <v>118414590.59</v>
      </c>
      <c r="I57" s="876"/>
      <c r="K57" s="875"/>
    </row>
    <row r="58" spans="1:11" ht="19.5" customHeight="1">
      <c r="A58" s="136" t="s">
        <v>411</v>
      </c>
      <c r="B58" s="137"/>
      <c r="C58" s="137"/>
      <c r="D58" s="141"/>
      <c r="E58" s="149"/>
      <c r="F58" s="196"/>
      <c r="H58" s="138">
        <f>H57-D101+F101</f>
        <v>119207550.75</v>
      </c>
      <c r="I58" s="876"/>
      <c r="K58" s="875"/>
    </row>
    <row r="59" spans="1:11" ht="19.5" customHeight="1">
      <c r="A59" s="139"/>
      <c r="B59" s="131" t="s">
        <v>413</v>
      </c>
      <c r="C59" s="140"/>
      <c r="D59" s="26"/>
      <c r="E59" s="149"/>
      <c r="F59" s="196"/>
      <c r="H59" s="138"/>
      <c r="I59" s="876"/>
      <c r="K59" s="875"/>
    </row>
    <row r="60" spans="1:11" ht="19.5" customHeight="1">
      <c r="A60" s="142" t="s">
        <v>414</v>
      </c>
      <c r="B60" s="137"/>
      <c r="C60" s="137"/>
      <c r="D60" s="26"/>
      <c r="E60" s="149"/>
      <c r="F60" s="196"/>
      <c r="H60" s="138">
        <v>113498290.59</v>
      </c>
      <c r="I60" s="876"/>
      <c r="K60" s="875"/>
    </row>
    <row r="61" spans="1:11" ht="19.5" customHeight="1">
      <c r="A61" s="142" t="s">
        <v>411</v>
      </c>
      <c r="B61" s="137"/>
      <c r="C61" s="137"/>
      <c r="D61" s="26"/>
      <c r="E61" s="149"/>
      <c r="F61" s="196"/>
      <c r="H61" s="138">
        <f>H60-D101+F101</f>
        <v>114291250.75</v>
      </c>
      <c r="I61" s="876"/>
      <c r="J61" s="882"/>
      <c r="K61" s="875"/>
    </row>
    <row r="62" spans="1:11" ht="19.5" customHeight="1">
      <c r="A62" s="142"/>
      <c r="B62" s="137" t="s">
        <v>357</v>
      </c>
      <c r="C62" s="137"/>
      <c r="D62" s="26"/>
      <c r="E62" s="149"/>
      <c r="F62" s="196"/>
      <c r="H62" s="138"/>
      <c r="I62" s="876"/>
      <c r="J62" s="882"/>
      <c r="K62" s="875"/>
    </row>
    <row r="63" spans="1:11" ht="19.5" customHeight="1">
      <c r="A63" s="142"/>
      <c r="B63" s="258" t="s">
        <v>285</v>
      </c>
      <c r="C63" s="143"/>
      <c r="D63" s="258"/>
      <c r="E63" s="149"/>
      <c r="F63" s="196"/>
      <c r="H63" s="138"/>
      <c r="I63" s="876"/>
      <c r="J63" s="882"/>
      <c r="K63" s="875"/>
    </row>
    <row r="64" spans="1:11" ht="19.5" customHeight="1">
      <c r="A64" s="142"/>
      <c r="B64" s="258" t="s">
        <v>286</v>
      </c>
      <c r="C64" s="143"/>
      <c r="D64" s="258"/>
      <c r="E64" s="149"/>
      <c r="F64" s="196"/>
      <c r="H64" s="1">
        <v>1700000</v>
      </c>
      <c r="I64" s="876"/>
      <c r="J64" s="882"/>
      <c r="K64" s="875"/>
    </row>
    <row r="65" spans="1:11" ht="19.5" customHeight="1">
      <c r="A65" s="142"/>
      <c r="B65" s="258" t="s">
        <v>415</v>
      </c>
      <c r="C65" s="143"/>
      <c r="D65" s="258"/>
      <c r="E65" s="149"/>
      <c r="F65" s="196"/>
      <c r="H65" s="1">
        <f>H64+F100</f>
        <v>2445061.16</v>
      </c>
      <c r="I65" s="876"/>
      <c r="J65" s="882"/>
      <c r="K65" s="875"/>
    </row>
    <row r="66" spans="1:11" ht="19.5" customHeight="1">
      <c r="A66" s="142"/>
      <c r="B66" s="137"/>
      <c r="C66" s="137"/>
      <c r="D66" s="26"/>
      <c r="E66" s="149"/>
      <c r="F66" s="196"/>
      <c r="H66" s="138"/>
      <c r="I66" s="876"/>
      <c r="J66" s="882"/>
      <c r="K66" s="875"/>
    </row>
    <row r="67" spans="1:11" ht="19.5" customHeight="1">
      <c r="A67" s="142"/>
      <c r="B67" s="137"/>
      <c r="C67" s="137"/>
      <c r="D67" s="26"/>
      <c r="E67" s="149"/>
      <c r="F67" s="196"/>
      <c r="H67" s="138"/>
      <c r="I67" s="876"/>
      <c r="J67" s="882"/>
      <c r="K67" s="875"/>
    </row>
    <row r="68" spans="1:11" ht="19.5" customHeight="1">
      <c r="A68" s="146" t="s">
        <v>443</v>
      </c>
      <c r="B68" s="147"/>
      <c r="C68" s="148"/>
      <c r="D68" s="149"/>
      <c r="E68" s="149"/>
      <c r="F68" s="150"/>
      <c r="G68" s="150"/>
      <c r="H68" s="151"/>
      <c r="I68" s="876"/>
      <c r="K68" s="875"/>
    </row>
    <row r="69" spans="1:11" ht="19.5" customHeight="1">
      <c r="A69" s="146"/>
      <c r="B69" s="147"/>
      <c r="C69" s="148"/>
      <c r="D69" s="149"/>
      <c r="E69" s="149"/>
      <c r="F69" s="150"/>
      <c r="G69" s="150"/>
      <c r="H69" s="151"/>
      <c r="I69" s="876"/>
      <c r="K69" s="875"/>
    </row>
    <row r="70" spans="1:11" ht="19.5" customHeight="1">
      <c r="A70" s="155" t="s">
        <v>442</v>
      </c>
      <c r="B70" s="156"/>
      <c r="C70" s="157"/>
      <c r="D70" s="145"/>
      <c r="E70" s="145"/>
      <c r="F70" s="154"/>
      <c r="G70" s="154"/>
      <c r="I70" s="876"/>
      <c r="K70" s="875"/>
    </row>
    <row r="71" spans="1:11" ht="19.5" customHeight="1">
      <c r="A71" s="152"/>
      <c r="B71" s="152"/>
      <c r="C71" s="152"/>
      <c r="D71" s="145"/>
      <c r="E71" s="145"/>
      <c r="F71" s="154"/>
      <c r="G71" s="154"/>
      <c r="I71" s="876"/>
      <c r="K71" s="875"/>
    </row>
    <row r="72" spans="1:11" ht="19.5" customHeight="1">
      <c r="A72" s="158"/>
      <c r="B72" s="158"/>
      <c r="C72" s="159"/>
      <c r="D72" s="10" t="s">
        <v>417</v>
      </c>
      <c r="E72" s="11"/>
      <c r="F72" s="10" t="s">
        <v>418</v>
      </c>
      <c r="G72" s="11"/>
      <c r="I72" s="876"/>
      <c r="K72" s="875"/>
    </row>
    <row r="73" spans="1:11" ht="19.5" customHeight="1">
      <c r="A73" s="160"/>
      <c r="B73" s="160"/>
      <c r="C73" s="161"/>
      <c r="D73" s="12" t="s">
        <v>358</v>
      </c>
      <c r="E73" s="11" t="s">
        <v>357</v>
      </c>
      <c r="F73" s="12" t="s">
        <v>358</v>
      </c>
      <c r="G73" s="11" t="s">
        <v>357</v>
      </c>
      <c r="I73" s="876"/>
      <c r="K73" s="875"/>
    </row>
    <row r="74" spans="1:11" ht="19.5" customHeight="1">
      <c r="A74" s="162" t="s">
        <v>360</v>
      </c>
      <c r="B74" s="162" t="s">
        <v>366</v>
      </c>
      <c r="C74" s="162" t="s">
        <v>361</v>
      </c>
      <c r="D74" s="13" t="s">
        <v>362</v>
      </c>
      <c r="E74" s="14" t="s">
        <v>363</v>
      </c>
      <c r="F74" s="13" t="s">
        <v>362</v>
      </c>
      <c r="G74" s="14" t="s">
        <v>363</v>
      </c>
      <c r="I74" s="876"/>
      <c r="K74" s="875"/>
    </row>
    <row r="75" spans="1:17" s="174" customFormat="1" ht="19.5" customHeight="1">
      <c r="A75" s="163" t="s">
        <v>319</v>
      </c>
      <c r="B75" s="166" t="s">
        <v>276</v>
      </c>
      <c r="C75" s="166" t="s">
        <v>40</v>
      </c>
      <c r="D75" s="540"/>
      <c r="E75" s="164"/>
      <c r="F75" s="164">
        <v>11872.69</v>
      </c>
      <c r="G75" s="179"/>
      <c r="H75" s="180"/>
      <c r="I75" s="876"/>
      <c r="J75" s="882"/>
      <c r="K75" s="875"/>
      <c r="L75" s="883"/>
      <c r="M75" s="883"/>
      <c r="N75" s="878"/>
      <c r="O75" s="878"/>
      <c r="P75" s="884"/>
      <c r="Q75" s="884"/>
    </row>
    <row r="76" spans="1:17" s="174" customFormat="1" ht="19.5" customHeight="1">
      <c r="A76" s="165" t="s">
        <v>47</v>
      </c>
      <c r="B76" s="204" t="s">
        <v>48</v>
      </c>
      <c r="C76" s="166" t="s">
        <v>50</v>
      </c>
      <c r="D76" s="164">
        <v>2000000</v>
      </c>
      <c r="E76" s="164"/>
      <c r="F76" s="164"/>
      <c r="G76" s="179"/>
      <c r="H76" s="180"/>
      <c r="I76" s="876"/>
      <c r="J76" s="882"/>
      <c r="K76" s="875"/>
      <c r="L76" s="883"/>
      <c r="M76" s="883"/>
      <c r="N76" s="878"/>
      <c r="O76" s="878"/>
      <c r="P76" s="884"/>
      <c r="Q76" s="884"/>
    </row>
    <row r="77" spans="1:17" s="174" customFormat="1" ht="19.5" customHeight="1">
      <c r="A77" s="165" t="s">
        <v>459</v>
      </c>
      <c r="B77" s="204" t="s">
        <v>322</v>
      </c>
      <c r="C77" s="166"/>
      <c r="D77" s="164">
        <f>SUM(D78:D79)</f>
        <v>1652398.52</v>
      </c>
      <c r="E77" s="164"/>
      <c r="F77" s="164">
        <f>SUM(F78:F79)</f>
        <v>81659.7</v>
      </c>
      <c r="G77" s="179"/>
      <c r="H77" s="180"/>
      <c r="I77" s="876"/>
      <c r="J77" s="882"/>
      <c r="K77" s="875"/>
      <c r="L77" s="883"/>
      <c r="M77" s="883"/>
      <c r="N77" s="878"/>
      <c r="O77" s="878"/>
      <c r="P77" s="884"/>
      <c r="Q77" s="884"/>
    </row>
    <row r="78" spans="1:11" ht="19.5" customHeight="1">
      <c r="A78" s="513"/>
      <c r="B78" s="167"/>
      <c r="C78" s="168" t="s">
        <v>316</v>
      </c>
      <c r="D78" s="169">
        <v>1652398.52</v>
      </c>
      <c r="E78" s="169"/>
      <c r="F78" s="169"/>
      <c r="G78" s="181"/>
      <c r="I78" s="885"/>
      <c r="K78" s="886"/>
    </row>
    <row r="79" spans="1:11" ht="19.5" customHeight="1">
      <c r="A79" s="355"/>
      <c r="B79" s="182"/>
      <c r="C79" s="168" t="s">
        <v>213</v>
      </c>
      <c r="D79" s="169"/>
      <c r="E79" s="169"/>
      <c r="F79" s="169">
        <f>51660+29999.7</f>
        <v>81659.7</v>
      </c>
      <c r="G79" s="181"/>
      <c r="I79" s="885"/>
      <c r="K79" s="886"/>
    </row>
    <row r="80" spans="1:17" s="174" customFormat="1" ht="19.5" customHeight="1">
      <c r="A80" s="744" t="s">
        <v>457</v>
      </c>
      <c r="B80" s="178"/>
      <c r="C80" s="166"/>
      <c r="D80" s="164">
        <f>D81+D82</f>
        <v>3958.67</v>
      </c>
      <c r="E80" s="164"/>
      <c r="F80" s="164">
        <f>F81+F82</f>
        <v>20000</v>
      </c>
      <c r="G80" s="179"/>
      <c r="H80" s="180"/>
      <c r="I80" s="876"/>
      <c r="J80" s="882"/>
      <c r="K80" s="875"/>
      <c r="L80" s="883"/>
      <c r="M80" s="883"/>
      <c r="N80" s="878"/>
      <c r="O80" s="878"/>
      <c r="P80" s="884"/>
      <c r="Q80" s="884"/>
    </row>
    <row r="81" spans="1:11" ht="19.5" customHeight="1">
      <c r="A81" s="170"/>
      <c r="B81" s="274" t="s">
        <v>317</v>
      </c>
      <c r="C81" s="173" t="s">
        <v>64</v>
      </c>
      <c r="D81" s="169"/>
      <c r="E81" s="169"/>
      <c r="F81" s="169">
        <v>20000</v>
      </c>
      <c r="G81" s="181"/>
      <c r="I81" s="885"/>
      <c r="K81" s="886"/>
    </row>
    <row r="82" spans="1:11" ht="19.5" customHeight="1">
      <c r="A82" s="170"/>
      <c r="B82" s="167" t="s">
        <v>75</v>
      </c>
      <c r="C82" s="583" t="s">
        <v>316</v>
      </c>
      <c r="D82" s="169">
        <v>3958.67</v>
      </c>
      <c r="E82" s="169"/>
      <c r="F82" s="169"/>
      <c r="G82" s="181"/>
      <c r="I82" s="885"/>
      <c r="K82" s="886"/>
    </row>
    <row r="83" spans="1:17" s="174" customFormat="1" ht="19.5" customHeight="1">
      <c r="A83" s="163" t="s">
        <v>229</v>
      </c>
      <c r="B83" s="165" t="s">
        <v>98</v>
      </c>
      <c r="C83" s="204" t="s">
        <v>230</v>
      </c>
      <c r="D83" s="164"/>
      <c r="E83" s="164"/>
      <c r="F83" s="164">
        <v>76200</v>
      </c>
      <c r="G83" s="179"/>
      <c r="H83" s="180"/>
      <c r="I83" s="876"/>
      <c r="J83" s="882"/>
      <c r="K83" s="875"/>
      <c r="L83" s="883"/>
      <c r="M83" s="883"/>
      <c r="N83" s="878"/>
      <c r="O83" s="878"/>
      <c r="P83" s="884"/>
      <c r="Q83" s="884"/>
    </row>
    <row r="84" spans="1:17" s="174" customFormat="1" ht="19.5" customHeight="1">
      <c r="A84" s="272" t="s">
        <v>76</v>
      </c>
      <c r="B84" s="163" t="s">
        <v>77</v>
      </c>
      <c r="C84" s="166" t="s">
        <v>78</v>
      </c>
      <c r="D84" s="164">
        <v>10684</v>
      </c>
      <c r="E84" s="164"/>
      <c r="F84" s="164"/>
      <c r="G84" s="179"/>
      <c r="H84" s="180"/>
      <c r="I84" s="876"/>
      <c r="J84" s="882"/>
      <c r="K84" s="875"/>
      <c r="L84" s="883"/>
      <c r="M84" s="883"/>
      <c r="N84" s="878"/>
      <c r="O84" s="878"/>
      <c r="P84" s="884"/>
      <c r="Q84" s="884"/>
    </row>
    <row r="85" spans="1:17" s="174" customFormat="1" ht="19.5" customHeight="1">
      <c r="A85" s="163" t="s">
        <v>314</v>
      </c>
      <c r="B85" s="166" t="s">
        <v>283</v>
      </c>
      <c r="C85" s="166" t="s">
        <v>284</v>
      </c>
      <c r="D85" s="164"/>
      <c r="E85" s="164"/>
      <c r="F85" s="164">
        <v>2677337.36</v>
      </c>
      <c r="G85" s="179"/>
      <c r="H85" s="180"/>
      <c r="I85" s="876"/>
      <c r="J85" s="882"/>
      <c r="K85" s="875"/>
      <c r="L85" s="883"/>
      <c r="M85" s="883"/>
      <c r="N85" s="878"/>
      <c r="O85" s="878"/>
      <c r="P85" s="884"/>
      <c r="Q85" s="884"/>
    </row>
    <row r="86" spans="1:17" s="33" customFormat="1" ht="19.5" customHeight="1">
      <c r="A86" s="354" t="s">
        <v>367</v>
      </c>
      <c r="B86" s="356"/>
      <c r="C86" s="166"/>
      <c r="D86" s="183">
        <f>D75+D76+D77+D80+D83+D84+D85</f>
        <v>3667041.19</v>
      </c>
      <c r="E86" s="183">
        <f>E75+E76+E77+E80+E83+E84+E85</f>
        <v>0</v>
      </c>
      <c r="F86" s="183">
        <f>F75+F76+F77+F80+F83+F84+F85</f>
        <v>2867069.75</v>
      </c>
      <c r="G86" s="183">
        <f>G75+G76+G77+G80+G83+G84+G85</f>
        <v>0</v>
      </c>
      <c r="H86" s="177"/>
      <c r="I86" s="572"/>
      <c r="J86" s="573"/>
      <c r="K86" s="573"/>
      <c r="L86" s="574"/>
      <c r="M86" s="574"/>
      <c r="N86" s="575"/>
      <c r="O86" s="575"/>
      <c r="P86" s="576"/>
      <c r="Q86" s="576"/>
    </row>
    <row r="87" spans="1:17" s="33" customFormat="1" ht="19.5" customHeight="1">
      <c r="A87" s="175"/>
      <c r="B87" s="176"/>
      <c r="C87" s="176"/>
      <c r="D87" s="177"/>
      <c r="E87" s="177"/>
      <c r="F87" s="177"/>
      <c r="G87" s="177"/>
      <c r="H87" s="177"/>
      <c r="I87" s="572"/>
      <c r="J87" s="573"/>
      <c r="K87" s="573"/>
      <c r="L87" s="574"/>
      <c r="M87" s="574"/>
      <c r="N87" s="575"/>
      <c r="O87" s="575"/>
      <c r="P87" s="576"/>
      <c r="Q87" s="576"/>
    </row>
    <row r="88" spans="1:17" s="33" customFormat="1" ht="19.5" customHeight="1">
      <c r="A88" s="175"/>
      <c r="B88" s="176"/>
      <c r="C88" s="176"/>
      <c r="D88" s="177"/>
      <c r="E88" s="177"/>
      <c r="F88" s="177"/>
      <c r="G88" s="177"/>
      <c r="H88" s="177"/>
      <c r="I88" s="572"/>
      <c r="J88" s="573"/>
      <c r="K88" s="573"/>
      <c r="L88" s="574"/>
      <c r="M88" s="574"/>
      <c r="N88" s="575"/>
      <c r="O88" s="575"/>
      <c r="P88" s="576"/>
      <c r="Q88" s="576"/>
    </row>
    <row r="89" spans="1:11" ht="19.5" customHeight="1">
      <c r="A89" s="146" t="s">
        <v>419</v>
      </c>
      <c r="B89" s="147"/>
      <c r="C89" s="148"/>
      <c r="D89" s="149"/>
      <c r="E89" s="149"/>
      <c r="F89" s="150"/>
      <c r="G89" s="150"/>
      <c r="H89" s="151"/>
      <c r="I89" s="876"/>
      <c r="K89" s="875"/>
    </row>
    <row r="90" spans="1:11" ht="19.5" customHeight="1">
      <c r="A90" s="146"/>
      <c r="B90" s="147"/>
      <c r="C90" s="148"/>
      <c r="D90" s="149"/>
      <c r="E90" s="149"/>
      <c r="F90" s="150"/>
      <c r="G90" s="150"/>
      <c r="H90" s="151"/>
      <c r="I90" s="876"/>
      <c r="K90" s="875"/>
    </row>
    <row r="91" spans="1:11" ht="19.5" customHeight="1">
      <c r="A91" s="155" t="s">
        <v>444</v>
      </c>
      <c r="B91" s="156"/>
      <c r="C91" s="157"/>
      <c r="D91" s="145"/>
      <c r="E91" s="145"/>
      <c r="F91" s="154"/>
      <c r="G91" s="154"/>
      <c r="I91" s="876"/>
      <c r="K91" s="875"/>
    </row>
    <row r="92" spans="1:11" ht="19.5" customHeight="1">
      <c r="A92" s="152"/>
      <c r="B92" s="152"/>
      <c r="C92" s="152"/>
      <c r="D92" s="145"/>
      <c r="E92" s="145"/>
      <c r="F92" s="154"/>
      <c r="G92" s="154"/>
      <c r="I92" s="876"/>
      <c r="K92" s="875"/>
    </row>
    <row r="93" spans="1:11" ht="19.5" customHeight="1">
      <c r="A93" s="158"/>
      <c r="B93" s="158"/>
      <c r="C93" s="159"/>
      <c r="D93" s="10" t="s">
        <v>417</v>
      </c>
      <c r="E93" s="11"/>
      <c r="F93" s="10" t="s">
        <v>418</v>
      </c>
      <c r="G93" s="11"/>
      <c r="I93" s="876"/>
      <c r="K93" s="875"/>
    </row>
    <row r="94" spans="1:11" ht="19.5" customHeight="1">
      <c r="A94" s="160"/>
      <c r="B94" s="160"/>
      <c r="C94" s="161"/>
      <c r="D94" s="12" t="s">
        <v>358</v>
      </c>
      <c r="E94" s="11" t="s">
        <v>357</v>
      </c>
      <c r="F94" s="12" t="s">
        <v>358</v>
      </c>
      <c r="G94" s="11" t="s">
        <v>357</v>
      </c>
      <c r="I94" s="876"/>
      <c r="K94" s="875"/>
    </row>
    <row r="95" spans="1:11" ht="19.5" customHeight="1">
      <c r="A95" s="162" t="s">
        <v>360</v>
      </c>
      <c r="B95" s="162" t="s">
        <v>366</v>
      </c>
      <c r="C95" s="162" t="s">
        <v>361</v>
      </c>
      <c r="D95" s="13" t="s">
        <v>362</v>
      </c>
      <c r="E95" s="14" t="s">
        <v>363</v>
      </c>
      <c r="F95" s="13" t="s">
        <v>362</v>
      </c>
      <c r="G95" s="14" t="s">
        <v>363</v>
      </c>
      <c r="I95" s="876"/>
      <c r="K95" s="875"/>
    </row>
    <row r="96" spans="1:17" s="174" customFormat="1" ht="19.5" customHeight="1">
      <c r="A96" s="165" t="s">
        <v>457</v>
      </c>
      <c r="B96" s="163"/>
      <c r="C96" s="163"/>
      <c r="D96" s="179"/>
      <c r="E96" s="569"/>
      <c r="F96" s="179">
        <f>F97+F98</f>
        <v>25542</v>
      </c>
      <c r="G96" s="569"/>
      <c r="H96" s="180"/>
      <c r="I96" s="876"/>
      <c r="J96" s="882"/>
      <c r="K96" s="875"/>
      <c r="L96" s="883"/>
      <c r="M96" s="883"/>
      <c r="N96" s="878"/>
      <c r="O96" s="878"/>
      <c r="P96" s="884"/>
      <c r="Q96" s="884"/>
    </row>
    <row r="97" spans="1:11" ht="19.5" customHeight="1">
      <c r="A97" s="167"/>
      <c r="B97" s="583" t="s">
        <v>79</v>
      </c>
      <c r="C97" s="274" t="s">
        <v>316</v>
      </c>
      <c r="D97" s="181"/>
      <c r="E97" s="594"/>
      <c r="F97" s="181">
        <v>5542</v>
      </c>
      <c r="G97" s="594"/>
      <c r="I97" s="885"/>
      <c r="K97" s="886"/>
    </row>
    <row r="98" spans="1:11" ht="19.5" customHeight="1">
      <c r="A98" s="182"/>
      <c r="B98" s="168" t="s">
        <v>281</v>
      </c>
      <c r="C98" s="274" t="s">
        <v>282</v>
      </c>
      <c r="D98" s="181"/>
      <c r="E98" s="594"/>
      <c r="F98" s="181">
        <v>20000</v>
      </c>
      <c r="G98" s="594"/>
      <c r="I98" s="885"/>
      <c r="K98" s="886"/>
    </row>
    <row r="99" spans="1:17" s="174" customFormat="1" ht="19.5" customHeight="1">
      <c r="A99" s="163" t="s">
        <v>76</v>
      </c>
      <c r="B99" s="166" t="s">
        <v>100</v>
      </c>
      <c r="C99" s="163" t="s">
        <v>316</v>
      </c>
      <c r="D99" s="179"/>
      <c r="E99" s="569"/>
      <c r="F99" s="179">
        <v>22357</v>
      </c>
      <c r="G99" s="569"/>
      <c r="H99" s="180"/>
      <c r="I99" s="876"/>
      <c r="J99" s="882"/>
      <c r="K99" s="875"/>
      <c r="L99" s="883"/>
      <c r="M99" s="883"/>
      <c r="N99" s="878"/>
      <c r="O99" s="878"/>
      <c r="P99" s="884"/>
      <c r="Q99" s="884"/>
    </row>
    <row r="100" spans="1:17" s="174" customFormat="1" ht="19.5" customHeight="1">
      <c r="A100" s="384" t="s">
        <v>314</v>
      </c>
      <c r="B100" s="384" t="s">
        <v>283</v>
      </c>
      <c r="C100" s="178" t="s">
        <v>284</v>
      </c>
      <c r="D100" s="179"/>
      <c r="E100" s="569"/>
      <c r="F100" s="179">
        <v>745061.16</v>
      </c>
      <c r="G100" s="569"/>
      <c r="H100" s="180"/>
      <c r="I100" s="876"/>
      <c r="J100" s="882"/>
      <c r="K100" s="875"/>
      <c r="L100" s="883"/>
      <c r="M100" s="883"/>
      <c r="N100" s="878"/>
      <c r="O100" s="878"/>
      <c r="P100" s="884"/>
      <c r="Q100" s="884"/>
    </row>
    <row r="101" spans="1:17" s="33" customFormat="1" ht="19.5" customHeight="1">
      <c r="A101" s="270" t="s">
        <v>367</v>
      </c>
      <c r="B101" s="271"/>
      <c r="C101" s="166"/>
      <c r="D101" s="183"/>
      <c r="E101" s="183"/>
      <c r="F101" s="183">
        <f>F96+F99+F100</f>
        <v>792960.16</v>
      </c>
      <c r="G101" s="183"/>
      <c r="H101" s="177"/>
      <c r="I101" s="572"/>
      <c r="J101" s="573"/>
      <c r="K101" s="573"/>
      <c r="L101" s="574"/>
      <c r="M101" s="574"/>
      <c r="N101" s="575"/>
      <c r="O101" s="575"/>
      <c r="P101" s="576"/>
      <c r="Q101" s="576"/>
    </row>
    <row r="102" spans="1:17" s="33" customFormat="1" ht="19.5" customHeight="1">
      <c r="A102" s="175"/>
      <c r="B102" s="176"/>
      <c r="C102" s="176"/>
      <c r="D102" s="177"/>
      <c r="E102" s="177"/>
      <c r="F102" s="177"/>
      <c r="G102" s="177"/>
      <c r="H102" s="177"/>
      <c r="I102" s="572"/>
      <c r="J102" s="573"/>
      <c r="K102" s="573"/>
      <c r="L102" s="574"/>
      <c r="M102" s="574"/>
      <c r="N102" s="575"/>
      <c r="O102" s="575"/>
      <c r="P102" s="576"/>
      <c r="Q102" s="576"/>
    </row>
    <row r="103" spans="1:17" s="33" customFormat="1" ht="19.5" customHeight="1">
      <c r="A103" s="175"/>
      <c r="B103" s="176"/>
      <c r="C103" s="176"/>
      <c r="D103" s="177"/>
      <c r="E103" s="177"/>
      <c r="F103" s="177"/>
      <c r="G103" s="177"/>
      <c r="H103" s="177"/>
      <c r="I103" s="572"/>
      <c r="J103" s="573"/>
      <c r="K103" s="573"/>
      <c r="L103" s="574"/>
      <c r="M103" s="574"/>
      <c r="N103" s="575"/>
      <c r="O103" s="575"/>
      <c r="P103" s="576"/>
      <c r="Q103" s="576"/>
    </row>
    <row r="104" spans="1:18" s="33" customFormat="1" ht="19.5" customHeight="1">
      <c r="A104" s="28" t="s">
        <v>42</v>
      </c>
      <c r="B104" s="28"/>
      <c r="C104" s="131"/>
      <c r="D104" s="2"/>
      <c r="E104" s="2"/>
      <c r="F104" s="2"/>
      <c r="G104" s="177"/>
      <c r="H104" s="177"/>
      <c r="I104" s="572"/>
      <c r="J104" s="573"/>
      <c r="K104" s="887"/>
      <c r="L104" s="574"/>
      <c r="M104" s="574"/>
      <c r="N104" s="575"/>
      <c r="O104" s="575"/>
      <c r="P104" s="576"/>
      <c r="Q104" s="576"/>
      <c r="R104" s="576"/>
    </row>
    <row r="105" spans="1:18" s="33" customFormat="1" ht="19.5" customHeight="1">
      <c r="A105" s="553" t="s">
        <v>43</v>
      </c>
      <c r="B105" s="28"/>
      <c r="C105" s="131"/>
      <c r="D105" s="2"/>
      <c r="E105" s="2"/>
      <c r="F105" s="2"/>
      <c r="G105" s="177"/>
      <c r="H105" s="177"/>
      <c r="I105" s="572"/>
      <c r="J105" s="573"/>
      <c r="K105" s="887"/>
      <c r="L105" s="574"/>
      <c r="M105" s="574"/>
      <c r="N105" s="575"/>
      <c r="O105" s="575"/>
      <c r="P105" s="576"/>
      <c r="Q105" s="576"/>
      <c r="R105" s="576"/>
    </row>
    <row r="106" spans="1:18" s="33" customFormat="1" ht="19.5" customHeight="1">
      <c r="A106" s="553" t="s">
        <v>44</v>
      </c>
      <c r="B106" s="28"/>
      <c r="C106" s="131"/>
      <c r="D106" s="2"/>
      <c r="E106" s="2"/>
      <c r="F106" s="2"/>
      <c r="G106" s="177"/>
      <c r="H106" s="177"/>
      <c r="I106" s="572"/>
      <c r="J106" s="573"/>
      <c r="K106" s="887"/>
      <c r="L106" s="888"/>
      <c r="M106" s="574"/>
      <c r="N106" s="575"/>
      <c r="O106" s="575"/>
      <c r="P106" s="576"/>
      <c r="Q106" s="576"/>
      <c r="R106" s="576"/>
    </row>
    <row r="107" spans="1:18" s="33" customFormat="1" ht="19.5" customHeight="1">
      <c r="A107" s="553"/>
      <c r="B107" s="28"/>
      <c r="C107" s="131"/>
      <c r="D107" s="2"/>
      <c r="E107" s="2"/>
      <c r="F107" s="2"/>
      <c r="G107" s="177"/>
      <c r="H107" s="177"/>
      <c r="I107" s="572"/>
      <c r="J107" s="573"/>
      <c r="K107" s="889"/>
      <c r="L107" s="575"/>
      <c r="M107" s="574"/>
      <c r="N107" s="575"/>
      <c r="O107" s="575"/>
      <c r="P107" s="576"/>
      <c r="Q107" s="576"/>
      <c r="R107" s="576"/>
    </row>
    <row r="108" spans="1:18" s="33" customFormat="1" ht="19.5" customHeight="1">
      <c r="A108" s="553"/>
      <c r="B108" s="28"/>
      <c r="C108" s="131"/>
      <c r="D108" s="2"/>
      <c r="E108" s="2"/>
      <c r="F108" s="2"/>
      <c r="G108" s="177"/>
      <c r="H108" s="177"/>
      <c r="I108" s="572"/>
      <c r="J108" s="573"/>
      <c r="K108" s="890"/>
      <c r="L108" s="575"/>
      <c r="M108" s="574"/>
      <c r="N108" s="575"/>
      <c r="O108" s="575"/>
      <c r="P108" s="576"/>
      <c r="Q108" s="576"/>
      <c r="R108" s="576"/>
    </row>
    <row r="109" spans="1:18" s="33" customFormat="1" ht="19.5" customHeight="1">
      <c r="A109" s="146" t="s">
        <v>427</v>
      </c>
      <c r="B109" s="28"/>
      <c r="C109" s="131"/>
      <c r="D109" s="2"/>
      <c r="E109" s="2"/>
      <c r="F109" s="2"/>
      <c r="G109" s="2"/>
      <c r="H109" s="24"/>
      <c r="I109" s="572"/>
      <c r="J109" s="573"/>
      <c r="K109" s="889"/>
      <c r="L109" s="468"/>
      <c r="M109" s="574"/>
      <c r="N109" s="575"/>
      <c r="O109" s="575"/>
      <c r="P109" s="576"/>
      <c r="Q109" s="576"/>
      <c r="R109" s="576"/>
    </row>
    <row r="110" spans="1:18" s="33" customFormat="1" ht="15" customHeight="1">
      <c r="A110" s="146"/>
      <c r="B110" s="28"/>
      <c r="C110" s="131"/>
      <c r="D110" s="2"/>
      <c r="E110" s="2"/>
      <c r="F110" s="2"/>
      <c r="G110" s="2"/>
      <c r="H110" s="24"/>
      <c r="I110" s="572"/>
      <c r="J110" s="573"/>
      <c r="K110" s="599"/>
      <c r="L110" s="480"/>
      <c r="M110" s="574"/>
      <c r="N110" s="575"/>
      <c r="O110" s="575"/>
      <c r="P110" s="576"/>
      <c r="Q110" s="576"/>
      <c r="R110" s="576"/>
    </row>
    <row r="111" spans="1:18" s="33" customFormat="1" ht="13.5" customHeight="1">
      <c r="A111" s="146"/>
      <c r="B111" s="28"/>
      <c r="C111" s="131"/>
      <c r="D111" s="2"/>
      <c r="E111" s="2"/>
      <c r="F111" s="2"/>
      <c r="G111" s="2"/>
      <c r="H111" s="24"/>
      <c r="I111" s="572"/>
      <c r="J111" s="573"/>
      <c r="K111" s="598"/>
      <c r="L111" s="574"/>
      <c r="M111" s="574"/>
      <c r="N111" s="575"/>
      <c r="O111" s="575"/>
      <c r="P111" s="576"/>
      <c r="Q111" s="576"/>
      <c r="R111" s="576"/>
    </row>
    <row r="112" spans="1:18" s="33" customFormat="1" ht="19.5" customHeight="1">
      <c r="A112" s="28" t="s">
        <v>41</v>
      </c>
      <c r="B112" s="28"/>
      <c r="C112" s="131"/>
      <c r="D112" s="2"/>
      <c r="E112" s="2"/>
      <c r="F112" s="2"/>
      <c r="G112" s="2"/>
      <c r="H112" s="138">
        <f>H114</f>
        <v>11872.69</v>
      </c>
      <c r="I112" s="572"/>
      <c r="J112" s="573"/>
      <c r="K112" s="598"/>
      <c r="L112" s="574"/>
      <c r="M112" s="574"/>
      <c r="N112" s="575"/>
      <c r="O112" s="575"/>
      <c r="P112" s="576"/>
      <c r="Q112" s="576"/>
      <c r="R112" s="576"/>
    </row>
    <row r="113" spans="1:18" s="33" customFormat="1" ht="19.5" customHeight="1">
      <c r="A113" s="28" t="s">
        <v>357</v>
      </c>
      <c r="B113" s="28"/>
      <c r="C113" s="131"/>
      <c r="D113" s="2"/>
      <c r="E113" s="2"/>
      <c r="F113" s="2"/>
      <c r="G113" s="2"/>
      <c r="H113" s="1"/>
      <c r="I113" s="572"/>
      <c r="J113" s="573"/>
      <c r="K113" s="598"/>
      <c r="L113" s="574"/>
      <c r="M113" s="574"/>
      <c r="N113" s="575"/>
      <c r="O113" s="575"/>
      <c r="P113" s="576"/>
      <c r="Q113" s="576"/>
      <c r="R113" s="576"/>
    </row>
    <row r="114" spans="1:18" s="33" customFormat="1" ht="19.5" customHeight="1">
      <c r="A114" s="28" t="s">
        <v>277</v>
      </c>
      <c r="B114" s="28"/>
      <c r="C114" s="131"/>
      <c r="D114" s="2"/>
      <c r="E114" s="2"/>
      <c r="F114" s="2"/>
      <c r="G114" s="2"/>
      <c r="H114" s="1">
        <v>11872.69</v>
      </c>
      <c r="I114" s="572"/>
      <c r="J114" s="573"/>
      <c r="K114" s="599"/>
      <c r="L114" s="574"/>
      <c r="M114" s="574"/>
      <c r="N114" s="575"/>
      <c r="O114" s="575"/>
      <c r="P114" s="576"/>
      <c r="Q114" s="576"/>
      <c r="R114" s="576"/>
    </row>
    <row r="115" spans="1:18" s="33" customFormat="1" ht="19.5" customHeight="1">
      <c r="A115" s="28"/>
      <c r="B115" s="28"/>
      <c r="C115" s="131"/>
      <c r="D115" s="2"/>
      <c r="E115" s="2"/>
      <c r="F115" s="2"/>
      <c r="G115" s="2"/>
      <c r="H115" s="1"/>
      <c r="I115" s="572"/>
      <c r="J115" s="573"/>
      <c r="K115" s="599"/>
      <c r="L115" s="574"/>
      <c r="M115" s="574"/>
      <c r="N115" s="575"/>
      <c r="O115" s="575"/>
      <c r="P115" s="576"/>
      <c r="Q115" s="576"/>
      <c r="R115" s="576"/>
    </row>
    <row r="116" spans="1:18" s="33" customFormat="1" ht="19.5" customHeight="1">
      <c r="A116" s="28"/>
      <c r="B116" s="28"/>
      <c r="C116" s="131"/>
      <c r="D116" s="2"/>
      <c r="E116" s="2"/>
      <c r="F116" s="2"/>
      <c r="G116" s="2"/>
      <c r="H116" s="1"/>
      <c r="I116" s="572"/>
      <c r="J116" s="573"/>
      <c r="K116" s="599"/>
      <c r="L116" s="574"/>
      <c r="M116" s="574"/>
      <c r="N116" s="575"/>
      <c r="O116" s="575"/>
      <c r="P116" s="576"/>
      <c r="Q116" s="576"/>
      <c r="R116" s="576"/>
    </row>
    <row r="117" spans="1:18" s="33" customFormat="1" ht="19.5" customHeight="1">
      <c r="A117" s="28" t="s">
        <v>398</v>
      </c>
      <c r="B117" s="28"/>
      <c r="C117" s="131"/>
      <c r="D117" s="2"/>
      <c r="E117" s="2"/>
      <c r="F117" s="2"/>
      <c r="G117" s="2"/>
      <c r="H117" s="138">
        <f>H119</f>
        <v>11872.69</v>
      </c>
      <c r="I117" s="572"/>
      <c r="J117" s="573"/>
      <c r="K117" s="573"/>
      <c r="L117" s="574"/>
      <c r="M117" s="574"/>
      <c r="N117" s="575"/>
      <c r="O117" s="575"/>
      <c r="P117" s="576"/>
      <c r="Q117" s="576"/>
      <c r="R117" s="576"/>
    </row>
    <row r="118" spans="1:18" s="33" customFormat="1" ht="19.5" customHeight="1">
      <c r="A118" s="28" t="s">
        <v>357</v>
      </c>
      <c r="B118" s="28"/>
      <c r="C118" s="131"/>
      <c r="D118" s="2"/>
      <c r="E118" s="2"/>
      <c r="F118" s="2"/>
      <c r="G118" s="2"/>
      <c r="H118" s="1"/>
      <c r="I118" s="572"/>
      <c r="J118" s="573"/>
      <c r="K118" s="573"/>
      <c r="L118" s="574"/>
      <c r="M118" s="574"/>
      <c r="N118" s="575"/>
      <c r="O118" s="575"/>
      <c r="P118" s="576"/>
      <c r="Q118" s="576"/>
      <c r="R118" s="576"/>
    </row>
    <row r="119" spans="1:18" s="33" customFormat="1" ht="19.5" customHeight="1">
      <c r="A119" s="28" t="s">
        <v>278</v>
      </c>
      <c r="B119" s="28"/>
      <c r="C119" s="131"/>
      <c r="D119" s="2"/>
      <c r="E119" s="2"/>
      <c r="F119" s="2"/>
      <c r="G119" s="2"/>
      <c r="H119" s="1">
        <v>11872.69</v>
      </c>
      <c r="I119" s="572"/>
      <c r="J119" s="573"/>
      <c r="K119" s="573"/>
      <c r="L119" s="574"/>
      <c r="M119" s="574"/>
      <c r="N119" s="575"/>
      <c r="O119" s="575"/>
      <c r="P119" s="576"/>
      <c r="Q119" s="576"/>
      <c r="R119" s="576"/>
    </row>
    <row r="120" spans="1:17" s="33" customFormat="1" ht="19.5" customHeight="1">
      <c r="A120" s="175"/>
      <c r="B120" s="176"/>
      <c r="C120" s="176"/>
      <c r="D120" s="177"/>
      <c r="E120" s="177"/>
      <c r="F120" s="177"/>
      <c r="G120" s="177"/>
      <c r="H120" s="177"/>
      <c r="I120" s="572"/>
      <c r="J120" s="573"/>
      <c r="K120" s="573"/>
      <c r="L120" s="574"/>
      <c r="M120" s="574"/>
      <c r="N120" s="575"/>
      <c r="O120" s="575"/>
      <c r="P120" s="576"/>
      <c r="Q120" s="576"/>
    </row>
    <row r="121" spans="1:17" s="33" customFormat="1" ht="19.5" customHeight="1">
      <c r="A121" s="175"/>
      <c r="B121" s="176"/>
      <c r="C121" s="176"/>
      <c r="D121" s="177"/>
      <c r="E121" s="177"/>
      <c r="F121" s="177"/>
      <c r="G121" s="177"/>
      <c r="H121" s="177"/>
      <c r="I121" s="572"/>
      <c r="J121" s="573"/>
      <c r="K121" s="573"/>
      <c r="L121" s="574"/>
      <c r="M121" s="574"/>
      <c r="N121" s="575"/>
      <c r="O121" s="575"/>
      <c r="P121" s="576"/>
      <c r="Q121" s="576"/>
    </row>
    <row r="122" spans="1:17" s="33" customFormat="1" ht="19.5" customHeight="1">
      <c r="A122" s="28" t="s">
        <v>85</v>
      </c>
      <c r="B122" s="28"/>
      <c r="C122" s="131"/>
      <c r="D122" s="2"/>
      <c r="E122" s="2"/>
      <c r="F122" s="2"/>
      <c r="G122" s="177"/>
      <c r="H122" s="177"/>
      <c r="I122" s="572"/>
      <c r="J122" s="573"/>
      <c r="K122" s="573"/>
      <c r="L122" s="574"/>
      <c r="M122" s="574"/>
      <c r="N122" s="575"/>
      <c r="O122" s="575"/>
      <c r="P122" s="576"/>
      <c r="Q122" s="576"/>
    </row>
    <row r="123" spans="1:17" s="33" customFormat="1" ht="19.5" customHeight="1">
      <c r="A123" s="553" t="s">
        <v>83</v>
      </c>
      <c r="B123" s="28"/>
      <c r="C123" s="131"/>
      <c r="D123" s="2"/>
      <c r="E123" s="2"/>
      <c r="F123" s="2"/>
      <c r="G123" s="177"/>
      <c r="H123" s="177"/>
      <c r="I123" s="572"/>
      <c r="J123" s="573"/>
      <c r="K123" s="573"/>
      <c r="L123" s="574"/>
      <c r="M123" s="574"/>
      <c r="N123" s="575"/>
      <c r="O123" s="575"/>
      <c r="P123" s="576"/>
      <c r="Q123" s="576"/>
    </row>
    <row r="124" spans="1:17" s="33" customFormat="1" ht="19.5" customHeight="1">
      <c r="A124" s="28" t="s">
        <v>84</v>
      </c>
      <c r="B124" s="28"/>
      <c r="C124" s="131"/>
      <c r="D124" s="2"/>
      <c r="E124" s="2"/>
      <c r="F124" s="2"/>
      <c r="G124" s="177"/>
      <c r="H124" s="177"/>
      <c r="I124" s="572"/>
      <c r="J124" s="573"/>
      <c r="K124" s="573"/>
      <c r="L124" s="574"/>
      <c r="M124" s="574"/>
      <c r="N124" s="575"/>
      <c r="O124" s="575"/>
      <c r="P124" s="576"/>
      <c r="Q124" s="576"/>
    </row>
    <row r="125" spans="1:17" s="33" customFormat="1" ht="19.5" customHeight="1">
      <c r="A125" s="175"/>
      <c r="B125" s="176"/>
      <c r="C125" s="176"/>
      <c r="D125" s="177"/>
      <c r="E125" s="177"/>
      <c r="F125" s="177"/>
      <c r="G125" s="177"/>
      <c r="H125" s="177"/>
      <c r="I125" s="572"/>
      <c r="J125" s="573"/>
      <c r="K125" s="573"/>
      <c r="L125" s="574"/>
      <c r="M125" s="574"/>
      <c r="N125" s="575"/>
      <c r="O125" s="575"/>
      <c r="P125" s="576"/>
      <c r="Q125" s="576"/>
    </row>
    <row r="126" spans="1:17" s="33" customFormat="1" ht="19.5" customHeight="1">
      <c r="A126" s="175"/>
      <c r="B126" s="176"/>
      <c r="C126" s="176"/>
      <c r="D126" s="177"/>
      <c r="E126" s="177"/>
      <c r="F126" s="177"/>
      <c r="G126" s="177"/>
      <c r="H126" s="177"/>
      <c r="I126" s="572"/>
      <c r="J126" s="573"/>
      <c r="K126" s="573"/>
      <c r="L126" s="574"/>
      <c r="M126" s="574"/>
      <c r="N126" s="575"/>
      <c r="O126" s="575"/>
      <c r="P126" s="576"/>
      <c r="Q126" s="576"/>
    </row>
    <row r="127" spans="1:17" s="33" customFormat="1" ht="19.5" customHeight="1">
      <c r="A127" s="146" t="s">
        <v>427</v>
      </c>
      <c r="B127" s="28"/>
      <c r="C127" s="131"/>
      <c r="D127" s="2"/>
      <c r="E127" s="2"/>
      <c r="F127" s="2"/>
      <c r="G127" s="2"/>
      <c r="H127" s="24"/>
      <c r="I127" s="572"/>
      <c r="J127" s="573"/>
      <c r="K127" s="573"/>
      <c r="L127" s="574"/>
      <c r="M127" s="574"/>
      <c r="N127" s="575"/>
      <c r="O127" s="575"/>
      <c r="P127" s="576"/>
      <c r="Q127" s="576"/>
    </row>
    <row r="128" spans="1:17" s="33" customFormat="1" ht="16.5" customHeight="1">
      <c r="A128" s="146"/>
      <c r="B128" s="28"/>
      <c r="C128" s="131"/>
      <c r="D128" s="2"/>
      <c r="E128" s="2"/>
      <c r="F128" s="2"/>
      <c r="G128" s="2"/>
      <c r="H128" s="24"/>
      <c r="I128" s="572"/>
      <c r="J128" s="573"/>
      <c r="K128" s="573"/>
      <c r="L128" s="574"/>
      <c r="M128" s="574"/>
      <c r="N128" s="575"/>
      <c r="O128" s="575"/>
      <c r="P128" s="576"/>
      <c r="Q128" s="576"/>
    </row>
    <row r="129" spans="1:17" s="33" customFormat="1" ht="13.5" customHeight="1">
      <c r="A129" s="146"/>
      <c r="B129" s="28"/>
      <c r="C129" s="131"/>
      <c r="D129" s="2"/>
      <c r="E129" s="2"/>
      <c r="F129" s="2"/>
      <c r="G129" s="2"/>
      <c r="H129" s="24"/>
      <c r="I129" s="572"/>
      <c r="J129" s="573"/>
      <c r="K129" s="573"/>
      <c r="L129" s="574"/>
      <c r="M129" s="574"/>
      <c r="N129" s="575"/>
      <c r="O129" s="575"/>
      <c r="P129" s="576"/>
      <c r="Q129" s="576"/>
    </row>
    <row r="130" spans="1:17" s="33" customFormat="1" ht="19.5" customHeight="1">
      <c r="A130" s="28" t="s">
        <v>41</v>
      </c>
      <c r="B130" s="28"/>
      <c r="C130" s="131"/>
      <c r="D130" s="2"/>
      <c r="E130" s="2"/>
      <c r="F130" s="2"/>
      <c r="G130" s="2"/>
      <c r="H130" s="138">
        <f>H132</f>
        <v>76200</v>
      </c>
      <c r="I130" s="572"/>
      <c r="J130" s="573"/>
      <c r="K130" s="573"/>
      <c r="L130" s="574"/>
      <c r="M130" s="574"/>
      <c r="N130" s="575"/>
      <c r="O130" s="575"/>
      <c r="P130" s="576"/>
      <c r="Q130" s="576"/>
    </row>
    <row r="131" spans="1:17" s="33" customFormat="1" ht="19.5" customHeight="1">
      <c r="A131" s="28" t="s">
        <v>357</v>
      </c>
      <c r="B131" s="28"/>
      <c r="C131" s="131"/>
      <c r="D131" s="2"/>
      <c r="E131" s="2"/>
      <c r="F131" s="2"/>
      <c r="G131" s="2"/>
      <c r="H131" s="1"/>
      <c r="I131" s="572"/>
      <c r="J131" s="573"/>
      <c r="K131" s="573"/>
      <c r="L131" s="574"/>
      <c r="M131" s="574"/>
      <c r="N131" s="575"/>
      <c r="O131" s="575"/>
      <c r="P131" s="576"/>
      <c r="Q131" s="576"/>
    </row>
    <row r="132" spans="1:17" s="33" customFormat="1" ht="19.5" customHeight="1">
      <c r="A132" s="28" t="s">
        <v>86</v>
      </c>
      <c r="B132" s="28"/>
      <c r="C132" s="131"/>
      <c r="D132" s="2"/>
      <c r="E132" s="2"/>
      <c r="F132" s="2"/>
      <c r="G132" s="2"/>
      <c r="H132" s="1">
        <v>76200</v>
      </c>
      <c r="I132" s="572"/>
      <c r="J132" s="573"/>
      <c r="K132" s="573"/>
      <c r="L132" s="574"/>
      <c r="M132" s="574"/>
      <c r="N132" s="575"/>
      <c r="O132" s="575"/>
      <c r="P132" s="576"/>
      <c r="Q132" s="576"/>
    </row>
    <row r="133" spans="1:17" s="33" customFormat="1" ht="19.5" customHeight="1">
      <c r="A133" s="28"/>
      <c r="B133" s="28"/>
      <c r="C133" s="131"/>
      <c r="D133" s="2"/>
      <c r="E133" s="2"/>
      <c r="F133" s="2"/>
      <c r="G133" s="2"/>
      <c r="H133" s="1"/>
      <c r="I133" s="572"/>
      <c r="J133" s="573"/>
      <c r="K133" s="573"/>
      <c r="L133" s="574"/>
      <c r="M133" s="574"/>
      <c r="N133" s="575"/>
      <c r="O133" s="575"/>
      <c r="P133" s="576"/>
      <c r="Q133" s="576"/>
    </row>
    <row r="134" spans="1:17" s="33" customFormat="1" ht="19.5" customHeight="1">
      <c r="A134" s="28"/>
      <c r="B134" s="28"/>
      <c r="C134" s="131"/>
      <c r="D134" s="2"/>
      <c r="E134" s="2"/>
      <c r="F134" s="2"/>
      <c r="G134" s="2"/>
      <c r="H134" s="1"/>
      <c r="I134" s="572"/>
      <c r="J134" s="573"/>
      <c r="K134" s="573"/>
      <c r="L134" s="574"/>
      <c r="M134" s="574"/>
      <c r="N134" s="575"/>
      <c r="O134" s="575"/>
      <c r="P134" s="576"/>
      <c r="Q134" s="576"/>
    </row>
    <row r="135" spans="1:17" s="33" customFormat="1" ht="19.5" customHeight="1">
      <c r="A135" s="28" t="s">
        <v>398</v>
      </c>
      <c r="B135" s="28"/>
      <c r="C135" s="131"/>
      <c r="D135" s="2"/>
      <c r="E135" s="2"/>
      <c r="F135" s="2"/>
      <c r="G135" s="2"/>
      <c r="H135" s="138">
        <f>H137</f>
        <v>76200</v>
      </c>
      <c r="I135" s="572"/>
      <c r="J135" s="573"/>
      <c r="K135" s="573"/>
      <c r="L135" s="574"/>
      <c r="M135" s="574"/>
      <c r="N135" s="575"/>
      <c r="O135" s="575"/>
      <c r="P135" s="576"/>
      <c r="Q135" s="576"/>
    </row>
    <row r="136" spans="1:17" s="33" customFormat="1" ht="19.5" customHeight="1">
      <c r="A136" s="28" t="s">
        <v>357</v>
      </c>
      <c r="B136" s="28"/>
      <c r="C136" s="131"/>
      <c r="D136" s="2"/>
      <c r="E136" s="2"/>
      <c r="F136" s="2"/>
      <c r="G136" s="2"/>
      <c r="H136" s="1"/>
      <c r="I136" s="572"/>
      <c r="J136" s="573"/>
      <c r="K136" s="573"/>
      <c r="L136" s="574"/>
      <c r="M136" s="574"/>
      <c r="N136" s="575"/>
      <c r="O136" s="575"/>
      <c r="P136" s="576"/>
      <c r="Q136" s="576"/>
    </row>
    <row r="137" spans="1:17" s="33" customFormat="1" ht="19.5" customHeight="1">
      <c r="A137" s="28" t="s">
        <v>87</v>
      </c>
      <c r="B137" s="28"/>
      <c r="C137" s="131"/>
      <c r="D137" s="2"/>
      <c r="E137" s="2"/>
      <c r="F137" s="2"/>
      <c r="G137" s="2"/>
      <c r="H137" s="1">
        <f>SUM(H139:H145)</f>
        <v>76200</v>
      </c>
      <c r="I137" s="572"/>
      <c r="J137" s="573"/>
      <c r="K137" s="573"/>
      <c r="L137" s="574"/>
      <c r="M137" s="574"/>
      <c r="N137" s="575"/>
      <c r="O137" s="575"/>
      <c r="P137" s="576"/>
      <c r="Q137" s="576"/>
    </row>
    <row r="138" spans="1:17" s="364" customFormat="1" ht="19.5" customHeight="1">
      <c r="A138" s="219" t="s">
        <v>357</v>
      </c>
      <c r="B138" s="208"/>
      <c r="C138" s="208"/>
      <c r="D138" s="601"/>
      <c r="E138" s="601"/>
      <c r="F138" s="601"/>
      <c r="G138" s="601"/>
      <c r="H138" s="601"/>
      <c r="I138" s="891"/>
      <c r="J138" s="892"/>
      <c r="K138" s="892"/>
      <c r="L138" s="893"/>
      <c r="M138" s="893"/>
      <c r="N138" s="894"/>
      <c r="O138" s="894"/>
      <c r="P138" s="895"/>
      <c r="Q138" s="895"/>
    </row>
    <row r="139" spans="1:17" s="364" customFormat="1" ht="19.5" customHeight="1">
      <c r="A139" s="219"/>
      <c r="B139" s="219" t="s">
        <v>88</v>
      </c>
      <c r="C139" s="208"/>
      <c r="D139" s="601"/>
      <c r="E139" s="601"/>
      <c r="F139" s="601"/>
      <c r="G139" s="601"/>
      <c r="H139" s="601">
        <v>6300</v>
      </c>
      <c r="I139" s="891"/>
      <c r="J139" s="892"/>
      <c r="K139" s="892"/>
      <c r="L139" s="893"/>
      <c r="M139" s="893"/>
      <c r="N139" s="894"/>
      <c r="O139" s="894"/>
      <c r="P139" s="895"/>
      <c r="Q139" s="895"/>
    </row>
    <row r="140" spans="1:17" s="364" customFormat="1" ht="19.5" customHeight="1">
      <c r="A140" s="219"/>
      <c r="B140" s="219" t="s">
        <v>89</v>
      </c>
      <c r="C140" s="208"/>
      <c r="D140" s="601"/>
      <c r="E140" s="601"/>
      <c r="F140" s="601"/>
      <c r="G140" s="601"/>
      <c r="H140" s="601">
        <v>1103</v>
      </c>
      <c r="I140" s="891"/>
      <c r="J140" s="892"/>
      <c r="K140" s="892"/>
      <c r="L140" s="893"/>
      <c r="M140" s="893"/>
      <c r="N140" s="894"/>
      <c r="O140" s="894"/>
      <c r="P140" s="895"/>
      <c r="Q140" s="895"/>
    </row>
    <row r="141" spans="1:17" s="364" customFormat="1" ht="19.5" customHeight="1">
      <c r="A141" s="219"/>
      <c r="B141" s="219" t="s">
        <v>90</v>
      </c>
      <c r="C141" s="208"/>
      <c r="D141" s="601"/>
      <c r="E141" s="601"/>
      <c r="F141" s="601"/>
      <c r="G141" s="601"/>
      <c r="H141" s="601">
        <v>157</v>
      </c>
      <c r="I141" s="891"/>
      <c r="J141" s="892"/>
      <c r="K141" s="892"/>
      <c r="L141" s="893"/>
      <c r="M141" s="893"/>
      <c r="N141" s="894"/>
      <c r="O141" s="894"/>
      <c r="P141" s="895"/>
      <c r="Q141" s="895"/>
    </row>
    <row r="142" spans="1:17" s="364" customFormat="1" ht="19.5" customHeight="1">
      <c r="A142" s="219"/>
      <c r="B142" s="219" t="s">
        <v>91</v>
      </c>
      <c r="C142" s="208"/>
      <c r="D142" s="601"/>
      <c r="E142" s="601"/>
      <c r="F142" s="601"/>
      <c r="G142" s="601"/>
      <c r="H142" s="601">
        <v>2250</v>
      </c>
      <c r="I142" s="891"/>
      <c r="J142" s="892"/>
      <c r="K142" s="892"/>
      <c r="L142" s="893"/>
      <c r="M142" s="893"/>
      <c r="N142" s="894"/>
      <c r="O142" s="894"/>
      <c r="P142" s="895"/>
      <c r="Q142" s="895"/>
    </row>
    <row r="143" spans="1:17" s="364" customFormat="1" ht="19.5" customHeight="1">
      <c r="A143" s="219"/>
      <c r="B143" s="219" t="s">
        <v>92</v>
      </c>
      <c r="C143" s="208"/>
      <c r="D143" s="601"/>
      <c r="E143" s="601"/>
      <c r="F143" s="601"/>
      <c r="G143" s="601"/>
      <c r="H143" s="601">
        <v>490</v>
      </c>
      <c r="I143" s="891"/>
      <c r="J143" s="892"/>
      <c r="K143" s="892"/>
      <c r="L143" s="893"/>
      <c r="M143" s="893"/>
      <c r="N143" s="894"/>
      <c r="O143" s="894"/>
      <c r="P143" s="895"/>
      <c r="Q143" s="895"/>
    </row>
    <row r="144" spans="1:17" s="364" customFormat="1" ht="19.5" customHeight="1">
      <c r="A144" s="219"/>
      <c r="B144" s="219" t="s">
        <v>93</v>
      </c>
      <c r="C144" s="208"/>
      <c r="D144" s="601"/>
      <c r="E144" s="601"/>
      <c r="F144" s="601"/>
      <c r="G144" s="601"/>
      <c r="H144" s="601">
        <v>1000</v>
      </c>
      <c r="I144" s="891"/>
      <c r="J144" s="892"/>
      <c r="K144" s="892"/>
      <c r="L144" s="893"/>
      <c r="M144" s="893"/>
      <c r="N144" s="894"/>
      <c r="O144" s="894"/>
      <c r="P144" s="895"/>
      <c r="Q144" s="895"/>
    </row>
    <row r="145" spans="1:17" s="364" customFormat="1" ht="19.5" customHeight="1">
      <c r="A145" s="219"/>
      <c r="B145" s="219" t="s">
        <v>94</v>
      </c>
      <c r="C145" s="208"/>
      <c r="D145" s="601"/>
      <c r="E145" s="601"/>
      <c r="F145" s="601"/>
      <c r="G145" s="601"/>
      <c r="H145" s="601">
        <v>64900</v>
      </c>
      <c r="I145" s="891"/>
      <c r="J145" s="892"/>
      <c r="K145" s="892"/>
      <c r="L145" s="893"/>
      <c r="M145" s="893"/>
      <c r="N145" s="894"/>
      <c r="O145" s="894"/>
      <c r="P145" s="895"/>
      <c r="Q145" s="895"/>
    </row>
    <row r="146" spans="1:17" s="364" customFormat="1" ht="19.5" customHeight="1">
      <c r="A146" s="219"/>
      <c r="B146" s="219"/>
      <c r="C146" s="208"/>
      <c r="D146" s="601"/>
      <c r="E146" s="601"/>
      <c r="F146" s="601"/>
      <c r="G146" s="601"/>
      <c r="H146" s="601"/>
      <c r="I146" s="891"/>
      <c r="J146" s="892"/>
      <c r="K146" s="892"/>
      <c r="L146" s="893"/>
      <c r="M146" s="893"/>
      <c r="N146" s="894"/>
      <c r="O146" s="894"/>
      <c r="P146" s="895"/>
      <c r="Q146" s="895"/>
    </row>
    <row r="147" spans="1:17" s="364" customFormat="1" ht="19.5" customHeight="1">
      <c r="A147" s="219"/>
      <c r="B147" s="208"/>
      <c r="C147" s="208"/>
      <c r="D147" s="601"/>
      <c r="E147" s="601"/>
      <c r="F147" s="601"/>
      <c r="G147" s="601"/>
      <c r="H147" s="601"/>
      <c r="I147" s="891"/>
      <c r="J147" s="892"/>
      <c r="K147" s="892"/>
      <c r="L147" s="893"/>
      <c r="M147" s="893"/>
      <c r="N147" s="894"/>
      <c r="O147" s="894"/>
      <c r="P147" s="895"/>
      <c r="Q147" s="895"/>
    </row>
    <row r="148" spans="1:17" s="28" customFormat="1" ht="19.5" customHeight="1">
      <c r="A148" s="134" t="s">
        <v>243</v>
      </c>
      <c r="B148" s="185"/>
      <c r="C148" s="186"/>
      <c r="H148" s="1"/>
      <c r="I148" s="876"/>
      <c r="J148" s="861"/>
      <c r="K148" s="896"/>
      <c r="L148" s="861"/>
      <c r="M148" s="861"/>
      <c r="N148" s="870"/>
      <c r="O148" s="870"/>
      <c r="P148" s="871"/>
      <c r="Q148" s="871"/>
    </row>
    <row r="149" spans="1:23" ht="19.5" customHeight="1">
      <c r="A149" s="184"/>
      <c r="B149" s="184"/>
      <c r="C149" s="184"/>
      <c r="D149" s="28"/>
      <c r="E149" s="28"/>
      <c r="F149" s="28"/>
      <c r="G149" s="28"/>
      <c r="H149" s="1"/>
      <c r="I149" s="897"/>
      <c r="J149" s="556"/>
      <c r="K149" s="599"/>
      <c r="L149" s="898"/>
      <c r="M149" s="898"/>
      <c r="N149" s="899"/>
      <c r="O149" s="899"/>
      <c r="P149" s="12"/>
      <c r="Q149" s="900"/>
      <c r="R149" s="187"/>
      <c r="S149" s="187"/>
      <c r="T149" s="187"/>
      <c r="U149" s="187"/>
      <c r="V149" s="187"/>
      <c r="W149" s="187"/>
    </row>
    <row r="150" spans="1:23" ht="19.5" customHeight="1">
      <c r="A150" s="134"/>
      <c r="B150" s="185"/>
      <c r="C150" s="186"/>
      <c r="D150" s="16"/>
      <c r="E150" s="16"/>
      <c r="F150" s="16"/>
      <c r="G150" s="16"/>
      <c r="H150" s="17"/>
      <c r="I150" s="901"/>
      <c r="J150" s="902"/>
      <c r="K150" s="599"/>
      <c r="L150" s="898"/>
      <c r="M150" s="898"/>
      <c r="N150" s="899"/>
      <c r="O150" s="899"/>
      <c r="P150" s="12"/>
      <c r="Q150" s="900"/>
      <c r="R150" s="187"/>
      <c r="S150" s="187"/>
      <c r="T150" s="187"/>
      <c r="U150" s="187"/>
      <c r="V150" s="187"/>
      <c r="W150" s="187"/>
    </row>
    <row r="151" spans="1:23" ht="19.5" customHeight="1">
      <c r="A151" s="134"/>
      <c r="B151" s="188" t="s">
        <v>420</v>
      </c>
      <c r="C151" s="189"/>
      <c r="D151" s="16"/>
      <c r="E151" s="16"/>
      <c r="F151" s="16"/>
      <c r="G151" s="16"/>
      <c r="H151" s="190">
        <f>H154+H173</f>
        <v>423190611.28999996</v>
      </c>
      <c r="I151" s="901"/>
      <c r="J151" s="902"/>
      <c r="K151" s="599"/>
      <c r="L151" s="898"/>
      <c r="M151" s="898"/>
      <c r="N151" s="899"/>
      <c r="O151" s="899"/>
      <c r="P151" s="12"/>
      <c r="Q151" s="900"/>
      <c r="R151" s="187"/>
      <c r="S151" s="187"/>
      <c r="T151" s="187"/>
      <c r="U151" s="187"/>
      <c r="V151" s="187"/>
      <c r="W151" s="187"/>
    </row>
    <row r="152" spans="1:23" ht="19.5" customHeight="1">
      <c r="A152" s="134"/>
      <c r="B152" s="188" t="s">
        <v>415</v>
      </c>
      <c r="C152" s="189"/>
      <c r="D152" s="16"/>
      <c r="E152" s="16"/>
      <c r="F152" s="16"/>
      <c r="G152" s="16"/>
      <c r="H152" s="190">
        <f>H155+H174</f>
        <v>423183600.01</v>
      </c>
      <c r="I152" s="903"/>
      <c r="J152" s="902"/>
      <c r="K152" s="599"/>
      <c r="L152" s="898"/>
      <c r="M152" s="898"/>
      <c r="N152" s="899"/>
      <c r="O152" s="899"/>
      <c r="P152" s="12"/>
      <c r="Q152" s="900"/>
      <c r="R152" s="187"/>
      <c r="S152" s="187"/>
      <c r="T152" s="187"/>
      <c r="U152" s="187"/>
      <c r="V152" s="187"/>
      <c r="W152" s="187"/>
    </row>
    <row r="153" spans="1:23" ht="19.5" customHeight="1">
      <c r="A153" s="134"/>
      <c r="B153" s="191" t="s">
        <v>413</v>
      </c>
      <c r="C153" s="186"/>
      <c r="D153" s="16"/>
      <c r="E153" s="16"/>
      <c r="F153" s="16"/>
      <c r="G153" s="16"/>
      <c r="H153" s="190"/>
      <c r="I153" s="903"/>
      <c r="J153" s="902"/>
      <c r="K153" s="599"/>
      <c r="L153" s="898"/>
      <c r="M153" s="898"/>
      <c r="N153" s="899"/>
      <c r="O153" s="899"/>
      <c r="P153" s="12"/>
      <c r="Q153" s="900"/>
      <c r="R153" s="187"/>
      <c r="S153" s="187"/>
      <c r="T153" s="187"/>
      <c r="U153" s="187"/>
      <c r="V153" s="187"/>
      <c r="W153" s="187"/>
    </row>
    <row r="154" spans="1:23" ht="19.5" customHeight="1">
      <c r="A154" s="193" t="s">
        <v>421</v>
      </c>
      <c r="B154" s="193"/>
      <c r="C154" s="193"/>
      <c r="D154" s="149"/>
      <c r="E154" s="145"/>
      <c r="F154" s="145"/>
      <c r="G154" s="16"/>
      <c r="H154" s="190">
        <v>300068944.63</v>
      </c>
      <c r="I154" s="903"/>
      <c r="J154" s="902"/>
      <c r="K154" s="599"/>
      <c r="L154" s="898"/>
      <c r="M154" s="898"/>
      <c r="N154" s="899"/>
      <c r="O154" s="899"/>
      <c r="P154" s="12"/>
      <c r="Q154" s="900"/>
      <c r="R154" s="187"/>
      <c r="S154" s="187"/>
      <c r="T154" s="187"/>
      <c r="U154" s="187"/>
      <c r="V154" s="187"/>
      <c r="W154" s="187"/>
    </row>
    <row r="155" spans="1:23" ht="19.5" customHeight="1">
      <c r="A155" s="193"/>
      <c r="B155" s="194" t="s">
        <v>415</v>
      </c>
      <c r="C155" s="193"/>
      <c r="D155" s="149"/>
      <c r="E155" s="145"/>
      <c r="F155" s="145"/>
      <c r="G155" s="16"/>
      <c r="H155" s="190">
        <f>H154-D253+F253</f>
        <v>299410034.35</v>
      </c>
      <c r="I155" s="903"/>
      <c r="J155" s="902"/>
      <c r="K155" s="599"/>
      <c r="L155" s="898"/>
      <c r="M155" s="898"/>
      <c r="N155" s="899"/>
      <c r="O155" s="899"/>
      <c r="P155" s="12"/>
      <c r="Q155" s="900"/>
      <c r="R155" s="187"/>
      <c r="S155" s="187"/>
      <c r="T155" s="187"/>
      <c r="U155" s="187"/>
      <c r="V155" s="187"/>
      <c r="W155" s="187"/>
    </row>
    <row r="156" spans="1:23" ht="19.5" customHeight="1">
      <c r="A156" s="144" t="s">
        <v>358</v>
      </c>
      <c r="B156" s="144" t="s">
        <v>422</v>
      </c>
      <c r="C156" s="144"/>
      <c r="D156" s="145"/>
      <c r="E156" s="145"/>
      <c r="F156" s="145"/>
      <c r="G156" s="16"/>
      <c r="H156" s="190"/>
      <c r="I156" s="903"/>
      <c r="J156" s="902"/>
      <c r="K156" s="887"/>
      <c r="L156" s="887"/>
      <c r="M156" s="898"/>
      <c r="N156" s="899"/>
      <c r="O156" s="899"/>
      <c r="P156" s="12"/>
      <c r="Q156" s="900"/>
      <c r="R156" s="187"/>
      <c r="S156" s="187"/>
      <c r="T156" s="187"/>
      <c r="U156" s="187"/>
      <c r="V156" s="187"/>
      <c r="W156" s="187"/>
    </row>
    <row r="157" spans="1:23" ht="19.5" customHeight="1">
      <c r="A157" s="195" t="s">
        <v>423</v>
      </c>
      <c r="B157" s="195"/>
      <c r="C157" s="195"/>
      <c r="D157" s="196"/>
      <c r="E157" s="145"/>
      <c r="F157" s="145"/>
      <c r="G157" s="16"/>
      <c r="H157" s="190">
        <v>256184321.75</v>
      </c>
      <c r="I157" s="903"/>
      <c r="J157" s="902"/>
      <c r="K157" s="887"/>
      <c r="L157" s="887"/>
      <c r="M157" s="898"/>
      <c r="N157" s="899"/>
      <c r="O157" s="899"/>
      <c r="P157" s="12"/>
      <c r="Q157" s="900"/>
      <c r="R157" s="187"/>
      <c r="S157" s="187"/>
      <c r="T157" s="187"/>
      <c r="U157" s="187"/>
      <c r="V157" s="187"/>
      <c r="W157" s="187"/>
    </row>
    <row r="158" spans="1:23" ht="19.5" customHeight="1">
      <c r="A158" s="195"/>
      <c r="B158" s="197" t="s">
        <v>415</v>
      </c>
      <c r="C158" s="195"/>
      <c r="D158" s="196"/>
      <c r="E158" s="149"/>
      <c r="F158" s="196"/>
      <c r="G158" s="16"/>
      <c r="H158" s="190">
        <f>H157-D253+D248+F253-F247-F242-F241-F215-F211-F204-F194</f>
        <v>254544939.54000002</v>
      </c>
      <c r="I158" s="903"/>
      <c r="J158" s="902"/>
      <c r="K158" s="598"/>
      <c r="L158" s="598"/>
      <c r="M158" s="898"/>
      <c r="N158" s="899"/>
      <c r="O158" s="899"/>
      <c r="P158" s="12"/>
      <c r="Q158" s="900"/>
      <c r="R158" s="187"/>
      <c r="S158" s="187"/>
      <c r="T158" s="187"/>
      <c r="U158" s="187"/>
      <c r="V158" s="187"/>
      <c r="W158" s="187"/>
    </row>
    <row r="159" spans="1:23" ht="19.5" customHeight="1">
      <c r="A159" s="195"/>
      <c r="B159" s="558" t="s">
        <v>357</v>
      </c>
      <c r="C159" s="195"/>
      <c r="D159" s="196"/>
      <c r="E159" s="149"/>
      <c r="F159" s="196"/>
      <c r="G159" s="16"/>
      <c r="H159" s="190"/>
      <c r="I159" s="903"/>
      <c r="J159" s="902"/>
      <c r="K159" s="598"/>
      <c r="L159" s="598"/>
      <c r="M159" s="898"/>
      <c r="N159" s="899"/>
      <c r="O159" s="899"/>
      <c r="P159" s="12"/>
      <c r="Q159" s="900"/>
      <c r="R159" s="187"/>
      <c r="S159" s="187"/>
      <c r="T159" s="187"/>
      <c r="U159" s="187"/>
      <c r="V159" s="187"/>
      <c r="W159" s="187"/>
    </row>
    <row r="160" spans="1:23" ht="19.5" customHeight="1">
      <c r="A160" s="142"/>
      <c r="B160" s="143" t="s">
        <v>270</v>
      </c>
      <c r="C160" s="137"/>
      <c r="D160" s="26"/>
      <c r="E160" s="149"/>
      <c r="F160" s="196"/>
      <c r="G160" s="16"/>
      <c r="H160" s="190"/>
      <c r="I160" s="903"/>
      <c r="J160" s="902"/>
      <c r="K160" s="598"/>
      <c r="L160" s="598"/>
      <c r="M160" s="898"/>
      <c r="N160" s="899"/>
      <c r="O160" s="899"/>
      <c r="P160" s="12"/>
      <c r="Q160" s="900"/>
      <c r="R160" s="187"/>
      <c r="S160" s="187"/>
      <c r="T160" s="187"/>
      <c r="U160" s="187"/>
      <c r="V160" s="187"/>
      <c r="W160" s="187"/>
    </row>
    <row r="161" spans="1:23" ht="19.5" customHeight="1">
      <c r="A161" s="142"/>
      <c r="B161" s="143" t="s">
        <v>293</v>
      </c>
      <c r="C161" s="137"/>
      <c r="D161" s="26"/>
      <c r="E161" s="149"/>
      <c r="F161" s="196"/>
      <c r="G161" s="16"/>
      <c r="H161" s="190"/>
      <c r="I161" s="903"/>
      <c r="J161" s="902"/>
      <c r="K161" s="598"/>
      <c r="L161" s="598"/>
      <c r="M161" s="898"/>
      <c r="N161" s="899"/>
      <c r="O161" s="899"/>
      <c r="P161" s="12"/>
      <c r="Q161" s="900"/>
      <c r="R161" s="187"/>
      <c r="S161" s="187"/>
      <c r="T161" s="187"/>
      <c r="U161" s="187"/>
      <c r="V161" s="187"/>
      <c r="W161" s="187"/>
    </row>
    <row r="162" spans="1:23" ht="19.5" customHeight="1">
      <c r="A162" s="142"/>
      <c r="B162" s="143" t="s">
        <v>294</v>
      </c>
      <c r="C162" s="137"/>
      <c r="D162" s="26"/>
      <c r="E162" s="149"/>
      <c r="F162" s="196"/>
      <c r="G162" s="16"/>
      <c r="H162" s="192">
        <v>4026128.57</v>
      </c>
      <c r="I162" s="903"/>
      <c r="J162" s="902"/>
      <c r="K162" s="598"/>
      <c r="L162" s="598"/>
      <c r="M162" s="898"/>
      <c r="N162" s="899"/>
      <c r="O162" s="899"/>
      <c r="P162" s="12"/>
      <c r="Q162" s="900"/>
      <c r="R162" s="187"/>
      <c r="S162" s="187"/>
      <c r="T162" s="187"/>
      <c r="U162" s="187"/>
      <c r="V162" s="187"/>
      <c r="W162" s="187"/>
    </row>
    <row r="163" spans="1:23" ht="19.5" customHeight="1">
      <c r="A163" s="142"/>
      <c r="B163" s="143" t="s">
        <v>415</v>
      </c>
      <c r="C163" s="137"/>
      <c r="D163" s="26"/>
      <c r="E163" s="149"/>
      <c r="F163" s="196"/>
      <c r="G163" s="16"/>
      <c r="H163" s="192">
        <f>H162-D230</f>
        <v>4015444.57</v>
      </c>
      <c r="I163" s="903"/>
      <c r="J163" s="902"/>
      <c r="K163" s="598"/>
      <c r="L163" s="598"/>
      <c r="M163" s="898"/>
      <c r="N163" s="899"/>
      <c r="O163" s="899"/>
      <c r="P163" s="12"/>
      <c r="Q163" s="900"/>
      <c r="R163" s="187"/>
      <c r="S163" s="187"/>
      <c r="T163" s="187"/>
      <c r="U163" s="187"/>
      <c r="V163" s="187"/>
      <c r="W163" s="187"/>
    </row>
    <row r="164" spans="1:23" ht="19.5" customHeight="1">
      <c r="A164" s="142"/>
      <c r="B164" s="143"/>
      <c r="C164" s="137"/>
      <c r="D164" s="26"/>
      <c r="E164" s="149"/>
      <c r="F164" s="196"/>
      <c r="G164" s="16"/>
      <c r="H164" s="192"/>
      <c r="I164" s="903"/>
      <c r="J164" s="902"/>
      <c r="K164" s="598"/>
      <c r="L164" s="598"/>
      <c r="M164" s="898"/>
      <c r="N164" s="899"/>
      <c r="O164" s="899"/>
      <c r="P164" s="12"/>
      <c r="Q164" s="900"/>
      <c r="R164" s="187"/>
      <c r="S164" s="187"/>
      <c r="T164" s="187"/>
      <c r="U164" s="187"/>
      <c r="V164" s="187"/>
      <c r="W164" s="187"/>
    </row>
    <row r="165" spans="1:23" ht="19.5" customHeight="1">
      <c r="A165" s="142"/>
      <c r="B165" s="143"/>
      <c r="C165" s="137"/>
      <c r="D165" s="26"/>
      <c r="E165" s="149"/>
      <c r="F165" s="196"/>
      <c r="G165" s="16"/>
      <c r="H165" s="192"/>
      <c r="I165" s="903"/>
      <c r="J165" s="902"/>
      <c r="K165" s="598"/>
      <c r="L165" s="598"/>
      <c r="M165" s="898"/>
      <c r="N165" s="899"/>
      <c r="O165" s="899"/>
      <c r="P165" s="12"/>
      <c r="Q165" s="900"/>
      <c r="R165" s="187"/>
      <c r="S165" s="187"/>
      <c r="T165" s="187"/>
      <c r="U165" s="187"/>
      <c r="V165" s="187"/>
      <c r="W165" s="187"/>
    </row>
    <row r="166" spans="1:23" ht="19.5" customHeight="1">
      <c r="A166" s="195" t="s">
        <v>424</v>
      </c>
      <c r="B166" s="195"/>
      <c r="C166" s="193"/>
      <c r="D166" s="196"/>
      <c r="E166" s="149"/>
      <c r="F166" s="196"/>
      <c r="G166" s="16"/>
      <c r="H166" s="190">
        <v>43884622.88</v>
      </c>
      <c r="I166" s="901"/>
      <c r="J166" s="902"/>
      <c r="K166" s="599"/>
      <c r="L166" s="598"/>
      <c r="M166" s="898"/>
      <c r="N166" s="899"/>
      <c r="O166" s="899"/>
      <c r="P166" s="12"/>
      <c r="Q166" s="900"/>
      <c r="R166" s="187"/>
      <c r="S166" s="187"/>
      <c r="T166" s="187"/>
      <c r="U166" s="187"/>
      <c r="V166" s="187"/>
      <c r="W166" s="187"/>
    </row>
    <row r="167" spans="1:23" ht="19.5" customHeight="1">
      <c r="A167" s="195"/>
      <c r="B167" s="197" t="s">
        <v>415</v>
      </c>
      <c r="C167" s="193"/>
      <c r="D167" s="196"/>
      <c r="E167" s="149"/>
      <c r="F167" s="196"/>
      <c r="G167" s="16"/>
      <c r="H167" s="190">
        <f>H166+F194+F204+F211+F215+F241+F242+F247+-D248</f>
        <v>44865094.81</v>
      </c>
      <c r="I167" s="903"/>
      <c r="J167" s="902"/>
      <c r="K167" s="599"/>
      <c r="L167" s="904"/>
      <c r="M167" s="898"/>
      <c r="N167" s="899"/>
      <c r="O167" s="899"/>
      <c r="P167" s="12"/>
      <c r="Q167" s="900"/>
      <c r="R167" s="187"/>
      <c r="S167" s="187"/>
      <c r="T167" s="187"/>
      <c r="U167" s="187"/>
      <c r="V167" s="187"/>
      <c r="W167" s="187"/>
    </row>
    <row r="168" spans="1:23" ht="19.5" customHeight="1">
      <c r="A168" s="142"/>
      <c r="B168" s="143" t="s">
        <v>303</v>
      </c>
      <c r="C168" s="137"/>
      <c r="D168" s="26"/>
      <c r="E168" s="149"/>
      <c r="F168" s="196"/>
      <c r="G168" s="16"/>
      <c r="H168" s="190"/>
      <c r="I168" s="903"/>
      <c r="J168" s="902"/>
      <c r="K168" s="599"/>
      <c r="L168" s="905"/>
      <c r="M168" s="898"/>
      <c r="N168" s="899"/>
      <c r="O168" s="899"/>
      <c r="P168" s="12"/>
      <c r="Q168" s="900"/>
      <c r="R168" s="187"/>
      <c r="S168" s="187"/>
      <c r="T168" s="187"/>
      <c r="U168" s="187"/>
      <c r="V168" s="187"/>
      <c r="W168" s="187"/>
    </row>
    <row r="169" spans="1:23" ht="19.5" customHeight="1">
      <c r="A169" s="149"/>
      <c r="B169" s="570" t="s">
        <v>253</v>
      </c>
      <c r="C169" s="571"/>
      <c r="D169" s="145"/>
      <c r="E169" s="149"/>
      <c r="F169" s="196"/>
      <c r="G169" s="16"/>
      <c r="H169" s="192">
        <v>16000000</v>
      </c>
      <c r="I169" s="903"/>
      <c r="J169" s="902"/>
      <c r="K169" s="599"/>
      <c r="L169" s="905"/>
      <c r="M169" s="898"/>
      <c r="N169" s="899"/>
      <c r="O169" s="899"/>
      <c r="P169" s="12"/>
      <c r="Q169" s="900"/>
      <c r="R169" s="187"/>
      <c r="S169" s="187"/>
      <c r="T169" s="187"/>
      <c r="U169" s="187"/>
      <c r="V169" s="187"/>
      <c r="W169" s="187"/>
    </row>
    <row r="170" spans="1:23" ht="19.5" customHeight="1">
      <c r="A170" s="149"/>
      <c r="B170" s="570" t="s">
        <v>415</v>
      </c>
      <c r="C170" s="571"/>
      <c r="D170" s="145"/>
      <c r="E170" s="149"/>
      <c r="F170" s="196"/>
      <c r="G170" s="16"/>
      <c r="H170" s="192">
        <f>H169-D237</f>
        <v>14000000</v>
      </c>
      <c r="I170" s="903"/>
      <c r="J170" s="902"/>
      <c r="K170" s="599"/>
      <c r="L170" s="905"/>
      <c r="M170" s="898"/>
      <c r="N170" s="899"/>
      <c r="O170" s="899"/>
      <c r="P170" s="12"/>
      <c r="Q170" s="900"/>
      <c r="R170" s="187"/>
      <c r="S170" s="187"/>
      <c r="T170" s="187"/>
      <c r="U170" s="187"/>
      <c r="V170" s="187"/>
      <c r="W170" s="187"/>
    </row>
    <row r="171" spans="1:23" ht="19.5" customHeight="1">
      <c r="A171" s="142"/>
      <c r="B171" s="143"/>
      <c r="C171" s="137"/>
      <c r="D171" s="26"/>
      <c r="E171" s="149"/>
      <c r="F171" s="196"/>
      <c r="G171" s="16"/>
      <c r="H171" s="192"/>
      <c r="I171" s="903"/>
      <c r="J171" s="902"/>
      <c r="K171" s="599"/>
      <c r="L171" s="905"/>
      <c r="M171" s="898"/>
      <c r="N171" s="899"/>
      <c r="O171" s="899"/>
      <c r="P171" s="12"/>
      <c r="Q171" s="900"/>
      <c r="R171" s="187"/>
      <c r="S171" s="187"/>
      <c r="T171" s="187"/>
      <c r="U171" s="187"/>
      <c r="V171" s="187"/>
      <c r="W171" s="187"/>
    </row>
    <row r="172" spans="1:23" ht="19.5" customHeight="1">
      <c r="A172" s="142"/>
      <c r="B172" s="143"/>
      <c r="C172" s="137"/>
      <c r="D172" s="26"/>
      <c r="E172" s="149"/>
      <c r="F172" s="196"/>
      <c r="G172" s="16"/>
      <c r="H172" s="190"/>
      <c r="I172" s="903"/>
      <c r="J172" s="902"/>
      <c r="K172" s="599"/>
      <c r="L172" s="905"/>
      <c r="M172" s="898"/>
      <c r="N172" s="899"/>
      <c r="O172" s="899"/>
      <c r="P172" s="12"/>
      <c r="Q172" s="900"/>
      <c r="R172" s="187"/>
      <c r="S172" s="187"/>
      <c r="T172" s="187"/>
      <c r="U172" s="187"/>
      <c r="V172" s="187"/>
      <c r="W172" s="187"/>
    </row>
    <row r="173" spans="1:23" ht="19.5" customHeight="1">
      <c r="A173" s="193" t="s">
        <v>425</v>
      </c>
      <c r="B173" s="193"/>
      <c r="C173" s="193"/>
      <c r="D173" s="149"/>
      <c r="E173" s="149"/>
      <c r="F173" s="196"/>
      <c r="G173" s="16"/>
      <c r="H173" s="190">
        <v>123121666.66</v>
      </c>
      <c r="I173" s="903"/>
      <c r="J173" s="556"/>
      <c r="K173" s="599"/>
      <c r="L173" s="898"/>
      <c r="M173" s="898"/>
      <c r="N173" s="899"/>
      <c r="O173" s="899"/>
      <c r="P173" s="12"/>
      <c r="Q173" s="900"/>
      <c r="R173" s="187"/>
      <c r="S173" s="187"/>
      <c r="T173" s="187"/>
      <c r="U173" s="187"/>
      <c r="V173" s="187"/>
      <c r="W173" s="187"/>
    </row>
    <row r="174" spans="1:11" ht="19.5" customHeight="1">
      <c r="A174" s="193"/>
      <c r="B174" s="194" t="s">
        <v>415</v>
      </c>
      <c r="C174" s="193"/>
      <c r="D174" s="149"/>
      <c r="E174" s="149"/>
      <c r="F174" s="196"/>
      <c r="H174" s="138">
        <f>H173-D302+F302</f>
        <v>123773565.66</v>
      </c>
      <c r="I174" s="876"/>
      <c r="K174" s="875"/>
    </row>
    <row r="175" spans="1:12" ht="19.5" customHeight="1">
      <c r="A175" s="144" t="s">
        <v>358</v>
      </c>
      <c r="B175" s="144" t="s">
        <v>422</v>
      </c>
      <c r="C175" s="144"/>
      <c r="D175" s="145"/>
      <c r="E175" s="149"/>
      <c r="F175" s="196"/>
      <c r="H175" s="138"/>
      <c r="I175" s="876"/>
      <c r="J175" s="896"/>
      <c r="K175" s="875"/>
      <c r="L175" s="875"/>
    </row>
    <row r="176" spans="1:23" ht="19.5" customHeight="1">
      <c r="A176" s="195" t="s">
        <v>423</v>
      </c>
      <c r="B176" s="195"/>
      <c r="C176" s="195"/>
      <c r="D176" s="196"/>
      <c r="E176" s="149"/>
      <c r="F176" s="196"/>
      <c r="G176" s="16"/>
      <c r="H176" s="190">
        <v>108379516.66</v>
      </c>
      <c r="I176" s="906"/>
      <c r="J176" s="907"/>
      <c r="K176" s="599"/>
      <c r="L176" s="599"/>
      <c r="M176" s="898"/>
      <c r="N176" s="899"/>
      <c r="O176" s="899"/>
      <c r="P176" s="12"/>
      <c r="Q176" s="900"/>
      <c r="R176" s="187"/>
      <c r="S176" s="187"/>
      <c r="T176" s="187"/>
      <c r="U176" s="187"/>
      <c r="V176" s="187"/>
      <c r="W176" s="187"/>
    </row>
    <row r="177" spans="1:23" ht="19.5" customHeight="1">
      <c r="A177" s="195"/>
      <c r="B177" s="197" t="s">
        <v>415</v>
      </c>
      <c r="C177" s="195"/>
      <c r="D177" s="196"/>
      <c r="E177" s="149"/>
      <c r="F177" s="196"/>
      <c r="G177" s="16"/>
      <c r="H177" s="190">
        <f>H176-D302+F302-F271-F268</f>
        <v>108381415.66</v>
      </c>
      <c r="I177" s="903"/>
      <c r="J177" s="907"/>
      <c r="K177" s="599"/>
      <c r="L177" s="898"/>
      <c r="M177" s="898"/>
      <c r="N177" s="899"/>
      <c r="O177" s="899"/>
      <c r="P177" s="12"/>
      <c r="Q177" s="900"/>
      <c r="R177" s="187"/>
      <c r="S177" s="187"/>
      <c r="T177" s="187"/>
      <c r="U177" s="187"/>
      <c r="V177" s="187"/>
      <c r="W177" s="187"/>
    </row>
    <row r="178" spans="1:23" ht="19.5" customHeight="1">
      <c r="A178" s="195"/>
      <c r="B178" s="197"/>
      <c r="C178" s="195"/>
      <c r="D178" s="196"/>
      <c r="E178" s="149"/>
      <c r="F178" s="196"/>
      <c r="G178" s="16"/>
      <c r="H178" s="190"/>
      <c r="I178" s="903"/>
      <c r="J178" s="907"/>
      <c r="K178" s="599"/>
      <c r="L178" s="898"/>
      <c r="M178" s="898"/>
      <c r="N178" s="899"/>
      <c r="O178" s="899"/>
      <c r="P178" s="12"/>
      <c r="Q178" s="900"/>
      <c r="R178" s="187"/>
      <c r="S178" s="187"/>
      <c r="T178" s="187"/>
      <c r="U178" s="187"/>
      <c r="V178" s="187"/>
      <c r="W178" s="187"/>
    </row>
    <row r="179" spans="1:23" ht="19.5" customHeight="1">
      <c r="A179" s="195"/>
      <c r="B179" s="197"/>
      <c r="C179" s="195"/>
      <c r="D179" s="196"/>
      <c r="E179" s="149"/>
      <c r="F179" s="196"/>
      <c r="G179" s="16"/>
      <c r="H179" s="190"/>
      <c r="I179" s="908"/>
      <c r="J179" s="902"/>
      <c r="K179" s="599"/>
      <c r="L179" s="898"/>
      <c r="M179" s="898"/>
      <c r="N179" s="899"/>
      <c r="O179" s="899"/>
      <c r="P179" s="12"/>
      <c r="Q179" s="900"/>
      <c r="R179" s="187"/>
      <c r="S179" s="187"/>
      <c r="T179" s="187"/>
      <c r="U179" s="187"/>
      <c r="V179" s="187"/>
      <c r="W179" s="187"/>
    </row>
    <row r="180" spans="1:23" ht="19.5" customHeight="1">
      <c r="A180" s="195" t="s">
        <v>424</v>
      </c>
      <c r="B180" s="195"/>
      <c r="C180" s="193"/>
      <c r="D180" s="196"/>
      <c r="E180" s="149"/>
      <c r="F180" s="196"/>
      <c r="G180" s="16"/>
      <c r="H180" s="190">
        <v>14742150</v>
      </c>
      <c r="I180" s="908"/>
      <c r="J180" s="902"/>
      <c r="K180" s="599"/>
      <c r="L180" s="898"/>
      <c r="M180" s="898"/>
      <c r="N180" s="899"/>
      <c r="O180" s="899"/>
      <c r="P180" s="12"/>
      <c r="Q180" s="900"/>
      <c r="R180" s="187"/>
      <c r="S180" s="187"/>
      <c r="T180" s="187"/>
      <c r="U180" s="187"/>
      <c r="V180" s="187"/>
      <c r="W180" s="187"/>
    </row>
    <row r="181" spans="1:23" ht="19.5" customHeight="1">
      <c r="A181" s="195"/>
      <c r="B181" s="197" t="s">
        <v>415</v>
      </c>
      <c r="C181" s="193"/>
      <c r="D181" s="196"/>
      <c r="E181" s="149"/>
      <c r="F181" s="196"/>
      <c r="G181" s="16"/>
      <c r="H181" s="190">
        <f>H180+F268+F271</f>
        <v>15392150</v>
      </c>
      <c r="I181" s="909"/>
      <c r="J181" s="902"/>
      <c r="K181" s="599"/>
      <c r="L181" s="898"/>
      <c r="M181" s="898"/>
      <c r="N181" s="899"/>
      <c r="O181" s="899"/>
      <c r="P181" s="12"/>
      <c r="Q181" s="900"/>
      <c r="R181" s="187"/>
      <c r="S181" s="187"/>
      <c r="T181" s="187"/>
      <c r="U181" s="187"/>
      <c r="V181" s="187"/>
      <c r="W181" s="187"/>
    </row>
    <row r="182" spans="1:23" ht="19.5" customHeight="1">
      <c r="A182" s="195"/>
      <c r="B182" s="197"/>
      <c r="C182" s="195"/>
      <c r="D182" s="196"/>
      <c r="E182" s="149"/>
      <c r="F182" s="196"/>
      <c r="G182" s="16"/>
      <c r="H182" s="190"/>
      <c r="I182" s="908"/>
      <c r="J182" s="902"/>
      <c r="K182" s="599"/>
      <c r="L182" s="898"/>
      <c r="M182" s="898"/>
      <c r="N182" s="899"/>
      <c r="O182" s="899"/>
      <c r="P182" s="12"/>
      <c r="Q182" s="900"/>
      <c r="R182" s="187"/>
      <c r="S182" s="187"/>
      <c r="T182" s="187"/>
      <c r="U182" s="187"/>
      <c r="V182" s="187"/>
      <c r="W182" s="187"/>
    </row>
    <row r="183" spans="1:23" ht="19.5" customHeight="1">
      <c r="A183" s="195"/>
      <c r="B183" s="197"/>
      <c r="C183" s="195"/>
      <c r="D183" s="196"/>
      <c r="E183" s="149"/>
      <c r="F183" s="196"/>
      <c r="G183" s="16"/>
      <c r="H183" s="190"/>
      <c r="I183" s="908"/>
      <c r="J183" s="902"/>
      <c r="K183" s="599"/>
      <c r="L183" s="898"/>
      <c r="M183" s="898"/>
      <c r="N183" s="899"/>
      <c r="O183" s="899"/>
      <c r="P183" s="12"/>
      <c r="Q183" s="900"/>
      <c r="R183" s="187"/>
      <c r="S183" s="187"/>
      <c r="T183" s="187"/>
      <c r="U183" s="187"/>
      <c r="V183" s="187"/>
      <c r="W183" s="187"/>
    </row>
    <row r="184" spans="1:23" ht="19.5" customHeight="1">
      <c r="A184" s="199" t="s">
        <v>406</v>
      </c>
      <c r="B184" s="200"/>
      <c r="C184" s="201"/>
      <c r="D184" s="18"/>
      <c r="E184" s="18"/>
      <c r="F184" s="18"/>
      <c r="G184" s="18"/>
      <c r="H184" s="21"/>
      <c r="I184" s="903"/>
      <c r="J184" s="909"/>
      <c r="K184" s="910"/>
      <c r="L184" s="909"/>
      <c r="M184" s="898"/>
      <c r="N184" s="899"/>
      <c r="O184" s="899"/>
      <c r="P184" s="12"/>
      <c r="Q184" s="12"/>
      <c r="R184" s="16"/>
      <c r="S184" s="16"/>
      <c r="T184" s="16"/>
      <c r="U184" s="16"/>
      <c r="V184" s="16"/>
      <c r="W184" s="16"/>
    </row>
    <row r="185" spans="1:23" ht="19.5" customHeight="1">
      <c r="A185" s="199"/>
      <c r="B185" s="200"/>
      <c r="C185" s="201"/>
      <c r="D185" s="18"/>
      <c r="E185" s="18"/>
      <c r="F185" s="18"/>
      <c r="G185" s="18"/>
      <c r="H185" s="21"/>
      <c r="I185" s="903"/>
      <c r="J185" s="909"/>
      <c r="K185" s="910"/>
      <c r="L185" s="909"/>
      <c r="M185" s="898"/>
      <c r="N185" s="899"/>
      <c r="O185" s="899"/>
      <c r="P185" s="12"/>
      <c r="Q185" s="12"/>
      <c r="R185" s="16"/>
      <c r="S185" s="16"/>
      <c r="T185" s="16"/>
      <c r="U185" s="16"/>
      <c r="V185" s="16"/>
      <c r="W185" s="16"/>
    </row>
    <row r="186" spans="1:23" ht="19.5" customHeight="1">
      <c r="A186" s="199"/>
      <c r="B186" s="200"/>
      <c r="C186" s="201"/>
      <c r="D186" s="18"/>
      <c r="E186" s="18"/>
      <c r="F186" s="18"/>
      <c r="G186" s="18"/>
      <c r="H186" s="21"/>
      <c r="I186" s="903"/>
      <c r="J186" s="909"/>
      <c r="K186" s="910"/>
      <c r="L186" s="911"/>
      <c r="M186" s="898"/>
      <c r="N186" s="899"/>
      <c r="O186" s="899"/>
      <c r="P186" s="12"/>
      <c r="Q186" s="12"/>
      <c r="R186" s="16"/>
      <c r="S186" s="16"/>
      <c r="T186" s="16"/>
      <c r="U186" s="16"/>
      <c r="V186" s="16"/>
      <c r="W186" s="16"/>
    </row>
    <row r="187" spans="1:23" ht="19.5" customHeight="1">
      <c r="A187" s="202" t="s">
        <v>45</v>
      </c>
      <c r="B187" s="202"/>
      <c r="C187" s="203"/>
      <c r="D187" s="19"/>
      <c r="E187" s="19"/>
      <c r="F187" s="19"/>
      <c r="G187" s="19"/>
      <c r="H187" s="17"/>
      <c r="I187" s="903"/>
      <c r="J187" s="556"/>
      <c r="K187" s="599"/>
      <c r="L187" s="912"/>
      <c r="M187" s="913"/>
      <c r="N187" s="899"/>
      <c r="O187" s="899"/>
      <c r="P187" s="12"/>
      <c r="Q187" s="12"/>
      <c r="R187" s="16"/>
      <c r="S187" s="16"/>
      <c r="T187" s="16"/>
      <c r="U187" s="16"/>
      <c r="V187" s="16"/>
      <c r="W187" s="16"/>
    </row>
    <row r="188" spans="1:23" ht="19.5" customHeight="1">
      <c r="A188" s="202"/>
      <c r="B188" s="202"/>
      <c r="C188" s="203"/>
      <c r="D188" s="19"/>
      <c r="E188" s="19"/>
      <c r="F188" s="19"/>
      <c r="G188" s="19"/>
      <c r="H188" s="17"/>
      <c r="I188" s="903"/>
      <c r="J188" s="556"/>
      <c r="K188" s="599"/>
      <c r="L188" s="904"/>
      <c r="M188" s="599"/>
      <c r="N188" s="899"/>
      <c r="O188" s="899"/>
      <c r="P188" s="12"/>
      <c r="Q188" s="12"/>
      <c r="R188" s="16"/>
      <c r="S188" s="16"/>
      <c r="T188" s="16"/>
      <c r="U188" s="16"/>
      <c r="V188" s="16"/>
      <c r="W188" s="16"/>
    </row>
    <row r="189" spans="1:23" ht="19.5" customHeight="1">
      <c r="A189" s="158"/>
      <c r="B189" s="158"/>
      <c r="C189" s="159"/>
      <c r="D189" s="10" t="s">
        <v>355</v>
      </c>
      <c r="E189" s="11"/>
      <c r="F189" s="10" t="s">
        <v>356</v>
      </c>
      <c r="G189" s="11"/>
      <c r="H189" s="17"/>
      <c r="I189" s="903"/>
      <c r="J189" s="556"/>
      <c r="K189" s="599"/>
      <c r="L189" s="898"/>
      <c r="M189" s="898"/>
      <c r="N189" s="899"/>
      <c r="O189" s="899"/>
      <c r="P189" s="12"/>
      <c r="Q189" s="12"/>
      <c r="R189" s="16"/>
      <c r="S189" s="16"/>
      <c r="T189" s="16"/>
      <c r="U189" s="16"/>
      <c r="V189" s="16"/>
      <c r="W189" s="16"/>
    </row>
    <row r="190" spans="1:23" ht="19.5" customHeight="1">
      <c r="A190" s="160"/>
      <c r="B190" s="160"/>
      <c r="C190" s="161"/>
      <c r="D190" s="12" t="s">
        <v>358</v>
      </c>
      <c r="E190" s="11" t="s">
        <v>357</v>
      </c>
      <c r="F190" s="12" t="s">
        <v>358</v>
      </c>
      <c r="G190" s="11" t="s">
        <v>357</v>
      </c>
      <c r="H190" s="17"/>
      <c r="I190" s="903"/>
      <c r="J190" s="556"/>
      <c r="K190" s="599"/>
      <c r="L190" s="898"/>
      <c r="M190" s="898"/>
      <c r="N190" s="899"/>
      <c r="O190" s="899"/>
      <c r="P190" s="12"/>
      <c r="Q190" s="12"/>
      <c r="R190" s="16"/>
      <c r="S190" s="16"/>
      <c r="T190" s="16"/>
      <c r="U190" s="16"/>
      <c r="V190" s="16"/>
      <c r="W190" s="16"/>
    </row>
    <row r="191" spans="1:23" ht="19.5" customHeight="1">
      <c r="A191" s="162" t="s">
        <v>360</v>
      </c>
      <c r="B191" s="162" t="s">
        <v>366</v>
      </c>
      <c r="C191" s="162" t="s">
        <v>361</v>
      </c>
      <c r="D191" s="13" t="s">
        <v>362</v>
      </c>
      <c r="E191" s="14" t="s">
        <v>363</v>
      </c>
      <c r="F191" s="13" t="s">
        <v>362</v>
      </c>
      <c r="G191" s="14" t="s">
        <v>363</v>
      </c>
      <c r="H191" s="17"/>
      <c r="I191" s="910"/>
      <c r="J191" s="556"/>
      <c r="K191" s="599"/>
      <c r="L191" s="898"/>
      <c r="M191" s="898"/>
      <c r="N191" s="899"/>
      <c r="O191" s="899"/>
      <c r="P191" s="12"/>
      <c r="Q191" s="12"/>
      <c r="R191" s="16"/>
      <c r="S191" s="16"/>
      <c r="T191" s="16"/>
      <c r="U191" s="16"/>
      <c r="V191" s="16"/>
      <c r="W191" s="16"/>
    </row>
    <row r="192" spans="1:23" ht="19.5" customHeight="1">
      <c r="A192" s="165" t="s">
        <v>319</v>
      </c>
      <c r="B192" s="204"/>
      <c r="C192" s="216"/>
      <c r="D192" s="164">
        <f>D193+D194</f>
        <v>0</v>
      </c>
      <c r="E192" s="566"/>
      <c r="F192" s="164">
        <f>F193+F194</f>
        <v>114532.69</v>
      </c>
      <c r="G192" s="564"/>
      <c r="H192" s="17"/>
      <c r="I192" s="910"/>
      <c r="J192" s="556"/>
      <c r="K192" s="599"/>
      <c r="L192" s="898"/>
      <c r="M192" s="898"/>
      <c r="N192" s="899"/>
      <c r="O192" s="899"/>
      <c r="P192" s="12"/>
      <c r="Q192" s="12"/>
      <c r="R192" s="16"/>
      <c r="S192" s="16"/>
      <c r="T192" s="16"/>
      <c r="U192" s="16"/>
      <c r="V192" s="16"/>
      <c r="W192" s="16"/>
    </row>
    <row r="193" spans="1:23" ht="19.5" customHeight="1">
      <c r="A193" s="513"/>
      <c r="B193" s="274" t="s">
        <v>276</v>
      </c>
      <c r="C193" s="274" t="s">
        <v>279</v>
      </c>
      <c r="D193" s="169"/>
      <c r="E193" s="564"/>
      <c r="F193" s="169">
        <v>11872.69</v>
      </c>
      <c r="G193" s="564"/>
      <c r="H193" s="17"/>
      <c r="I193" s="914"/>
      <c r="J193" s="556"/>
      <c r="K193" s="915"/>
      <c r="L193" s="898"/>
      <c r="M193" s="898"/>
      <c r="N193" s="899"/>
      <c r="O193" s="899"/>
      <c r="P193" s="12"/>
      <c r="Q193" s="12"/>
      <c r="R193" s="16"/>
      <c r="S193" s="16"/>
      <c r="T193" s="16"/>
      <c r="U193" s="16"/>
      <c r="V193" s="16"/>
      <c r="W193" s="16"/>
    </row>
    <row r="194" spans="1:23" s="28" customFormat="1" ht="19.5" customHeight="1">
      <c r="A194" s="355"/>
      <c r="B194" s="182" t="s">
        <v>220</v>
      </c>
      <c r="C194" s="172" t="s">
        <v>321</v>
      </c>
      <c r="D194" s="169"/>
      <c r="E194" s="169"/>
      <c r="F194" s="169">
        <f>51660+1000+50000</f>
        <v>102660</v>
      </c>
      <c r="G194" s="169"/>
      <c r="H194" s="192"/>
      <c r="I194" s="907"/>
      <c r="J194" s="556"/>
      <c r="K194" s="907"/>
      <c r="L194" s="556"/>
      <c r="M194" s="556"/>
      <c r="N194" s="916"/>
      <c r="O194" s="916"/>
      <c r="P194" s="917"/>
      <c r="Q194" s="917"/>
      <c r="R194" s="15"/>
      <c r="S194" s="15"/>
      <c r="T194" s="15"/>
      <c r="U194" s="15"/>
      <c r="V194" s="15"/>
      <c r="W194" s="15"/>
    </row>
    <row r="195" spans="1:23" s="29" customFormat="1" ht="19.5" customHeight="1">
      <c r="A195" s="384" t="s">
        <v>320</v>
      </c>
      <c r="B195" s="565"/>
      <c r="C195" s="166"/>
      <c r="D195" s="164">
        <f>D196+D197+D200</f>
        <v>678.6</v>
      </c>
      <c r="E195" s="164"/>
      <c r="F195" s="164">
        <f>F196+F197+F200</f>
        <v>142878.06</v>
      </c>
      <c r="G195" s="164"/>
      <c r="H195" s="190"/>
      <c r="I195" s="902"/>
      <c r="J195" s="909"/>
      <c r="K195" s="902"/>
      <c r="L195" s="909"/>
      <c r="M195" s="909"/>
      <c r="N195" s="908"/>
      <c r="O195" s="908"/>
      <c r="P195" s="918"/>
      <c r="Q195" s="918"/>
      <c r="R195" s="205"/>
      <c r="S195" s="205"/>
      <c r="T195" s="205"/>
      <c r="U195" s="205"/>
      <c r="V195" s="205"/>
      <c r="W195" s="205"/>
    </row>
    <row r="196" spans="1:23" s="28" customFormat="1" ht="19.5" customHeight="1">
      <c r="A196" s="167"/>
      <c r="B196" s="173" t="s">
        <v>65</v>
      </c>
      <c r="C196" s="173" t="s">
        <v>66</v>
      </c>
      <c r="D196" s="169"/>
      <c r="E196" s="169"/>
      <c r="F196" s="169">
        <f>120000-11300.54</f>
        <v>108699.45999999999</v>
      </c>
      <c r="G196" s="169"/>
      <c r="H196" s="192"/>
      <c r="I196" s="907"/>
      <c r="J196" s="556"/>
      <c r="K196" s="907"/>
      <c r="L196" s="556"/>
      <c r="M196" s="556"/>
      <c r="N196" s="916"/>
      <c r="O196" s="916"/>
      <c r="P196" s="917"/>
      <c r="Q196" s="917"/>
      <c r="R196" s="15"/>
      <c r="S196" s="15"/>
      <c r="T196" s="15"/>
      <c r="U196" s="15"/>
      <c r="V196" s="15"/>
      <c r="W196" s="15"/>
    </row>
    <row r="197" spans="1:23" s="28" customFormat="1" ht="19.5" customHeight="1">
      <c r="A197" s="171"/>
      <c r="B197" s="172" t="s">
        <v>54</v>
      </c>
      <c r="C197" s="173"/>
      <c r="D197" s="169">
        <f>SUM(D198:D199)</f>
        <v>678.6</v>
      </c>
      <c r="E197" s="169"/>
      <c r="F197" s="169">
        <f>SUM(F198:F199)</f>
        <v>20000</v>
      </c>
      <c r="G197" s="169"/>
      <c r="H197" s="192"/>
      <c r="I197" s="907"/>
      <c r="J197" s="556"/>
      <c r="K197" s="907"/>
      <c r="L197" s="556"/>
      <c r="M197" s="556"/>
      <c r="N197" s="916"/>
      <c r="O197" s="916"/>
      <c r="P197" s="917"/>
      <c r="Q197" s="917"/>
      <c r="R197" s="15"/>
      <c r="S197" s="15"/>
      <c r="T197" s="15"/>
      <c r="U197" s="15"/>
      <c r="V197" s="15"/>
      <c r="W197" s="15"/>
    </row>
    <row r="198" spans="1:23" s="28" customFormat="1" ht="19.5" customHeight="1">
      <c r="A198" s="170"/>
      <c r="B198" s="167"/>
      <c r="C198" s="173" t="s">
        <v>62</v>
      </c>
      <c r="D198" s="169"/>
      <c r="E198" s="169"/>
      <c r="F198" s="169">
        <v>10000</v>
      </c>
      <c r="G198" s="169"/>
      <c r="H198" s="192"/>
      <c r="I198" s="907"/>
      <c r="J198" s="556"/>
      <c r="K198" s="907"/>
      <c r="L198" s="556"/>
      <c r="M198" s="556"/>
      <c r="N198" s="916"/>
      <c r="O198" s="916"/>
      <c r="P198" s="917"/>
      <c r="Q198" s="917"/>
      <c r="R198" s="15"/>
      <c r="S198" s="15"/>
      <c r="T198" s="15"/>
      <c r="U198" s="15"/>
      <c r="V198" s="15"/>
      <c r="W198" s="15"/>
    </row>
    <row r="199" spans="1:23" s="28" customFormat="1" ht="19.5" customHeight="1">
      <c r="A199" s="170"/>
      <c r="B199" s="182"/>
      <c r="C199" s="173" t="s">
        <v>460</v>
      </c>
      <c r="D199" s="169">
        <v>678.6</v>
      </c>
      <c r="E199" s="169"/>
      <c r="F199" s="169">
        <v>10000</v>
      </c>
      <c r="G199" s="169"/>
      <c r="H199" s="192"/>
      <c r="I199" s="907"/>
      <c r="J199" s="556"/>
      <c r="K199" s="907"/>
      <c r="L199" s="556"/>
      <c r="M199" s="556"/>
      <c r="N199" s="916"/>
      <c r="O199" s="916"/>
      <c r="P199" s="917"/>
      <c r="Q199" s="917"/>
      <c r="R199" s="15"/>
      <c r="S199" s="15"/>
      <c r="T199" s="15"/>
      <c r="U199" s="15"/>
      <c r="V199" s="15"/>
      <c r="W199" s="15"/>
    </row>
    <row r="200" spans="1:23" s="28" customFormat="1" ht="19.5" customHeight="1">
      <c r="A200" s="171"/>
      <c r="B200" s="173" t="s">
        <v>280</v>
      </c>
      <c r="C200" s="173"/>
      <c r="D200" s="169"/>
      <c r="E200" s="169"/>
      <c r="F200" s="169">
        <f>SUM(F201:F202)</f>
        <v>14178.6</v>
      </c>
      <c r="G200" s="169"/>
      <c r="H200" s="192"/>
      <c r="I200" s="907"/>
      <c r="J200" s="556"/>
      <c r="K200" s="907"/>
      <c r="L200" s="556"/>
      <c r="M200" s="556"/>
      <c r="N200" s="916"/>
      <c r="O200" s="916"/>
      <c r="P200" s="917"/>
      <c r="Q200" s="917"/>
      <c r="R200" s="15"/>
      <c r="S200" s="15"/>
      <c r="T200" s="15"/>
      <c r="U200" s="15"/>
      <c r="V200" s="15"/>
      <c r="W200" s="15"/>
    </row>
    <row r="201" spans="1:23" s="28" customFormat="1" ht="19.5" customHeight="1">
      <c r="A201" s="171"/>
      <c r="B201" s="172"/>
      <c r="C201" s="173" t="s">
        <v>55</v>
      </c>
      <c r="D201" s="169"/>
      <c r="E201" s="169"/>
      <c r="F201" s="169">
        <v>678.6</v>
      </c>
      <c r="G201" s="169"/>
      <c r="H201" s="192"/>
      <c r="I201" s="907"/>
      <c r="J201" s="556"/>
      <c r="K201" s="907"/>
      <c r="L201" s="556"/>
      <c r="M201" s="556"/>
      <c r="N201" s="916"/>
      <c r="O201" s="916"/>
      <c r="P201" s="917"/>
      <c r="Q201" s="917"/>
      <c r="R201" s="15"/>
      <c r="S201" s="15"/>
      <c r="T201" s="15"/>
      <c r="U201" s="15"/>
      <c r="V201" s="15"/>
      <c r="W201" s="15"/>
    </row>
    <row r="202" spans="1:23" s="28" customFormat="1" ht="19.5" customHeight="1">
      <c r="A202" s="171"/>
      <c r="B202" s="172"/>
      <c r="C202" s="172" t="s">
        <v>460</v>
      </c>
      <c r="D202" s="169"/>
      <c r="E202" s="169"/>
      <c r="F202" s="169">
        <v>13500</v>
      </c>
      <c r="G202" s="169"/>
      <c r="H202" s="192"/>
      <c r="I202" s="907"/>
      <c r="J202" s="556"/>
      <c r="K202" s="907"/>
      <c r="L202" s="556"/>
      <c r="M202" s="556"/>
      <c r="N202" s="916"/>
      <c r="O202" s="916"/>
      <c r="P202" s="917"/>
      <c r="Q202" s="917"/>
      <c r="R202" s="15"/>
      <c r="S202" s="15"/>
      <c r="T202" s="15"/>
      <c r="U202" s="15"/>
      <c r="V202" s="15"/>
      <c r="W202" s="15"/>
    </row>
    <row r="203" spans="1:23" s="29" customFormat="1" ht="19.5" customHeight="1">
      <c r="A203" s="163" t="s">
        <v>67</v>
      </c>
      <c r="B203" s="166" t="s">
        <v>68</v>
      </c>
      <c r="C203" s="166" t="s">
        <v>460</v>
      </c>
      <c r="D203" s="164"/>
      <c r="E203" s="164"/>
      <c r="F203" s="164">
        <f>1500+43000</f>
        <v>44500</v>
      </c>
      <c r="G203" s="164"/>
      <c r="H203" s="190"/>
      <c r="I203" s="902"/>
      <c r="J203" s="909"/>
      <c r="K203" s="902"/>
      <c r="L203" s="909"/>
      <c r="M203" s="909"/>
      <c r="N203" s="908"/>
      <c r="O203" s="908"/>
      <c r="P203" s="918"/>
      <c r="Q203" s="918"/>
      <c r="R203" s="205"/>
      <c r="S203" s="205"/>
      <c r="T203" s="205"/>
      <c r="U203" s="205"/>
      <c r="V203" s="205"/>
      <c r="W203" s="205"/>
    </row>
    <row r="204" spans="1:23" s="29" customFormat="1" ht="19.5" customHeight="1">
      <c r="A204" s="384" t="s">
        <v>459</v>
      </c>
      <c r="B204" s="166" t="s">
        <v>73</v>
      </c>
      <c r="C204" s="166" t="s">
        <v>74</v>
      </c>
      <c r="D204" s="164"/>
      <c r="E204" s="164"/>
      <c r="F204" s="164">
        <f>797000-20000-37300</f>
        <v>739700</v>
      </c>
      <c r="G204" s="164"/>
      <c r="H204" s="190"/>
      <c r="I204" s="902"/>
      <c r="J204" s="909"/>
      <c r="K204" s="902"/>
      <c r="L204" s="909"/>
      <c r="M204" s="909"/>
      <c r="N204" s="908"/>
      <c r="O204" s="908"/>
      <c r="P204" s="918"/>
      <c r="Q204" s="918"/>
      <c r="R204" s="205"/>
      <c r="S204" s="205"/>
      <c r="T204" s="205"/>
      <c r="U204" s="205"/>
      <c r="V204" s="205"/>
      <c r="W204" s="205"/>
    </row>
    <row r="205" spans="1:23" s="29" customFormat="1" ht="19.5" customHeight="1">
      <c r="A205" s="163" t="s">
        <v>457</v>
      </c>
      <c r="B205" s="163"/>
      <c r="C205" s="163"/>
      <c r="D205" s="164">
        <f>D206+D212+D213</f>
        <v>10518.67</v>
      </c>
      <c r="E205" s="164"/>
      <c r="F205" s="164">
        <f>F206+F212+F213</f>
        <v>56559.7</v>
      </c>
      <c r="G205" s="164"/>
      <c r="H205" s="190"/>
      <c r="I205" s="902"/>
      <c r="J205" s="909"/>
      <c r="K205" s="902"/>
      <c r="L205" s="909"/>
      <c r="M205" s="909"/>
      <c r="N205" s="908"/>
      <c r="O205" s="908"/>
      <c r="P205" s="918"/>
      <c r="Q205" s="918"/>
      <c r="R205" s="205"/>
      <c r="S205" s="205"/>
      <c r="T205" s="205"/>
      <c r="U205" s="205"/>
      <c r="V205" s="205"/>
      <c r="W205" s="205"/>
    </row>
    <row r="206" spans="1:23" s="28" customFormat="1" ht="19.5" customHeight="1">
      <c r="A206" s="171"/>
      <c r="B206" s="274" t="s">
        <v>317</v>
      </c>
      <c r="C206" s="182"/>
      <c r="D206" s="169">
        <f>SUM(D207:D211)</f>
        <v>6560</v>
      </c>
      <c r="E206" s="169"/>
      <c r="F206" s="169">
        <f>SUM(F207:F211)</f>
        <v>26000</v>
      </c>
      <c r="G206" s="169"/>
      <c r="H206" s="192"/>
      <c r="I206" s="907"/>
      <c r="J206" s="556"/>
      <c r="K206" s="907"/>
      <c r="L206" s="556"/>
      <c r="M206" s="556"/>
      <c r="N206" s="916"/>
      <c r="O206" s="916"/>
      <c r="P206" s="917"/>
      <c r="Q206" s="917"/>
      <c r="R206" s="15"/>
      <c r="S206" s="15"/>
      <c r="T206" s="15"/>
      <c r="U206" s="15"/>
      <c r="V206" s="15"/>
      <c r="W206" s="15"/>
    </row>
    <row r="207" spans="1:23" s="28" customFormat="1" ht="19.5" customHeight="1">
      <c r="A207" s="171"/>
      <c r="B207" s="172"/>
      <c r="C207" s="182" t="s">
        <v>327</v>
      </c>
      <c r="D207" s="169">
        <v>420</v>
      </c>
      <c r="E207" s="169"/>
      <c r="F207" s="169"/>
      <c r="G207" s="169"/>
      <c r="H207" s="192"/>
      <c r="I207" s="907"/>
      <c r="J207" s="556"/>
      <c r="K207" s="907"/>
      <c r="L207" s="556"/>
      <c r="M207" s="556"/>
      <c r="N207" s="916"/>
      <c r="O207" s="916"/>
      <c r="P207" s="917"/>
      <c r="Q207" s="917"/>
      <c r="R207" s="15"/>
      <c r="S207" s="15"/>
      <c r="T207" s="15"/>
      <c r="U207" s="15"/>
      <c r="V207" s="15"/>
      <c r="W207" s="15"/>
    </row>
    <row r="208" spans="1:23" s="28" customFormat="1" ht="19.5" customHeight="1">
      <c r="A208" s="171"/>
      <c r="B208" s="172"/>
      <c r="C208" s="182" t="s">
        <v>62</v>
      </c>
      <c r="D208" s="169"/>
      <c r="E208" s="169"/>
      <c r="F208" s="169">
        <v>15000</v>
      </c>
      <c r="G208" s="169"/>
      <c r="H208" s="192"/>
      <c r="I208" s="907"/>
      <c r="J208" s="556"/>
      <c r="K208" s="907"/>
      <c r="L208" s="556"/>
      <c r="M208" s="556"/>
      <c r="N208" s="916"/>
      <c r="O208" s="916"/>
      <c r="P208" s="917"/>
      <c r="Q208" s="917"/>
      <c r="R208" s="15"/>
      <c r="S208" s="15"/>
      <c r="T208" s="15"/>
      <c r="U208" s="15"/>
      <c r="V208" s="15"/>
      <c r="W208" s="15"/>
    </row>
    <row r="209" spans="1:23" s="28" customFormat="1" ht="19.5" customHeight="1">
      <c r="A209" s="171"/>
      <c r="B209" s="172"/>
      <c r="C209" s="182" t="s">
        <v>313</v>
      </c>
      <c r="D209" s="169">
        <f>8140-2000</f>
        <v>6140</v>
      </c>
      <c r="E209" s="169"/>
      <c r="F209" s="169"/>
      <c r="G209" s="169"/>
      <c r="H209" s="192"/>
      <c r="I209" s="907"/>
      <c r="J209" s="556"/>
      <c r="K209" s="907"/>
      <c r="L209" s="556"/>
      <c r="M209" s="556"/>
      <c r="N209" s="916"/>
      <c r="O209" s="916"/>
      <c r="P209" s="917"/>
      <c r="Q209" s="917"/>
      <c r="R209" s="15"/>
      <c r="S209" s="15"/>
      <c r="T209" s="15"/>
      <c r="U209" s="15"/>
      <c r="V209" s="15"/>
      <c r="W209" s="15"/>
    </row>
    <row r="210" spans="1:23" s="28" customFormat="1" ht="19.5" customHeight="1">
      <c r="A210" s="171"/>
      <c r="B210" s="172"/>
      <c r="C210" s="182" t="s">
        <v>63</v>
      </c>
      <c r="D210" s="169"/>
      <c r="E210" s="169"/>
      <c r="F210" s="169">
        <v>3000</v>
      </c>
      <c r="G210" s="169"/>
      <c r="H210" s="192"/>
      <c r="I210" s="907"/>
      <c r="J210" s="556"/>
      <c r="K210" s="907"/>
      <c r="L210" s="556"/>
      <c r="M210" s="556"/>
      <c r="N210" s="916"/>
      <c r="O210" s="916"/>
      <c r="P210" s="917"/>
      <c r="Q210" s="917"/>
      <c r="R210" s="15"/>
      <c r="S210" s="15"/>
      <c r="T210" s="15"/>
      <c r="U210" s="15"/>
      <c r="V210" s="15"/>
      <c r="W210" s="15"/>
    </row>
    <row r="211" spans="1:23" s="28" customFormat="1" ht="19.5" customHeight="1">
      <c r="A211" s="171"/>
      <c r="B211" s="172"/>
      <c r="C211" s="182" t="s">
        <v>321</v>
      </c>
      <c r="D211" s="169"/>
      <c r="E211" s="169"/>
      <c r="F211" s="169">
        <v>8000</v>
      </c>
      <c r="G211" s="169"/>
      <c r="H211" s="192"/>
      <c r="I211" s="907"/>
      <c r="J211" s="556"/>
      <c r="K211" s="907"/>
      <c r="L211" s="556"/>
      <c r="M211" s="556"/>
      <c r="N211" s="916"/>
      <c r="O211" s="916"/>
      <c r="P211" s="917"/>
      <c r="Q211" s="917"/>
      <c r="R211" s="15"/>
      <c r="S211" s="15"/>
      <c r="T211" s="15"/>
      <c r="U211" s="15"/>
      <c r="V211" s="15"/>
      <c r="W211" s="15"/>
    </row>
    <row r="212" spans="1:23" s="28" customFormat="1" ht="19.5" customHeight="1">
      <c r="A212" s="171"/>
      <c r="B212" s="274" t="s">
        <v>75</v>
      </c>
      <c r="C212" s="182" t="s">
        <v>62</v>
      </c>
      <c r="D212" s="169">
        <v>3958.67</v>
      </c>
      <c r="E212" s="169"/>
      <c r="F212" s="169">
        <v>0</v>
      </c>
      <c r="G212" s="169"/>
      <c r="H212" s="192"/>
      <c r="I212" s="907"/>
      <c r="J212" s="556"/>
      <c r="K212" s="907"/>
      <c r="L212" s="556"/>
      <c r="M212" s="556"/>
      <c r="N212" s="916"/>
      <c r="O212" s="916"/>
      <c r="P212" s="917"/>
      <c r="Q212" s="917"/>
      <c r="R212" s="15"/>
      <c r="S212" s="15"/>
      <c r="T212" s="15"/>
      <c r="U212" s="15"/>
      <c r="V212" s="15"/>
      <c r="W212" s="15"/>
    </row>
    <row r="213" spans="1:23" s="28" customFormat="1" ht="19.5" customHeight="1">
      <c r="A213" s="171"/>
      <c r="B213" s="167" t="s">
        <v>312</v>
      </c>
      <c r="C213" s="274"/>
      <c r="D213" s="169"/>
      <c r="E213" s="169"/>
      <c r="F213" s="169">
        <f>SUM(F214:F215)</f>
        <v>30559.7</v>
      </c>
      <c r="G213" s="169"/>
      <c r="H213" s="192"/>
      <c r="I213" s="907"/>
      <c r="J213" s="556"/>
      <c r="K213" s="907"/>
      <c r="L213" s="556"/>
      <c r="M213" s="556"/>
      <c r="N213" s="916"/>
      <c r="O213" s="916"/>
      <c r="P213" s="917"/>
      <c r="Q213" s="917"/>
      <c r="R213" s="15"/>
      <c r="S213" s="15"/>
      <c r="T213" s="15"/>
      <c r="U213" s="15"/>
      <c r="V213" s="15"/>
      <c r="W213" s="15"/>
    </row>
    <row r="214" spans="1:23" s="28" customFormat="1" ht="19.5" customHeight="1">
      <c r="A214" s="170"/>
      <c r="B214" s="167"/>
      <c r="C214" s="274" t="s">
        <v>327</v>
      </c>
      <c r="D214" s="169"/>
      <c r="E214" s="169"/>
      <c r="F214" s="169">
        <f>420+140</f>
        <v>560</v>
      </c>
      <c r="G214" s="169"/>
      <c r="H214" s="192"/>
      <c r="I214" s="907"/>
      <c r="J214" s="556"/>
      <c r="K214" s="907"/>
      <c r="L214" s="556"/>
      <c r="M214" s="556"/>
      <c r="N214" s="916"/>
      <c r="O214" s="916"/>
      <c r="P214" s="917"/>
      <c r="Q214" s="917"/>
      <c r="R214" s="15"/>
      <c r="S214" s="15"/>
      <c r="T214" s="15"/>
      <c r="U214" s="15"/>
      <c r="V214" s="15"/>
      <c r="W214" s="15"/>
    </row>
    <row r="215" spans="1:23" s="28" customFormat="1" ht="19.5" customHeight="1">
      <c r="A215" s="170"/>
      <c r="B215" s="171"/>
      <c r="C215" s="167" t="s">
        <v>321</v>
      </c>
      <c r="D215" s="169"/>
      <c r="E215" s="169"/>
      <c r="F215" s="169">
        <v>29999.7</v>
      </c>
      <c r="G215" s="169"/>
      <c r="H215" s="192"/>
      <c r="I215" s="907"/>
      <c r="J215" s="556"/>
      <c r="K215" s="907"/>
      <c r="L215" s="556"/>
      <c r="M215" s="556"/>
      <c r="N215" s="916"/>
      <c r="O215" s="916"/>
      <c r="P215" s="917"/>
      <c r="Q215" s="917"/>
      <c r="R215" s="15"/>
      <c r="S215" s="15"/>
      <c r="T215" s="15"/>
      <c r="U215" s="15"/>
      <c r="V215" s="15"/>
      <c r="W215" s="15"/>
    </row>
    <row r="216" spans="1:23" s="29" customFormat="1" ht="19.5" customHeight="1">
      <c r="A216" s="272" t="s">
        <v>224</v>
      </c>
      <c r="B216" s="163" t="s">
        <v>225</v>
      </c>
      <c r="C216" s="163" t="s">
        <v>99</v>
      </c>
      <c r="D216" s="164"/>
      <c r="E216" s="164"/>
      <c r="F216" s="164">
        <v>87300</v>
      </c>
      <c r="G216" s="164"/>
      <c r="H216" s="190"/>
      <c r="I216" s="902"/>
      <c r="J216" s="909"/>
      <c r="K216" s="902"/>
      <c r="L216" s="909"/>
      <c r="M216" s="909"/>
      <c r="N216" s="908"/>
      <c r="O216" s="908"/>
      <c r="P216" s="918"/>
      <c r="Q216" s="918"/>
      <c r="R216" s="205"/>
      <c r="S216" s="205"/>
      <c r="T216" s="205"/>
      <c r="U216" s="205"/>
      <c r="V216" s="205"/>
      <c r="W216" s="205"/>
    </row>
    <row r="217" spans="1:23" s="29" customFormat="1" ht="19.5" customHeight="1">
      <c r="A217" s="163" t="s">
        <v>229</v>
      </c>
      <c r="B217" s="565"/>
      <c r="C217" s="163"/>
      <c r="D217" s="164">
        <f>D218+D222</f>
        <v>5880</v>
      </c>
      <c r="E217" s="164"/>
      <c r="F217" s="164">
        <f>F218+F222</f>
        <v>82080</v>
      </c>
      <c r="G217" s="164"/>
      <c r="H217" s="190"/>
      <c r="I217" s="902"/>
      <c r="J217" s="909"/>
      <c r="K217" s="902"/>
      <c r="L217" s="909"/>
      <c r="M217" s="909"/>
      <c r="N217" s="908"/>
      <c r="O217" s="908"/>
      <c r="P217" s="918"/>
      <c r="Q217" s="918"/>
      <c r="R217" s="205"/>
      <c r="S217" s="205"/>
      <c r="T217" s="205"/>
      <c r="U217" s="205"/>
      <c r="V217" s="205"/>
      <c r="W217" s="205"/>
    </row>
    <row r="218" spans="1:23" s="28" customFormat="1" ht="19.5" customHeight="1">
      <c r="A218" s="171"/>
      <c r="B218" s="172" t="s">
        <v>95</v>
      </c>
      <c r="C218" s="274"/>
      <c r="D218" s="169">
        <f>SUM(D219:D221)</f>
        <v>5880</v>
      </c>
      <c r="E218" s="169"/>
      <c r="F218" s="169"/>
      <c r="G218" s="169"/>
      <c r="H218" s="192"/>
      <c r="I218" s="907"/>
      <c r="J218" s="556"/>
      <c r="K218" s="907"/>
      <c r="L218" s="556"/>
      <c r="M218" s="556"/>
      <c r="N218" s="916"/>
      <c r="O218" s="916"/>
      <c r="P218" s="917"/>
      <c r="Q218" s="917"/>
      <c r="R218" s="15"/>
      <c r="S218" s="15"/>
      <c r="T218" s="15"/>
      <c r="U218" s="15"/>
      <c r="V218" s="15"/>
      <c r="W218" s="15"/>
    </row>
    <row r="219" spans="1:23" s="28" customFormat="1" ht="19.5" customHeight="1">
      <c r="A219" s="170"/>
      <c r="B219" s="167"/>
      <c r="C219" s="168" t="s">
        <v>66</v>
      </c>
      <c r="D219" s="169">
        <v>4900</v>
      </c>
      <c r="E219" s="169"/>
      <c r="F219" s="169"/>
      <c r="G219" s="169"/>
      <c r="H219" s="192"/>
      <c r="I219" s="907"/>
      <c r="J219" s="556"/>
      <c r="K219" s="907"/>
      <c r="L219" s="556"/>
      <c r="M219" s="556"/>
      <c r="N219" s="916"/>
      <c r="O219" s="916"/>
      <c r="P219" s="917"/>
      <c r="Q219" s="917"/>
      <c r="R219" s="15"/>
      <c r="S219" s="15"/>
      <c r="T219" s="15"/>
      <c r="U219" s="15"/>
      <c r="V219" s="15"/>
      <c r="W219" s="15"/>
    </row>
    <row r="220" spans="1:23" s="28" customFormat="1" ht="19.5" customHeight="1">
      <c r="A220" s="170"/>
      <c r="B220" s="171"/>
      <c r="C220" s="168" t="s">
        <v>96</v>
      </c>
      <c r="D220" s="169">
        <v>858</v>
      </c>
      <c r="E220" s="169"/>
      <c r="F220" s="169"/>
      <c r="G220" s="169"/>
      <c r="H220" s="192"/>
      <c r="I220" s="907"/>
      <c r="J220" s="556"/>
      <c r="K220" s="907"/>
      <c r="L220" s="556"/>
      <c r="M220" s="556"/>
      <c r="N220" s="916"/>
      <c r="O220" s="916"/>
      <c r="P220" s="917"/>
      <c r="Q220" s="917"/>
      <c r="R220" s="15"/>
      <c r="S220" s="15"/>
      <c r="T220" s="15"/>
      <c r="U220" s="15"/>
      <c r="V220" s="15"/>
      <c r="W220" s="15"/>
    </row>
    <row r="221" spans="1:23" s="28" customFormat="1" ht="19.5" customHeight="1">
      <c r="A221" s="170"/>
      <c r="B221" s="171"/>
      <c r="C221" s="168" t="s">
        <v>97</v>
      </c>
      <c r="D221" s="169">
        <v>122</v>
      </c>
      <c r="E221" s="169"/>
      <c r="F221" s="169"/>
      <c r="G221" s="169"/>
      <c r="H221" s="192"/>
      <c r="I221" s="907"/>
      <c r="J221" s="556"/>
      <c r="K221" s="907"/>
      <c r="L221" s="556"/>
      <c r="M221" s="556"/>
      <c r="N221" s="916"/>
      <c r="O221" s="916"/>
      <c r="P221" s="917"/>
      <c r="Q221" s="917"/>
      <c r="R221" s="15"/>
      <c r="S221" s="15"/>
      <c r="T221" s="15"/>
      <c r="U221" s="15"/>
      <c r="V221" s="15"/>
      <c r="W221" s="15"/>
    </row>
    <row r="222" spans="1:23" s="28" customFormat="1" ht="19.5" customHeight="1">
      <c r="A222" s="170"/>
      <c r="B222" s="274" t="s">
        <v>98</v>
      </c>
      <c r="C222" s="168"/>
      <c r="D222" s="169"/>
      <c r="E222" s="169"/>
      <c r="F222" s="169">
        <f>SUM(F223:F229)</f>
        <v>82080</v>
      </c>
      <c r="G222" s="169"/>
      <c r="H222" s="192"/>
      <c r="I222" s="907"/>
      <c r="J222" s="556"/>
      <c r="K222" s="907"/>
      <c r="L222" s="556"/>
      <c r="M222" s="556"/>
      <c r="N222" s="916"/>
      <c r="O222" s="916"/>
      <c r="P222" s="917"/>
      <c r="Q222" s="917"/>
      <c r="R222" s="15"/>
      <c r="S222" s="15"/>
      <c r="T222" s="15"/>
      <c r="U222" s="15"/>
      <c r="V222" s="15"/>
      <c r="W222" s="15"/>
    </row>
    <row r="223" spans="1:23" s="28" customFormat="1" ht="19.5" customHeight="1">
      <c r="A223" s="170"/>
      <c r="B223" s="171"/>
      <c r="C223" s="168" t="s">
        <v>66</v>
      </c>
      <c r="D223" s="169"/>
      <c r="E223" s="169"/>
      <c r="F223" s="169">
        <v>11200</v>
      </c>
      <c r="G223" s="169"/>
      <c r="H223" s="192"/>
      <c r="I223" s="907"/>
      <c r="J223" s="556"/>
      <c r="K223" s="907"/>
      <c r="L223" s="556"/>
      <c r="M223" s="556"/>
      <c r="N223" s="916"/>
      <c r="O223" s="916"/>
      <c r="P223" s="917"/>
      <c r="Q223" s="917"/>
      <c r="R223" s="15"/>
      <c r="S223" s="15"/>
      <c r="T223" s="15"/>
      <c r="U223" s="15"/>
      <c r="V223" s="15"/>
      <c r="W223" s="15"/>
    </row>
    <row r="224" spans="1:23" s="28" customFormat="1" ht="19.5" customHeight="1">
      <c r="A224" s="170"/>
      <c r="B224" s="171"/>
      <c r="C224" s="168" t="s">
        <v>96</v>
      </c>
      <c r="D224" s="169"/>
      <c r="E224" s="169"/>
      <c r="F224" s="169">
        <v>1961</v>
      </c>
      <c r="G224" s="169"/>
      <c r="H224" s="192"/>
      <c r="I224" s="907"/>
      <c r="J224" s="556"/>
      <c r="K224" s="907"/>
      <c r="L224" s="556"/>
      <c r="M224" s="556"/>
      <c r="N224" s="916"/>
      <c r="O224" s="916"/>
      <c r="P224" s="917"/>
      <c r="Q224" s="917"/>
      <c r="R224" s="15"/>
      <c r="S224" s="15"/>
      <c r="T224" s="15"/>
      <c r="U224" s="15"/>
      <c r="V224" s="15"/>
      <c r="W224" s="15"/>
    </row>
    <row r="225" spans="1:23" s="28" customFormat="1" ht="19.5" customHeight="1">
      <c r="A225" s="170"/>
      <c r="B225" s="171"/>
      <c r="C225" s="168" t="s">
        <v>97</v>
      </c>
      <c r="D225" s="169"/>
      <c r="E225" s="169"/>
      <c r="F225" s="169">
        <v>279</v>
      </c>
      <c r="G225" s="169"/>
      <c r="H225" s="192"/>
      <c r="I225" s="907"/>
      <c r="J225" s="556"/>
      <c r="K225" s="907"/>
      <c r="L225" s="556"/>
      <c r="M225" s="556"/>
      <c r="N225" s="916"/>
      <c r="O225" s="916"/>
      <c r="P225" s="917"/>
      <c r="Q225" s="917"/>
      <c r="R225" s="15"/>
      <c r="S225" s="15"/>
      <c r="T225" s="15"/>
      <c r="U225" s="15"/>
      <c r="V225" s="15"/>
      <c r="W225" s="15"/>
    </row>
    <row r="226" spans="1:23" s="28" customFormat="1" ht="19.5" customHeight="1">
      <c r="A226" s="170"/>
      <c r="B226" s="171"/>
      <c r="C226" s="168" t="s">
        <v>62</v>
      </c>
      <c r="D226" s="169"/>
      <c r="E226" s="169"/>
      <c r="F226" s="169">
        <v>2250</v>
      </c>
      <c r="G226" s="169"/>
      <c r="H226" s="192"/>
      <c r="I226" s="907"/>
      <c r="J226" s="556"/>
      <c r="K226" s="907"/>
      <c r="L226" s="556"/>
      <c r="M226" s="556"/>
      <c r="N226" s="916"/>
      <c r="O226" s="916"/>
      <c r="P226" s="917"/>
      <c r="Q226" s="917"/>
      <c r="R226" s="15"/>
      <c r="S226" s="15"/>
      <c r="T226" s="15"/>
      <c r="U226" s="15"/>
      <c r="V226" s="15"/>
      <c r="W226" s="15"/>
    </row>
    <row r="227" spans="1:23" s="28" customFormat="1" ht="19.5" customHeight="1">
      <c r="A227" s="170"/>
      <c r="B227" s="171"/>
      <c r="C227" s="168" t="s">
        <v>265</v>
      </c>
      <c r="D227" s="169"/>
      <c r="E227" s="169"/>
      <c r="F227" s="169">
        <v>490</v>
      </c>
      <c r="G227" s="169"/>
      <c r="H227" s="192"/>
      <c r="I227" s="907"/>
      <c r="J227" s="556"/>
      <c r="K227" s="907"/>
      <c r="L227" s="556"/>
      <c r="M227" s="556"/>
      <c r="N227" s="916"/>
      <c r="O227" s="916"/>
      <c r="P227" s="917"/>
      <c r="Q227" s="917"/>
      <c r="R227" s="15"/>
      <c r="S227" s="15"/>
      <c r="T227" s="15"/>
      <c r="U227" s="15"/>
      <c r="V227" s="15"/>
      <c r="W227" s="15"/>
    </row>
    <row r="228" spans="1:23" s="28" customFormat="1" ht="19.5" customHeight="1">
      <c r="A228" s="170"/>
      <c r="B228" s="171"/>
      <c r="C228" s="168" t="s">
        <v>99</v>
      </c>
      <c r="D228" s="169"/>
      <c r="E228" s="169"/>
      <c r="F228" s="169">
        <v>1000</v>
      </c>
      <c r="G228" s="169"/>
      <c r="H228" s="192"/>
      <c r="I228" s="907"/>
      <c r="J228" s="556"/>
      <c r="K228" s="907"/>
      <c r="L228" s="556"/>
      <c r="M228" s="556"/>
      <c r="N228" s="916"/>
      <c r="O228" s="916"/>
      <c r="P228" s="917"/>
      <c r="Q228" s="917"/>
      <c r="R228" s="15"/>
      <c r="S228" s="15"/>
      <c r="T228" s="15"/>
      <c r="U228" s="15"/>
      <c r="V228" s="15"/>
      <c r="W228" s="15"/>
    </row>
    <row r="229" spans="1:23" s="28" customFormat="1" ht="19.5" customHeight="1">
      <c r="A229" s="170"/>
      <c r="B229" s="171"/>
      <c r="C229" s="168" t="s">
        <v>460</v>
      </c>
      <c r="D229" s="169"/>
      <c r="E229" s="169"/>
      <c r="F229" s="169">
        <v>64900</v>
      </c>
      <c r="G229" s="169"/>
      <c r="H229" s="192"/>
      <c r="I229" s="907"/>
      <c r="J229" s="556"/>
      <c r="K229" s="907"/>
      <c r="L229" s="556"/>
      <c r="M229" s="556"/>
      <c r="N229" s="916"/>
      <c r="O229" s="916"/>
      <c r="P229" s="917"/>
      <c r="Q229" s="917"/>
      <c r="R229" s="15"/>
      <c r="S229" s="15"/>
      <c r="T229" s="15"/>
      <c r="U229" s="15"/>
      <c r="V229" s="15"/>
      <c r="W229" s="15"/>
    </row>
    <row r="230" spans="1:23" s="29" customFormat="1" ht="19.5" customHeight="1">
      <c r="A230" s="163" t="s">
        <v>76</v>
      </c>
      <c r="B230" s="163" t="s">
        <v>77</v>
      </c>
      <c r="C230" s="163"/>
      <c r="D230" s="164">
        <f>SUM(D231:D235)</f>
        <v>10684</v>
      </c>
      <c r="E230" s="164"/>
      <c r="F230" s="164">
        <f>SUM(F231:F235)</f>
        <v>11300.54</v>
      </c>
      <c r="G230" s="164"/>
      <c r="H230" s="190"/>
      <c r="I230" s="902"/>
      <c r="J230" s="909"/>
      <c r="K230" s="902"/>
      <c r="L230" s="909"/>
      <c r="M230" s="909"/>
      <c r="N230" s="908"/>
      <c r="O230" s="908"/>
      <c r="P230" s="918"/>
      <c r="Q230" s="918"/>
      <c r="R230" s="205"/>
      <c r="S230" s="205"/>
      <c r="T230" s="205"/>
      <c r="U230" s="205"/>
      <c r="V230" s="205"/>
      <c r="W230" s="205"/>
    </row>
    <row r="231" spans="1:23" s="28" customFormat="1" ht="19.5" customHeight="1">
      <c r="A231" s="171"/>
      <c r="B231" s="172"/>
      <c r="C231" s="182" t="s">
        <v>101</v>
      </c>
      <c r="D231" s="169"/>
      <c r="E231" s="169"/>
      <c r="F231" s="169">
        <v>11300.54</v>
      </c>
      <c r="G231" s="169"/>
      <c r="H231" s="192"/>
      <c r="I231" s="907"/>
      <c r="J231" s="556"/>
      <c r="K231" s="907"/>
      <c r="L231" s="556"/>
      <c r="M231" s="556"/>
      <c r="N231" s="916"/>
      <c r="O231" s="916"/>
      <c r="P231" s="917"/>
      <c r="Q231" s="917"/>
      <c r="R231" s="15"/>
      <c r="S231" s="15"/>
      <c r="T231" s="15"/>
      <c r="U231" s="15"/>
      <c r="V231" s="15"/>
      <c r="W231" s="15"/>
    </row>
    <row r="232" spans="1:23" s="28" customFormat="1" ht="19.5" customHeight="1">
      <c r="A232" s="171"/>
      <c r="B232" s="172"/>
      <c r="C232" s="182" t="s">
        <v>260</v>
      </c>
      <c r="D232" s="169">
        <v>4188</v>
      </c>
      <c r="E232" s="169"/>
      <c r="F232" s="169"/>
      <c r="G232" s="169"/>
      <c r="H232" s="192"/>
      <c r="I232" s="907"/>
      <c r="J232" s="556"/>
      <c r="K232" s="907"/>
      <c r="L232" s="556"/>
      <c r="M232" s="556"/>
      <c r="N232" s="916"/>
      <c r="O232" s="916"/>
      <c r="P232" s="917"/>
      <c r="Q232" s="917"/>
      <c r="R232" s="15"/>
      <c r="S232" s="15"/>
      <c r="T232" s="15"/>
      <c r="U232" s="15"/>
      <c r="V232" s="15"/>
      <c r="W232" s="15"/>
    </row>
    <row r="233" spans="1:23" s="28" customFormat="1" ht="19.5" customHeight="1">
      <c r="A233" s="171"/>
      <c r="B233" s="172"/>
      <c r="C233" s="182" t="s">
        <v>261</v>
      </c>
      <c r="D233" s="169">
        <v>320</v>
      </c>
      <c r="E233" s="169"/>
      <c r="F233" s="169"/>
      <c r="G233" s="169"/>
      <c r="H233" s="192"/>
      <c r="I233" s="907"/>
      <c r="J233" s="556"/>
      <c r="K233" s="907"/>
      <c r="L233" s="556"/>
      <c r="M233" s="556"/>
      <c r="N233" s="916"/>
      <c r="O233" s="916"/>
      <c r="P233" s="917"/>
      <c r="Q233" s="917"/>
      <c r="R233" s="15"/>
      <c r="S233" s="15"/>
      <c r="T233" s="15"/>
      <c r="U233" s="15"/>
      <c r="V233" s="15"/>
      <c r="W233" s="15"/>
    </row>
    <row r="234" spans="1:23" s="28" customFormat="1" ht="19.5" customHeight="1">
      <c r="A234" s="171"/>
      <c r="B234" s="172"/>
      <c r="C234" s="182" t="s">
        <v>262</v>
      </c>
      <c r="D234" s="169">
        <v>4096</v>
      </c>
      <c r="E234" s="169"/>
      <c r="F234" s="169"/>
      <c r="G234" s="169"/>
      <c r="H234" s="192"/>
      <c r="I234" s="907"/>
      <c r="J234" s="556"/>
      <c r="K234" s="907"/>
      <c r="L234" s="556"/>
      <c r="M234" s="556"/>
      <c r="N234" s="916"/>
      <c r="O234" s="916"/>
      <c r="P234" s="917"/>
      <c r="Q234" s="917"/>
      <c r="R234" s="15"/>
      <c r="S234" s="15"/>
      <c r="T234" s="15"/>
      <c r="U234" s="15"/>
      <c r="V234" s="15"/>
      <c r="W234" s="15"/>
    </row>
    <row r="235" spans="1:23" s="28" customFormat="1" ht="19.5" customHeight="1">
      <c r="A235" s="171"/>
      <c r="B235" s="172"/>
      <c r="C235" s="182" t="s">
        <v>263</v>
      </c>
      <c r="D235" s="169">
        <v>2080</v>
      </c>
      <c r="E235" s="169"/>
      <c r="F235" s="169"/>
      <c r="G235" s="169"/>
      <c r="H235" s="192"/>
      <c r="I235" s="907"/>
      <c r="J235" s="556"/>
      <c r="K235" s="907"/>
      <c r="L235" s="556"/>
      <c r="M235" s="556"/>
      <c r="N235" s="916"/>
      <c r="O235" s="916"/>
      <c r="P235" s="917"/>
      <c r="Q235" s="917"/>
      <c r="R235" s="15"/>
      <c r="S235" s="15"/>
      <c r="T235" s="15"/>
      <c r="U235" s="15"/>
      <c r="V235" s="15"/>
      <c r="W235" s="15"/>
    </row>
    <row r="236" spans="1:23" s="29" customFormat="1" ht="19.5" customHeight="1">
      <c r="A236" s="582" t="s">
        <v>314</v>
      </c>
      <c r="B236" s="165"/>
      <c r="C236" s="166"/>
      <c r="D236" s="540">
        <f>D237+D238+D243</f>
        <v>2070112.23</v>
      </c>
      <c r="E236" s="179"/>
      <c r="F236" s="540">
        <f>F237+F238+F243</f>
        <v>100112.23000000001</v>
      </c>
      <c r="G236" s="179"/>
      <c r="H236" s="190"/>
      <c r="I236" s="902"/>
      <c r="J236" s="909"/>
      <c r="K236" s="902"/>
      <c r="L236" s="909"/>
      <c r="M236" s="909"/>
      <c r="N236" s="908"/>
      <c r="O236" s="908"/>
      <c r="P236" s="918"/>
      <c r="Q236" s="918"/>
      <c r="R236" s="205"/>
      <c r="S236" s="205"/>
      <c r="T236" s="205"/>
      <c r="U236" s="205"/>
      <c r="V236" s="205"/>
      <c r="W236" s="205"/>
    </row>
    <row r="237" spans="1:23" s="28" customFormat="1" ht="19.5" customHeight="1">
      <c r="A237" s="167"/>
      <c r="B237" s="583" t="s">
        <v>51</v>
      </c>
      <c r="C237" s="173" t="s">
        <v>460</v>
      </c>
      <c r="D237" s="181">
        <v>2000000</v>
      </c>
      <c r="E237" s="181"/>
      <c r="F237" s="181"/>
      <c r="G237" s="181"/>
      <c r="H237" s="192"/>
      <c r="I237" s="907"/>
      <c r="J237" s="556"/>
      <c r="K237" s="907"/>
      <c r="L237" s="556"/>
      <c r="M237" s="556"/>
      <c r="N237" s="916"/>
      <c r="O237" s="916"/>
      <c r="P237" s="917"/>
      <c r="Q237" s="917"/>
      <c r="R237" s="15"/>
      <c r="S237" s="15"/>
      <c r="T237" s="15"/>
      <c r="U237" s="15"/>
      <c r="V237" s="15"/>
      <c r="W237" s="15"/>
    </row>
    <row r="238" spans="1:23" s="28" customFormat="1" ht="19.5" customHeight="1">
      <c r="A238" s="171"/>
      <c r="B238" s="583" t="s">
        <v>264</v>
      </c>
      <c r="C238" s="173"/>
      <c r="D238" s="181">
        <f>SUM(D239:D242)</f>
        <v>55112.23</v>
      </c>
      <c r="E238" s="181"/>
      <c r="F238" s="181">
        <f>SUM(F239:F242)</f>
        <v>100112.23000000001</v>
      </c>
      <c r="G238" s="181"/>
      <c r="H238" s="192"/>
      <c r="I238" s="907"/>
      <c r="J238" s="556"/>
      <c r="K238" s="907"/>
      <c r="L238" s="556"/>
      <c r="M238" s="556"/>
      <c r="N238" s="916"/>
      <c r="O238" s="916"/>
      <c r="P238" s="917"/>
      <c r="Q238" s="917"/>
      <c r="R238" s="15"/>
      <c r="S238" s="15"/>
      <c r="T238" s="15"/>
      <c r="U238" s="15"/>
      <c r="V238" s="15"/>
      <c r="W238" s="15"/>
    </row>
    <row r="239" spans="1:23" s="28" customFormat="1" ht="19.5" customHeight="1">
      <c r="A239" s="170"/>
      <c r="B239" s="167"/>
      <c r="C239" s="173" t="s">
        <v>265</v>
      </c>
      <c r="D239" s="181">
        <v>37696.66</v>
      </c>
      <c r="E239" s="181"/>
      <c r="F239" s="181"/>
      <c r="G239" s="181"/>
      <c r="H239" s="192"/>
      <c r="I239" s="907"/>
      <c r="J239" s="556"/>
      <c r="K239" s="907"/>
      <c r="L239" s="556"/>
      <c r="M239" s="556"/>
      <c r="N239" s="916"/>
      <c r="O239" s="916"/>
      <c r="P239" s="917"/>
      <c r="Q239" s="917"/>
      <c r="R239" s="15"/>
      <c r="S239" s="15"/>
      <c r="T239" s="15"/>
      <c r="U239" s="15"/>
      <c r="V239" s="15"/>
      <c r="W239" s="15"/>
    </row>
    <row r="240" spans="1:23" s="28" customFormat="1" ht="19.5" customHeight="1">
      <c r="A240" s="170"/>
      <c r="B240" s="171"/>
      <c r="C240" s="173" t="s">
        <v>460</v>
      </c>
      <c r="D240" s="181">
        <v>17415.57</v>
      </c>
      <c r="E240" s="181"/>
      <c r="F240" s="181"/>
      <c r="G240" s="181"/>
      <c r="H240" s="192"/>
      <c r="I240" s="907"/>
      <c r="J240" s="556"/>
      <c r="K240" s="907"/>
      <c r="L240" s="556"/>
      <c r="M240" s="556"/>
      <c r="N240" s="916"/>
      <c r="O240" s="916"/>
      <c r="P240" s="917"/>
      <c r="Q240" s="917"/>
      <c r="R240" s="15"/>
      <c r="S240" s="15"/>
      <c r="T240" s="15"/>
      <c r="U240" s="15"/>
      <c r="V240" s="15"/>
      <c r="W240" s="15"/>
    </row>
    <row r="241" spans="1:23" s="28" customFormat="1" ht="19.5" customHeight="1">
      <c r="A241" s="170"/>
      <c r="B241" s="171"/>
      <c r="C241" s="173" t="s">
        <v>321</v>
      </c>
      <c r="D241" s="181"/>
      <c r="E241" s="181"/>
      <c r="F241" s="181">
        <v>45000</v>
      </c>
      <c r="G241" s="181"/>
      <c r="H241" s="192"/>
      <c r="I241" s="907"/>
      <c r="J241" s="556"/>
      <c r="K241" s="907"/>
      <c r="L241" s="556"/>
      <c r="M241" s="556"/>
      <c r="N241" s="916"/>
      <c r="O241" s="916"/>
      <c r="P241" s="917"/>
      <c r="Q241" s="917"/>
      <c r="R241" s="15"/>
      <c r="S241" s="15"/>
      <c r="T241" s="15"/>
      <c r="U241" s="15"/>
      <c r="V241" s="15"/>
      <c r="W241" s="15"/>
    </row>
    <row r="242" spans="1:23" s="28" customFormat="1" ht="19.5" customHeight="1">
      <c r="A242" s="170"/>
      <c r="B242" s="182"/>
      <c r="C242" s="173" t="s">
        <v>266</v>
      </c>
      <c r="D242" s="181"/>
      <c r="E242" s="181"/>
      <c r="F242" s="181">
        <v>55112.23</v>
      </c>
      <c r="G242" s="181"/>
      <c r="H242" s="192"/>
      <c r="I242" s="907"/>
      <c r="J242" s="556"/>
      <c r="K242" s="907"/>
      <c r="L242" s="556"/>
      <c r="M242" s="556"/>
      <c r="N242" s="916"/>
      <c r="O242" s="916"/>
      <c r="P242" s="917"/>
      <c r="Q242" s="917"/>
      <c r="R242" s="15"/>
      <c r="S242" s="15"/>
      <c r="T242" s="15"/>
      <c r="U242" s="15"/>
      <c r="V242" s="15"/>
      <c r="W242" s="15"/>
    </row>
    <row r="243" spans="1:23" s="28" customFormat="1" ht="19.5" customHeight="1">
      <c r="A243" s="171"/>
      <c r="B243" s="173" t="s">
        <v>315</v>
      </c>
      <c r="C243" s="173"/>
      <c r="D243" s="181">
        <f>SUM(D244:D244)</f>
        <v>15000</v>
      </c>
      <c r="E243" s="181"/>
      <c r="F243" s="181">
        <f>SUM(F244:F244)</f>
        <v>0</v>
      </c>
      <c r="G243" s="181"/>
      <c r="H243" s="192"/>
      <c r="I243" s="907"/>
      <c r="J243" s="556"/>
      <c r="K243" s="907"/>
      <c r="L243" s="556"/>
      <c r="M243" s="556"/>
      <c r="N243" s="916"/>
      <c r="O243" s="916"/>
      <c r="P243" s="917"/>
      <c r="Q243" s="917"/>
      <c r="R243" s="15"/>
      <c r="S243" s="15"/>
      <c r="T243" s="15"/>
      <c r="U243" s="15"/>
      <c r="V243" s="15"/>
      <c r="W243" s="15"/>
    </row>
    <row r="244" spans="1:23" s="28" customFormat="1" ht="19.5" customHeight="1">
      <c r="A244" s="171"/>
      <c r="B244" s="172"/>
      <c r="C244" s="583" t="s">
        <v>460</v>
      </c>
      <c r="D244" s="181">
        <v>15000</v>
      </c>
      <c r="E244" s="181"/>
      <c r="F244" s="181"/>
      <c r="G244" s="181"/>
      <c r="H244" s="192"/>
      <c r="I244" s="907"/>
      <c r="J244" s="556"/>
      <c r="K244" s="907"/>
      <c r="L244" s="556"/>
      <c r="M244" s="556"/>
      <c r="N244" s="916"/>
      <c r="O244" s="916"/>
      <c r="P244" s="917"/>
      <c r="Q244" s="917"/>
      <c r="R244" s="15"/>
      <c r="S244" s="15"/>
      <c r="T244" s="15"/>
      <c r="U244" s="15"/>
      <c r="V244" s="15"/>
      <c r="W244" s="15"/>
    </row>
    <row r="245" spans="1:23" s="29" customFormat="1" ht="19.5" customHeight="1">
      <c r="A245" s="163" t="s">
        <v>69</v>
      </c>
      <c r="B245" s="166" t="s">
        <v>70</v>
      </c>
      <c r="C245" s="166" t="s">
        <v>71</v>
      </c>
      <c r="D245" s="179"/>
      <c r="E245" s="179"/>
      <c r="F245" s="179">
        <v>60000</v>
      </c>
      <c r="G245" s="179"/>
      <c r="H245" s="190"/>
      <c r="I245" s="902"/>
      <c r="J245" s="909"/>
      <c r="K245" s="902"/>
      <c r="L245" s="909"/>
      <c r="M245" s="909"/>
      <c r="N245" s="908"/>
      <c r="O245" s="908"/>
      <c r="P245" s="918"/>
      <c r="Q245" s="918"/>
      <c r="R245" s="205"/>
      <c r="S245" s="205"/>
      <c r="T245" s="205"/>
      <c r="U245" s="205"/>
      <c r="V245" s="205"/>
      <c r="W245" s="205"/>
    </row>
    <row r="246" spans="1:23" s="29" customFormat="1" ht="19.5" customHeight="1">
      <c r="A246" s="384" t="s">
        <v>80</v>
      </c>
      <c r="B246" s="595"/>
      <c r="C246" s="565"/>
      <c r="D246" s="179">
        <f>D247+D248+D249</f>
        <v>180007</v>
      </c>
      <c r="E246" s="179"/>
      <c r="F246" s="179">
        <f>F247+F248+F249</f>
        <v>180007</v>
      </c>
      <c r="G246" s="179"/>
      <c r="H246" s="190"/>
      <c r="I246" s="902"/>
      <c r="J246" s="909"/>
      <c r="K246" s="902"/>
      <c r="L246" s="909"/>
      <c r="M246" s="909"/>
      <c r="N246" s="908"/>
      <c r="O246" s="908"/>
      <c r="P246" s="918"/>
      <c r="Q246" s="918"/>
      <c r="R246" s="205"/>
      <c r="S246" s="205"/>
      <c r="T246" s="205"/>
      <c r="U246" s="205"/>
      <c r="V246" s="205"/>
      <c r="W246" s="205"/>
    </row>
    <row r="247" spans="1:23" s="28" customFormat="1" ht="19.5" customHeight="1">
      <c r="A247" s="513"/>
      <c r="B247" s="167" t="s">
        <v>81</v>
      </c>
      <c r="C247" s="173" t="s">
        <v>321</v>
      </c>
      <c r="D247" s="181"/>
      <c r="E247" s="181"/>
      <c r="F247" s="181">
        <v>170000</v>
      </c>
      <c r="G247" s="181"/>
      <c r="H247" s="192"/>
      <c r="I247" s="907"/>
      <c r="J247" s="556"/>
      <c r="K247" s="907"/>
      <c r="L247" s="556"/>
      <c r="M247" s="556"/>
      <c r="N247" s="916"/>
      <c r="O247" s="916"/>
      <c r="P247" s="917"/>
      <c r="Q247" s="917"/>
      <c r="R247" s="15"/>
      <c r="S247" s="15"/>
      <c r="T247" s="15"/>
      <c r="U247" s="15"/>
      <c r="V247" s="15"/>
      <c r="W247" s="15"/>
    </row>
    <row r="248" spans="1:23" s="28" customFormat="1" ht="19.5" customHeight="1">
      <c r="A248" s="170"/>
      <c r="B248" s="167" t="s">
        <v>82</v>
      </c>
      <c r="C248" s="172" t="s">
        <v>321</v>
      </c>
      <c r="D248" s="181">
        <v>170000</v>
      </c>
      <c r="E248" s="181"/>
      <c r="F248" s="181"/>
      <c r="G248" s="181"/>
      <c r="H248" s="192"/>
      <c r="I248" s="907"/>
      <c r="J248" s="556"/>
      <c r="K248" s="907"/>
      <c r="L248" s="556"/>
      <c r="M248" s="556"/>
      <c r="N248" s="916"/>
      <c r="O248" s="916"/>
      <c r="P248" s="917"/>
      <c r="Q248" s="917"/>
      <c r="R248" s="15"/>
      <c r="S248" s="15"/>
      <c r="T248" s="15"/>
      <c r="U248" s="15"/>
      <c r="V248" s="15"/>
      <c r="W248" s="15"/>
    </row>
    <row r="249" spans="1:23" s="28" customFormat="1" ht="19.5" customHeight="1">
      <c r="A249" s="170"/>
      <c r="B249" s="513" t="s">
        <v>250</v>
      </c>
      <c r="C249" s="274"/>
      <c r="D249" s="181">
        <f>SUM(D250:D252)</f>
        <v>10007</v>
      </c>
      <c r="E249" s="181"/>
      <c r="F249" s="181">
        <f>SUM(F250:F252)</f>
        <v>10007</v>
      </c>
      <c r="G249" s="181"/>
      <c r="H249" s="192"/>
      <c r="I249" s="907"/>
      <c r="J249" s="556"/>
      <c r="K249" s="907"/>
      <c r="L249" s="556"/>
      <c r="M249" s="556"/>
      <c r="N249" s="916"/>
      <c r="O249" s="916"/>
      <c r="P249" s="917"/>
      <c r="Q249" s="917"/>
      <c r="R249" s="15"/>
      <c r="S249" s="15"/>
      <c r="T249" s="15"/>
      <c r="U249" s="15"/>
      <c r="V249" s="15"/>
      <c r="W249" s="15"/>
    </row>
    <row r="250" spans="1:23" s="28" customFormat="1" ht="19.5" customHeight="1">
      <c r="A250" s="170"/>
      <c r="B250" s="513"/>
      <c r="C250" s="274" t="s">
        <v>251</v>
      </c>
      <c r="D250" s="181">
        <v>8000</v>
      </c>
      <c r="E250" s="181"/>
      <c r="F250" s="181"/>
      <c r="G250" s="181"/>
      <c r="H250" s="192"/>
      <c r="I250" s="907"/>
      <c r="J250" s="556"/>
      <c r="K250" s="907"/>
      <c r="L250" s="556"/>
      <c r="M250" s="556"/>
      <c r="N250" s="916"/>
      <c r="O250" s="916"/>
      <c r="P250" s="917"/>
      <c r="Q250" s="917"/>
      <c r="R250" s="15"/>
      <c r="S250" s="15"/>
      <c r="T250" s="15"/>
      <c r="U250" s="15"/>
      <c r="V250" s="15"/>
      <c r="W250" s="15"/>
    </row>
    <row r="251" spans="1:23" s="28" customFormat="1" ht="19.5" customHeight="1">
      <c r="A251" s="170"/>
      <c r="B251" s="170"/>
      <c r="C251" s="182" t="s">
        <v>252</v>
      </c>
      <c r="D251" s="181">
        <v>2007</v>
      </c>
      <c r="E251" s="181"/>
      <c r="F251" s="181"/>
      <c r="G251" s="181"/>
      <c r="H251" s="192"/>
      <c r="I251" s="907"/>
      <c r="J251" s="556"/>
      <c r="K251" s="907"/>
      <c r="L251" s="556"/>
      <c r="M251" s="556"/>
      <c r="N251" s="916"/>
      <c r="O251" s="916"/>
      <c r="P251" s="917"/>
      <c r="Q251" s="917"/>
      <c r="R251" s="15"/>
      <c r="S251" s="15"/>
      <c r="T251" s="15"/>
      <c r="U251" s="15"/>
      <c r="V251" s="15"/>
      <c r="W251" s="15"/>
    </row>
    <row r="252" spans="1:23" s="28" customFormat="1" ht="19.5" customHeight="1">
      <c r="A252" s="170"/>
      <c r="B252" s="355"/>
      <c r="C252" s="182" t="s">
        <v>62</v>
      </c>
      <c r="D252" s="181"/>
      <c r="E252" s="181"/>
      <c r="F252" s="181">
        <v>10007</v>
      </c>
      <c r="G252" s="181"/>
      <c r="H252" s="192"/>
      <c r="I252" s="907"/>
      <c r="J252" s="556"/>
      <c r="K252" s="907"/>
      <c r="L252" s="556"/>
      <c r="M252" s="556"/>
      <c r="N252" s="916"/>
      <c r="O252" s="916"/>
      <c r="P252" s="917"/>
      <c r="Q252" s="917"/>
      <c r="R252" s="15"/>
      <c r="S252" s="15"/>
      <c r="T252" s="15"/>
      <c r="U252" s="15"/>
      <c r="V252" s="15"/>
      <c r="W252" s="15"/>
    </row>
    <row r="253" spans="1:23" s="3" customFormat="1" ht="19.5" customHeight="1">
      <c r="A253" s="780" t="s">
        <v>364</v>
      </c>
      <c r="B253" s="563"/>
      <c r="C253" s="206"/>
      <c r="D253" s="32">
        <f>D192+D195+D203+D204+D205+D216+D217+D230+D236+D245+D246</f>
        <v>2277880.5</v>
      </c>
      <c r="E253" s="32">
        <f>E192+E195+E203+E204+E205+E216+E217+E230+E236+E245+E246</f>
        <v>0</v>
      </c>
      <c r="F253" s="32">
        <f>F192+F195+F203+F204+F205+F216+F217+F230+F236+F245+F246</f>
        <v>1618970.22</v>
      </c>
      <c r="G253" s="32">
        <f>G192+G195+G203+G204+G205+G216+G217+G230+G236+G245+G246</f>
        <v>0</v>
      </c>
      <c r="H253" s="20"/>
      <c r="I253" s="919"/>
      <c r="J253" s="920"/>
      <c r="K253" s="522"/>
      <c r="L253" s="920"/>
      <c r="M253" s="920"/>
      <c r="N253" s="27"/>
      <c r="O253" s="27"/>
      <c r="P253" s="27"/>
      <c r="Q253" s="27"/>
      <c r="R253" s="25"/>
      <c r="S253" s="25"/>
      <c r="T253" s="25"/>
      <c r="U253" s="25"/>
      <c r="V253" s="25"/>
      <c r="W253" s="25"/>
    </row>
    <row r="254" spans="1:23" s="3" customFormat="1" ht="19.5" customHeight="1">
      <c r="A254" s="207"/>
      <c r="B254" s="208"/>
      <c r="C254" s="209"/>
      <c r="D254" s="27"/>
      <c r="E254" s="27"/>
      <c r="F254" s="27"/>
      <c r="G254" s="27"/>
      <c r="H254" s="20"/>
      <c r="I254" s="919"/>
      <c r="J254" s="920"/>
      <c r="K254" s="522"/>
      <c r="L254" s="920"/>
      <c r="M254" s="920"/>
      <c r="N254" s="27"/>
      <c r="O254" s="27"/>
      <c r="P254" s="27"/>
      <c r="Q254" s="27"/>
      <c r="R254" s="25"/>
      <c r="S254" s="25"/>
      <c r="T254" s="25"/>
      <c r="U254" s="25"/>
      <c r="V254" s="25"/>
      <c r="W254" s="25"/>
    </row>
    <row r="255" spans="1:23" s="3" customFormat="1" ht="19.5" customHeight="1">
      <c r="A255" s="207"/>
      <c r="B255" s="208"/>
      <c r="C255" s="209"/>
      <c r="D255" s="27"/>
      <c r="E255" s="27"/>
      <c r="F255" s="27"/>
      <c r="G255" s="27"/>
      <c r="H255" s="20"/>
      <c r="I255" s="919"/>
      <c r="J255" s="920"/>
      <c r="K255" s="522"/>
      <c r="L255" s="920"/>
      <c r="M255" s="920"/>
      <c r="N255" s="27"/>
      <c r="O255" s="27"/>
      <c r="P255" s="27"/>
      <c r="Q255" s="27"/>
      <c r="R255" s="25"/>
      <c r="S255" s="25"/>
      <c r="T255" s="25"/>
      <c r="U255" s="25"/>
      <c r="V255" s="25"/>
      <c r="W255" s="25"/>
    </row>
    <row r="256" spans="1:23" s="3" customFormat="1" ht="23.25" customHeight="1">
      <c r="A256" s="207"/>
      <c r="B256" s="208"/>
      <c r="C256" s="209"/>
      <c r="D256" s="27"/>
      <c r="E256" s="27"/>
      <c r="F256" s="27"/>
      <c r="G256" s="27"/>
      <c r="H256" s="20"/>
      <c r="I256" s="919"/>
      <c r="J256" s="920"/>
      <c r="K256" s="522"/>
      <c r="L256" s="920"/>
      <c r="M256" s="920"/>
      <c r="N256" s="27"/>
      <c r="O256" s="27"/>
      <c r="P256" s="27"/>
      <c r="Q256" s="27"/>
      <c r="R256" s="25"/>
      <c r="S256" s="25"/>
      <c r="T256" s="25"/>
      <c r="U256" s="25"/>
      <c r="V256" s="25"/>
      <c r="W256" s="25"/>
    </row>
    <row r="257" spans="1:23" ht="19.5" customHeight="1">
      <c r="A257" s="199" t="s">
        <v>365</v>
      </c>
      <c r="B257" s="185"/>
      <c r="C257" s="201"/>
      <c r="D257" s="18"/>
      <c r="E257" s="18"/>
      <c r="F257" s="18"/>
      <c r="G257" s="18"/>
      <c r="H257" s="21"/>
      <c r="I257" s="903"/>
      <c r="J257" s="909"/>
      <c r="K257" s="910"/>
      <c r="L257" s="921"/>
      <c r="M257" s="898"/>
      <c r="N257" s="899"/>
      <c r="O257" s="899"/>
      <c r="P257" s="12"/>
      <c r="Q257" s="12"/>
      <c r="R257" s="16"/>
      <c r="S257" s="16"/>
      <c r="T257" s="16"/>
      <c r="U257" s="16"/>
      <c r="V257" s="16"/>
      <c r="W257" s="16"/>
    </row>
    <row r="258" spans="1:23" ht="19.5" customHeight="1">
      <c r="A258" s="199"/>
      <c r="B258" s="185"/>
      <c r="C258" s="201"/>
      <c r="D258" s="18"/>
      <c r="E258" s="18"/>
      <c r="F258" s="18"/>
      <c r="G258" s="18"/>
      <c r="H258" s="21"/>
      <c r="I258" s="903"/>
      <c r="J258" s="909"/>
      <c r="K258" s="910"/>
      <c r="L258" s="921"/>
      <c r="M258" s="898"/>
      <c r="N258" s="899"/>
      <c r="O258" s="899"/>
      <c r="P258" s="12"/>
      <c r="Q258" s="12"/>
      <c r="R258" s="16"/>
      <c r="S258" s="16"/>
      <c r="T258" s="16"/>
      <c r="U258" s="16"/>
      <c r="V258" s="16"/>
      <c r="W258" s="16"/>
    </row>
    <row r="259" spans="1:23" ht="19.5" customHeight="1">
      <c r="A259" s="199"/>
      <c r="B259" s="200"/>
      <c r="C259" s="201"/>
      <c r="D259" s="18"/>
      <c r="E259" s="18"/>
      <c r="F259" s="18"/>
      <c r="G259" s="18"/>
      <c r="H259" s="21"/>
      <c r="I259" s="903"/>
      <c r="J259" s="909"/>
      <c r="K259" s="910"/>
      <c r="L259" s="921"/>
      <c r="M259" s="898"/>
      <c r="N259" s="899"/>
      <c r="O259" s="899"/>
      <c r="P259" s="12"/>
      <c r="Q259" s="12"/>
      <c r="R259" s="16"/>
      <c r="S259" s="16"/>
      <c r="T259" s="16"/>
      <c r="U259" s="16"/>
      <c r="V259" s="16"/>
      <c r="W259" s="16"/>
    </row>
    <row r="260" spans="1:23" ht="19.5" customHeight="1">
      <c r="A260" s="202" t="s">
        <v>244</v>
      </c>
      <c r="B260" s="200"/>
      <c r="C260" s="203"/>
      <c r="D260" s="19"/>
      <c r="E260" s="19"/>
      <c r="F260" s="19"/>
      <c r="G260" s="19"/>
      <c r="H260" s="17"/>
      <c r="I260" s="897"/>
      <c r="J260" s="913"/>
      <c r="K260" s="922"/>
      <c r="L260" s="898"/>
      <c r="M260" s="898"/>
      <c r="N260" s="899"/>
      <c r="O260" s="899"/>
      <c r="P260" s="12"/>
      <c r="Q260" s="12"/>
      <c r="R260" s="16"/>
      <c r="S260" s="16"/>
      <c r="T260" s="16"/>
      <c r="U260" s="16"/>
      <c r="V260" s="16"/>
      <c r="W260" s="16"/>
    </row>
    <row r="261" spans="1:23" ht="19.5" customHeight="1">
      <c r="A261" s="202"/>
      <c r="B261" s="202"/>
      <c r="C261" s="203"/>
      <c r="D261" s="19"/>
      <c r="E261" s="19"/>
      <c r="F261" s="19"/>
      <c r="G261" s="19"/>
      <c r="H261" s="17"/>
      <c r="I261" s="897"/>
      <c r="J261" s="913"/>
      <c r="K261" s="922"/>
      <c r="L261" s="898"/>
      <c r="M261" s="898"/>
      <c r="N261" s="899"/>
      <c r="O261" s="899"/>
      <c r="P261" s="12"/>
      <c r="Q261" s="12"/>
      <c r="R261" s="16"/>
      <c r="S261" s="16"/>
      <c r="T261" s="16"/>
      <c r="U261" s="16"/>
      <c r="V261" s="16"/>
      <c r="W261" s="16"/>
    </row>
    <row r="262" spans="1:23" ht="19.5" customHeight="1">
      <c r="A262" s="210"/>
      <c r="B262" s="158"/>
      <c r="C262" s="211"/>
      <c r="D262" s="10" t="s">
        <v>355</v>
      </c>
      <c r="E262" s="11"/>
      <c r="F262" s="10" t="s">
        <v>426</v>
      </c>
      <c r="G262" s="11"/>
      <c r="H262" s="17"/>
      <c r="I262" s="903"/>
      <c r="J262" s="556"/>
      <c r="K262" s="599"/>
      <c r="L262" s="898"/>
      <c r="M262" s="898"/>
      <c r="N262" s="899"/>
      <c r="O262" s="899"/>
      <c r="P262" s="12"/>
      <c r="Q262" s="12"/>
      <c r="R262" s="16"/>
      <c r="S262" s="16"/>
      <c r="T262" s="16"/>
      <c r="U262" s="16"/>
      <c r="V262" s="16"/>
      <c r="W262" s="16"/>
    </row>
    <row r="263" spans="1:23" ht="19.5" customHeight="1">
      <c r="A263" s="212"/>
      <c r="B263" s="160"/>
      <c r="C263" s="213"/>
      <c r="D263" s="12" t="s">
        <v>358</v>
      </c>
      <c r="E263" s="11" t="s">
        <v>357</v>
      </c>
      <c r="F263" s="12" t="s">
        <v>358</v>
      </c>
      <c r="G263" s="11" t="s">
        <v>357</v>
      </c>
      <c r="H263" s="17"/>
      <c r="I263" s="910"/>
      <c r="J263" s="556"/>
      <c r="K263" s="599"/>
      <c r="L263" s="898"/>
      <c r="M263" s="898"/>
      <c r="N263" s="899"/>
      <c r="O263" s="899"/>
      <c r="P263" s="12"/>
      <c r="Q263" s="12"/>
      <c r="R263" s="16"/>
      <c r="S263" s="16"/>
      <c r="T263" s="16"/>
      <c r="U263" s="16"/>
      <c r="V263" s="16"/>
      <c r="W263" s="16"/>
    </row>
    <row r="264" spans="1:23" ht="24" customHeight="1">
      <c r="A264" s="214" t="s">
        <v>360</v>
      </c>
      <c r="B264" s="215" t="s">
        <v>366</v>
      </c>
      <c r="C264" s="216" t="s">
        <v>361</v>
      </c>
      <c r="D264" s="217" t="s">
        <v>362</v>
      </c>
      <c r="E264" s="218" t="s">
        <v>363</v>
      </c>
      <c r="F264" s="217" t="s">
        <v>362</v>
      </c>
      <c r="G264" s="218" t="s">
        <v>363</v>
      </c>
      <c r="H264" s="17"/>
      <c r="I264" s="903"/>
      <c r="J264" s="556"/>
      <c r="K264" s="599"/>
      <c r="L264" s="898"/>
      <c r="M264" s="898"/>
      <c r="N264" s="899"/>
      <c r="O264" s="899"/>
      <c r="P264" s="12"/>
      <c r="Q264" s="12"/>
      <c r="R264" s="16"/>
      <c r="S264" s="16"/>
      <c r="T264" s="16"/>
      <c r="U264" s="16"/>
      <c r="V264" s="16"/>
      <c r="W264" s="16"/>
    </row>
    <row r="265" spans="1:23" s="562" customFormat="1" ht="20.25" customHeight="1">
      <c r="A265" s="582" t="s">
        <v>319</v>
      </c>
      <c r="B265" s="165" t="s">
        <v>72</v>
      </c>
      <c r="C265" s="166"/>
      <c r="D265" s="550">
        <f>SUM(D266:D268)</f>
        <v>66000</v>
      </c>
      <c r="E265" s="548"/>
      <c r="F265" s="550">
        <f>SUM(F266:F268)</f>
        <v>70000</v>
      </c>
      <c r="G265" s="548"/>
      <c r="H265" s="20"/>
      <c r="I265" s="919"/>
      <c r="J265" s="920"/>
      <c r="K265" s="923"/>
      <c r="L265" s="924"/>
      <c r="M265" s="924"/>
      <c r="N265" s="925"/>
      <c r="O265" s="925"/>
      <c r="P265" s="926"/>
      <c r="Q265" s="926"/>
      <c r="R265" s="561"/>
      <c r="S265" s="561"/>
      <c r="T265" s="561"/>
      <c r="U265" s="561"/>
      <c r="V265" s="561"/>
      <c r="W265" s="561"/>
    </row>
    <row r="266" spans="1:23" s="49" customFormat="1" ht="20.25" customHeight="1">
      <c r="A266" s="513"/>
      <c r="B266" s="167"/>
      <c r="C266" s="168" t="s">
        <v>62</v>
      </c>
      <c r="D266" s="516"/>
      <c r="E266" s="546"/>
      <c r="F266" s="516">
        <v>20000</v>
      </c>
      <c r="G266" s="546"/>
      <c r="H266" s="551"/>
      <c r="I266" s="927"/>
      <c r="J266" s="928"/>
      <c r="K266" s="929"/>
      <c r="L266" s="930"/>
      <c r="M266" s="930"/>
      <c r="N266" s="931"/>
      <c r="O266" s="931"/>
      <c r="P266" s="932"/>
      <c r="Q266" s="932"/>
      <c r="R266" s="552"/>
      <c r="S266" s="552"/>
      <c r="T266" s="552"/>
      <c r="U266" s="552"/>
      <c r="V266" s="552"/>
      <c r="W266" s="552"/>
    </row>
    <row r="267" spans="1:23" s="49" customFormat="1" ht="20.25" customHeight="1">
      <c r="A267" s="170"/>
      <c r="B267" s="171"/>
      <c r="C267" s="168" t="s">
        <v>221</v>
      </c>
      <c r="D267" s="516">
        <f>45000+1000+20000</f>
        <v>66000</v>
      </c>
      <c r="E267" s="546"/>
      <c r="F267" s="516"/>
      <c r="G267" s="546"/>
      <c r="H267" s="551"/>
      <c r="I267" s="927"/>
      <c r="J267" s="928"/>
      <c r="K267" s="929"/>
      <c r="L267" s="930"/>
      <c r="M267" s="930"/>
      <c r="N267" s="931"/>
      <c r="O267" s="931"/>
      <c r="P267" s="932"/>
      <c r="Q267" s="932"/>
      <c r="R267" s="552"/>
      <c r="S267" s="552"/>
      <c r="T267" s="552"/>
      <c r="U267" s="552"/>
      <c r="V267" s="552"/>
      <c r="W267" s="552"/>
    </row>
    <row r="268" spans="1:23" s="49" customFormat="1" ht="20.25" customHeight="1">
      <c r="A268" s="355"/>
      <c r="B268" s="182"/>
      <c r="C268" s="168" t="s">
        <v>321</v>
      </c>
      <c r="D268" s="516"/>
      <c r="E268" s="546"/>
      <c r="F268" s="516">
        <f>50000</f>
        <v>50000</v>
      </c>
      <c r="G268" s="546"/>
      <c r="H268" s="551"/>
      <c r="I268" s="927"/>
      <c r="J268" s="928"/>
      <c r="K268" s="929"/>
      <c r="L268" s="930"/>
      <c r="M268" s="930"/>
      <c r="N268" s="931"/>
      <c r="O268" s="931"/>
      <c r="P268" s="932"/>
      <c r="Q268" s="932"/>
      <c r="R268" s="552"/>
      <c r="S268" s="552"/>
      <c r="T268" s="552"/>
      <c r="U268" s="552"/>
      <c r="V268" s="552"/>
      <c r="W268" s="552"/>
    </row>
    <row r="269" spans="1:23" s="49" customFormat="1" ht="21" customHeight="1">
      <c r="A269" s="745">
        <v>758</v>
      </c>
      <c r="B269" s="746">
        <v>75818</v>
      </c>
      <c r="C269" s="547"/>
      <c r="D269" s="550">
        <f>SUM(D270:D271)</f>
        <v>656.91</v>
      </c>
      <c r="E269" s="548"/>
      <c r="F269" s="550">
        <f>SUM(F270:F271)</f>
        <v>600000</v>
      </c>
      <c r="G269" s="548"/>
      <c r="H269" s="551"/>
      <c r="I269" s="919"/>
      <c r="J269" s="928"/>
      <c r="K269" s="923"/>
      <c r="L269" s="930"/>
      <c r="M269" s="930"/>
      <c r="N269" s="931"/>
      <c r="O269" s="931"/>
      <c r="P269" s="932"/>
      <c r="Q269" s="932"/>
      <c r="R269" s="552"/>
      <c r="S269" s="552"/>
      <c r="T269" s="552"/>
      <c r="U269" s="552"/>
      <c r="V269" s="552"/>
      <c r="W269" s="552"/>
    </row>
    <row r="270" spans="1:23" s="49" customFormat="1" ht="18.75" customHeight="1">
      <c r="A270" s="544"/>
      <c r="B270" s="542"/>
      <c r="C270" s="274" t="s">
        <v>56</v>
      </c>
      <c r="D270" s="516">
        <v>656.91</v>
      </c>
      <c r="E270" s="546"/>
      <c r="F270" s="516"/>
      <c r="G270" s="546"/>
      <c r="H270" s="551"/>
      <c r="I270" s="927"/>
      <c r="J270" s="928"/>
      <c r="K270" s="929"/>
      <c r="L270" s="930"/>
      <c r="M270" s="930"/>
      <c r="N270" s="931"/>
      <c r="O270" s="931"/>
      <c r="P270" s="932"/>
      <c r="Q270" s="932"/>
      <c r="R270" s="552"/>
      <c r="S270" s="552"/>
      <c r="T270" s="552"/>
      <c r="U270" s="552"/>
      <c r="V270" s="552"/>
      <c r="W270" s="552"/>
    </row>
    <row r="271" spans="1:17" s="364" customFormat="1" ht="19.5" customHeight="1">
      <c r="A271" s="549"/>
      <c r="B271" s="390"/>
      <c r="C271" s="362">
        <v>6800</v>
      </c>
      <c r="D271" s="363"/>
      <c r="E271" s="363"/>
      <c r="F271" s="363">
        <f>700000-50000-50000</f>
        <v>600000</v>
      </c>
      <c r="G271" s="363"/>
      <c r="I271" s="893"/>
      <c r="J271" s="893"/>
      <c r="K271" s="893"/>
      <c r="L271" s="893"/>
      <c r="M271" s="893"/>
      <c r="N271" s="894"/>
      <c r="O271" s="894"/>
      <c r="P271" s="895"/>
      <c r="Q271" s="895"/>
    </row>
    <row r="272" spans="1:17" s="33" customFormat="1" ht="19.5" customHeight="1">
      <c r="A272" s="541">
        <v>801</v>
      </c>
      <c r="B272" s="543"/>
      <c r="C272" s="368"/>
      <c r="D272" s="31">
        <f>D273+D274+D275+D281</f>
        <v>2485</v>
      </c>
      <c r="E272" s="31"/>
      <c r="F272" s="31">
        <f>F273+F274+F275+F281</f>
        <v>25431</v>
      </c>
      <c r="G272" s="31"/>
      <c r="I272" s="574"/>
      <c r="J272" s="574"/>
      <c r="K272" s="574"/>
      <c r="L272" s="574"/>
      <c r="M272" s="574"/>
      <c r="N272" s="575"/>
      <c r="O272" s="575"/>
      <c r="P272" s="576"/>
      <c r="Q272" s="576"/>
    </row>
    <row r="273" spans="1:17" s="364" customFormat="1" ht="19.5" customHeight="1">
      <c r="A273" s="388"/>
      <c r="B273" s="390">
        <v>80120</v>
      </c>
      <c r="C273" s="515">
        <v>4270</v>
      </c>
      <c r="D273" s="363"/>
      <c r="E273" s="363"/>
      <c r="F273" s="363">
        <v>942</v>
      </c>
      <c r="G273" s="363"/>
      <c r="I273" s="893"/>
      <c r="J273" s="893"/>
      <c r="K273" s="893"/>
      <c r="L273" s="893"/>
      <c r="M273" s="893"/>
      <c r="N273" s="894"/>
      <c r="O273" s="894"/>
      <c r="P273" s="895"/>
      <c r="Q273" s="895"/>
    </row>
    <row r="274" spans="1:17" s="364" customFormat="1" ht="19.5" customHeight="1">
      <c r="A274" s="388"/>
      <c r="B274" s="390">
        <v>80123</v>
      </c>
      <c r="C274" s="515">
        <v>4270</v>
      </c>
      <c r="D274" s="363"/>
      <c r="E274" s="363"/>
      <c r="F274" s="363">
        <v>277</v>
      </c>
      <c r="G274" s="363"/>
      <c r="I274" s="893"/>
      <c r="J274" s="893"/>
      <c r="K274" s="893"/>
      <c r="L274" s="893"/>
      <c r="M274" s="893"/>
      <c r="N274" s="894"/>
      <c r="O274" s="894"/>
      <c r="P274" s="895"/>
      <c r="Q274" s="895"/>
    </row>
    <row r="275" spans="1:17" s="364" customFormat="1" ht="19.5" customHeight="1">
      <c r="A275" s="388"/>
      <c r="B275" s="536">
        <v>80130</v>
      </c>
      <c r="C275" s="515"/>
      <c r="D275" s="363">
        <f>SUM(D276:D280)</f>
        <v>2485</v>
      </c>
      <c r="E275" s="363"/>
      <c r="F275" s="363">
        <f>SUM(F276:F280)</f>
        <v>4212</v>
      </c>
      <c r="G275" s="363"/>
      <c r="I275" s="893"/>
      <c r="J275" s="893"/>
      <c r="K275" s="893"/>
      <c r="L275" s="893"/>
      <c r="M275" s="893"/>
      <c r="N275" s="894"/>
      <c r="O275" s="894"/>
      <c r="P275" s="895"/>
      <c r="Q275" s="895"/>
    </row>
    <row r="276" spans="1:17" s="364" customFormat="1" ht="19.5" customHeight="1">
      <c r="A276" s="388"/>
      <c r="B276" s="391"/>
      <c r="C276" s="515">
        <v>4260</v>
      </c>
      <c r="D276" s="363">
        <v>1300</v>
      </c>
      <c r="E276" s="363"/>
      <c r="F276" s="363"/>
      <c r="G276" s="363"/>
      <c r="I276" s="893"/>
      <c r="J276" s="893"/>
      <c r="K276" s="893"/>
      <c r="L276" s="893"/>
      <c r="M276" s="893"/>
      <c r="N276" s="894"/>
      <c r="O276" s="894"/>
      <c r="P276" s="895"/>
      <c r="Q276" s="895"/>
    </row>
    <row r="277" spans="1:17" s="364" customFormat="1" ht="19.5" customHeight="1">
      <c r="A277" s="388"/>
      <c r="B277" s="391"/>
      <c r="C277" s="515">
        <v>4270</v>
      </c>
      <c r="D277" s="363">
        <v>370</v>
      </c>
      <c r="E277" s="363"/>
      <c r="F277" s="363">
        <v>4212</v>
      </c>
      <c r="G277" s="363"/>
      <c r="I277" s="893"/>
      <c r="J277" s="893"/>
      <c r="K277" s="893"/>
      <c r="L277" s="893"/>
      <c r="M277" s="893"/>
      <c r="N277" s="894"/>
      <c r="O277" s="894"/>
      <c r="P277" s="895"/>
      <c r="Q277" s="895"/>
    </row>
    <row r="278" spans="1:17" s="364" customFormat="1" ht="19.5" customHeight="1">
      <c r="A278" s="388"/>
      <c r="B278" s="391"/>
      <c r="C278" s="515">
        <v>4300</v>
      </c>
      <c r="D278" s="363">
        <v>700</v>
      </c>
      <c r="E278" s="363"/>
      <c r="F278" s="363"/>
      <c r="G278" s="363"/>
      <c r="I278" s="893"/>
      <c r="J278" s="893"/>
      <c r="K278" s="893"/>
      <c r="L278" s="893"/>
      <c r="M278" s="893"/>
      <c r="N278" s="894"/>
      <c r="O278" s="894"/>
      <c r="P278" s="895"/>
      <c r="Q278" s="895"/>
    </row>
    <row r="279" spans="1:17" s="364" customFormat="1" ht="19.5" customHeight="1">
      <c r="A279" s="388"/>
      <c r="B279" s="391"/>
      <c r="C279" s="515">
        <v>4370</v>
      </c>
      <c r="D279" s="363">
        <v>75</v>
      </c>
      <c r="E279" s="363"/>
      <c r="F279" s="363"/>
      <c r="G279" s="363"/>
      <c r="I279" s="893"/>
      <c r="J279" s="893"/>
      <c r="K279" s="893"/>
      <c r="L279" s="893"/>
      <c r="M279" s="893"/>
      <c r="N279" s="894"/>
      <c r="O279" s="894"/>
      <c r="P279" s="895"/>
      <c r="Q279" s="895"/>
    </row>
    <row r="280" spans="1:17" s="364" customFormat="1" ht="19.5" customHeight="1">
      <c r="A280" s="388"/>
      <c r="B280" s="391"/>
      <c r="C280" s="515">
        <v>4410</v>
      </c>
      <c r="D280" s="363">
        <v>40</v>
      </c>
      <c r="E280" s="363"/>
      <c r="F280" s="363"/>
      <c r="G280" s="363"/>
      <c r="I280" s="893"/>
      <c r="J280" s="893"/>
      <c r="K280" s="893"/>
      <c r="L280" s="893"/>
      <c r="M280" s="893"/>
      <c r="N280" s="894"/>
      <c r="O280" s="894"/>
      <c r="P280" s="895"/>
      <c r="Q280" s="895"/>
    </row>
    <row r="281" spans="1:17" s="364" customFormat="1" ht="19.5" customHeight="1">
      <c r="A281" s="388"/>
      <c r="B281" s="361">
        <v>80140</v>
      </c>
      <c r="C281" s="600">
        <v>4210</v>
      </c>
      <c r="D281" s="363"/>
      <c r="E281" s="363"/>
      <c r="F281" s="363">
        <v>20000</v>
      </c>
      <c r="G281" s="363"/>
      <c r="I281" s="893"/>
      <c r="J281" s="893"/>
      <c r="K281" s="893"/>
      <c r="L281" s="893"/>
      <c r="M281" s="893"/>
      <c r="N281" s="894"/>
      <c r="O281" s="894"/>
      <c r="P281" s="895"/>
      <c r="Q281" s="895"/>
    </row>
    <row r="282" spans="1:17" s="33" customFormat="1" ht="19.5" customHeight="1">
      <c r="A282" s="588">
        <v>852</v>
      </c>
      <c r="B282" s="589"/>
      <c r="C282" s="368"/>
      <c r="D282" s="31">
        <f>D283+D286</f>
        <v>3000</v>
      </c>
      <c r="E282" s="31"/>
      <c r="F282" s="31">
        <f>F283+F286</f>
        <v>25357</v>
      </c>
      <c r="G282" s="31"/>
      <c r="I282" s="574"/>
      <c r="J282" s="574"/>
      <c r="K282" s="574"/>
      <c r="L282" s="574"/>
      <c r="M282" s="574"/>
      <c r="N282" s="575"/>
      <c r="O282" s="575"/>
      <c r="P282" s="576"/>
      <c r="Q282" s="576"/>
    </row>
    <row r="283" spans="1:17" s="364" customFormat="1" ht="19.5" customHeight="1">
      <c r="A283" s="388"/>
      <c r="B283" s="536">
        <v>85204</v>
      </c>
      <c r="C283" s="362"/>
      <c r="D283" s="363">
        <f>SUM(D284:D285)</f>
        <v>3000</v>
      </c>
      <c r="E283" s="363"/>
      <c r="F283" s="363">
        <f>SUM(F284:F285)</f>
        <v>3000</v>
      </c>
      <c r="G283" s="363"/>
      <c r="I283" s="893"/>
      <c r="J283" s="893"/>
      <c r="K283" s="893"/>
      <c r="L283" s="893"/>
      <c r="M283" s="893"/>
      <c r="N283" s="894"/>
      <c r="O283" s="894"/>
      <c r="P283" s="895"/>
      <c r="Q283" s="895"/>
    </row>
    <row r="284" spans="1:17" s="364" customFormat="1" ht="19.5" customHeight="1">
      <c r="A284" s="388"/>
      <c r="B284" s="391"/>
      <c r="C284" s="536">
        <v>4210</v>
      </c>
      <c r="D284" s="363"/>
      <c r="E284" s="363"/>
      <c r="F284" s="363">
        <v>3000</v>
      </c>
      <c r="G284" s="363"/>
      <c r="I284" s="893"/>
      <c r="J284" s="893"/>
      <c r="K284" s="893"/>
      <c r="L284" s="893"/>
      <c r="M284" s="893"/>
      <c r="N284" s="894"/>
      <c r="O284" s="894"/>
      <c r="P284" s="895"/>
      <c r="Q284" s="895"/>
    </row>
    <row r="285" spans="1:17" s="364" customFormat="1" ht="19.5" customHeight="1">
      <c r="A285" s="388"/>
      <c r="B285" s="391"/>
      <c r="C285" s="361">
        <v>4300</v>
      </c>
      <c r="D285" s="363">
        <v>3000</v>
      </c>
      <c r="E285" s="363"/>
      <c r="F285" s="363"/>
      <c r="G285" s="363"/>
      <c r="I285" s="893"/>
      <c r="J285" s="893"/>
      <c r="K285" s="893"/>
      <c r="L285" s="893"/>
      <c r="M285" s="893"/>
      <c r="N285" s="894"/>
      <c r="O285" s="894"/>
      <c r="P285" s="895"/>
      <c r="Q285" s="895"/>
    </row>
    <row r="286" spans="1:17" s="364" customFormat="1" ht="19.5" customHeight="1">
      <c r="A286" s="388"/>
      <c r="B286" s="536">
        <v>85218</v>
      </c>
      <c r="C286" s="536"/>
      <c r="D286" s="363"/>
      <c r="E286" s="363"/>
      <c r="F286" s="363">
        <f>SUM(D287:F291)</f>
        <v>22357</v>
      </c>
      <c r="G286" s="363"/>
      <c r="I286" s="893"/>
      <c r="J286" s="893"/>
      <c r="K286" s="893"/>
      <c r="L286" s="893"/>
      <c r="M286" s="893"/>
      <c r="N286" s="894"/>
      <c r="O286" s="894"/>
      <c r="P286" s="895"/>
      <c r="Q286" s="895"/>
    </row>
    <row r="287" spans="1:17" s="364" customFormat="1" ht="19.5" customHeight="1">
      <c r="A287" s="388"/>
      <c r="B287" s="391"/>
      <c r="C287" s="390">
        <v>4010</v>
      </c>
      <c r="D287" s="363"/>
      <c r="E287" s="363"/>
      <c r="F287" s="363">
        <v>13207</v>
      </c>
      <c r="G287" s="363"/>
      <c r="I287" s="893"/>
      <c r="J287" s="893"/>
      <c r="K287" s="893"/>
      <c r="L287" s="893"/>
      <c r="M287" s="893"/>
      <c r="N287" s="894"/>
      <c r="O287" s="894"/>
      <c r="P287" s="895"/>
      <c r="Q287" s="895"/>
    </row>
    <row r="288" spans="1:17" s="364" customFormat="1" ht="19.5" customHeight="1">
      <c r="A288" s="388"/>
      <c r="B288" s="391"/>
      <c r="C288" s="536">
        <v>4110</v>
      </c>
      <c r="D288" s="363"/>
      <c r="E288" s="363"/>
      <c r="F288" s="363">
        <v>1000</v>
      </c>
      <c r="G288" s="363"/>
      <c r="I288" s="893"/>
      <c r="J288" s="893"/>
      <c r="K288" s="893"/>
      <c r="L288" s="893"/>
      <c r="M288" s="893"/>
      <c r="N288" s="894"/>
      <c r="O288" s="894"/>
      <c r="P288" s="895"/>
      <c r="Q288" s="895"/>
    </row>
    <row r="289" spans="1:17" s="364" customFormat="1" ht="19.5" customHeight="1">
      <c r="A289" s="388"/>
      <c r="B289" s="391"/>
      <c r="C289" s="536">
        <v>4120</v>
      </c>
      <c r="D289" s="363"/>
      <c r="E289" s="363"/>
      <c r="F289" s="363">
        <v>300</v>
      </c>
      <c r="G289" s="363"/>
      <c r="I289" s="893"/>
      <c r="J289" s="893"/>
      <c r="K289" s="893"/>
      <c r="L289" s="893"/>
      <c r="M289" s="893"/>
      <c r="N289" s="894"/>
      <c r="O289" s="894"/>
      <c r="P289" s="895"/>
      <c r="Q289" s="895"/>
    </row>
    <row r="290" spans="1:17" s="364" customFormat="1" ht="19.5" customHeight="1">
      <c r="A290" s="388"/>
      <c r="B290" s="391"/>
      <c r="C290" s="536">
        <v>4210</v>
      </c>
      <c r="D290" s="363"/>
      <c r="E290" s="363"/>
      <c r="F290" s="363">
        <v>1850</v>
      </c>
      <c r="G290" s="363"/>
      <c r="I290" s="893"/>
      <c r="J290" s="893"/>
      <c r="K290" s="893"/>
      <c r="L290" s="893"/>
      <c r="M290" s="893"/>
      <c r="N290" s="894"/>
      <c r="O290" s="894"/>
      <c r="P290" s="895"/>
      <c r="Q290" s="895"/>
    </row>
    <row r="291" spans="1:17" s="364" customFormat="1" ht="19.5" customHeight="1">
      <c r="A291" s="388"/>
      <c r="B291" s="391"/>
      <c r="C291" s="536">
        <v>4300</v>
      </c>
      <c r="D291" s="363"/>
      <c r="E291" s="363"/>
      <c r="F291" s="363">
        <v>6000</v>
      </c>
      <c r="G291" s="363"/>
      <c r="I291" s="893"/>
      <c r="J291" s="893"/>
      <c r="K291" s="893"/>
      <c r="L291" s="893"/>
      <c r="M291" s="893"/>
      <c r="N291" s="894"/>
      <c r="O291" s="894"/>
      <c r="P291" s="895"/>
      <c r="Q291" s="895"/>
    </row>
    <row r="292" spans="1:17" s="33" customFormat="1" ht="19.5" customHeight="1">
      <c r="A292" s="588">
        <v>853</v>
      </c>
      <c r="B292" s="545">
        <v>85395</v>
      </c>
      <c r="C292" s="545"/>
      <c r="D292" s="31"/>
      <c r="E292" s="31"/>
      <c r="F292" s="31">
        <f>SUM(F293:F294)</f>
        <v>656.91</v>
      </c>
      <c r="G292" s="31"/>
      <c r="I292" s="574"/>
      <c r="J292" s="574"/>
      <c r="K292" s="574"/>
      <c r="L292" s="574"/>
      <c r="M292" s="574"/>
      <c r="N292" s="575"/>
      <c r="O292" s="575"/>
      <c r="P292" s="576"/>
      <c r="Q292" s="576"/>
    </row>
    <row r="293" spans="1:17" s="364" customFormat="1" ht="19.5" customHeight="1">
      <c r="A293" s="388"/>
      <c r="B293" s="586"/>
      <c r="C293" s="536">
        <v>2910</v>
      </c>
      <c r="D293" s="363"/>
      <c r="E293" s="363"/>
      <c r="F293" s="363">
        <v>621.91</v>
      </c>
      <c r="G293" s="363"/>
      <c r="I293" s="893"/>
      <c r="J293" s="893"/>
      <c r="K293" s="893"/>
      <c r="L293" s="893"/>
      <c r="M293" s="893"/>
      <c r="N293" s="894"/>
      <c r="O293" s="894"/>
      <c r="P293" s="895"/>
      <c r="Q293" s="895"/>
    </row>
    <row r="294" spans="1:17" s="364" customFormat="1" ht="19.5" customHeight="1">
      <c r="A294" s="388"/>
      <c r="B294" s="587"/>
      <c r="C294" s="361">
        <v>4560</v>
      </c>
      <c r="D294" s="363"/>
      <c r="E294" s="363"/>
      <c r="F294" s="363">
        <v>35</v>
      </c>
      <c r="G294" s="363"/>
      <c r="I294" s="893"/>
      <c r="J294" s="893"/>
      <c r="K294" s="893"/>
      <c r="L294" s="893"/>
      <c r="M294" s="893"/>
      <c r="N294" s="894"/>
      <c r="O294" s="894"/>
      <c r="P294" s="895"/>
      <c r="Q294" s="895"/>
    </row>
    <row r="295" spans="1:17" s="33" customFormat="1" ht="19.5" customHeight="1">
      <c r="A295" s="588">
        <v>854</v>
      </c>
      <c r="B295" s="591"/>
      <c r="C295" s="589"/>
      <c r="D295" s="31">
        <f>D296</f>
        <v>0</v>
      </c>
      <c r="E295" s="31"/>
      <c r="F295" s="31">
        <f>F296</f>
        <v>2596</v>
      </c>
      <c r="G295" s="31"/>
      <c r="I295" s="574"/>
      <c r="J295" s="574"/>
      <c r="K295" s="574"/>
      <c r="L295" s="574"/>
      <c r="M295" s="574"/>
      <c r="N295" s="575"/>
      <c r="O295" s="575"/>
      <c r="P295" s="576"/>
      <c r="Q295" s="576"/>
    </row>
    <row r="296" spans="1:17" s="364" customFormat="1" ht="19.5" customHeight="1">
      <c r="A296" s="388"/>
      <c r="B296" s="590">
        <v>85401</v>
      </c>
      <c r="C296" s="390"/>
      <c r="D296" s="363">
        <f>SUM(D297:D301)</f>
        <v>0</v>
      </c>
      <c r="E296" s="363"/>
      <c r="F296" s="363">
        <f>SUM(F297:F301)</f>
        <v>2596</v>
      </c>
      <c r="G296" s="363"/>
      <c r="I296" s="893"/>
      <c r="J296" s="893"/>
      <c r="K296" s="893"/>
      <c r="L296" s="893"/>
      <c r="M296" s="893"/>
      <c r="N296" s="894"/>
      <c r="O296" s="894"/>
      <c r="P296" s="895"/>
      <c r="Q296" s="895"/>
    </row>
    <row r="297" spans="1:17" s="364" customFormat="1" ht="19.5" customHeight="1">
      <c r="A297" s="388"/>
      <c r="B297" s="587"/>
      <c r="C297" s="515">
        <v>4260</v>
      </c>
      <c r="D297" s="363"/>
      <c r="E297" s="363"/>
      <c r="F297" s="363">
        <v>1300</v>
      </c>
      <c r="G297" s="363"/>
      <c r="I297" s="893"/>
      <c r="J297" s="893"/>
      <c r="K297" s="893"/>
      <c r="L297" s="893"/>
      <c r="M297" s="893"/>
      <c r="N297" s="894"/>
      <c r="O297" s="894"/>
      <c r="P297" s="895"/>
      <c r="Q297" s="895"/>
    </row>
    <row r="298" spans="1:17" s="364" customFormat="1" ht="19.5" customHeight="1">
      <c r="A298" s="388"/>
      <c r="B298" s="587"/>
      <c r="C298" s="515">
        <v>4270</v>
      </c>
      <c r="D298" s="363"/>
      <c r="E298" s="363"/>
      <c r="F298" s="363">
        <f>111+370</f>
        <v>481</v>
      </c>
      <c r="G298" s="363"/>
      <c r="I298" s="893"/>
      <c r="J298" s="893"/>
      <c r="K298" s="893"/>
      <c r="L298" s="893"/>
      <c r="M298" s="893"/>
      <c r="N298" s="894"/>
      <c r="O298" s="894"/>
      <c r="P298" s="895"/>
      <c r="Q298" s="895"/>
    </row>
    <row r="299" spans="1:17" s="364" customFormat="1" ht="19.5" customHeight="1">
      <c r="A299" s="388"/>
      <c r="B299" s="587"/>
      <c r="C299" s="515">
        <v>4300</v>
      </c>
      <c r="D299" s="363"/>
      <c r="E299" s="363"/>
      <c r="F299" s="363">
        <v>700</v>
      </c>
      <c r="G299" s="363"/>
      <c r="I299" s="893"/>
      <c r="J299" s="893"/>
      <c r="K299" s="893"/>
      <c r="L299" s="893"/>
      <c r="M299" s="893"/>
      <c r="N299" s="894"/>
      <c r="O299" s="894"/>
      <c r="P299" s="895"/>
      <c r="Q299" s="895"/>
    </row>
    <row r="300" spans="1:17" s="364" customFormat="1" ht="19.5" customHeight="1">
      <c r="A300" s="388"/>
      <c r="B300" s="587"/>
      <c r="C300" s="515">
        <v>4370</v>
      </c>
      <c r="D300" s="363"/>
      <c r="E300" s="363"/>
      <c r="F300" s="363">
        <v>75</v>
      </c>
      <c r="G300" s="363"/>
      <c r="I300" s="893"/>
      <c r="J300" s="893"/>
      <c r="K300" s="893"/>
      <c r="L300" s="893"/>
      <c r="M300" s="893"/>
      <c r="N300" s="894"/>
      <c r="O300" s="894"/>
      <c r="P300" s="895"/>
      <c r="Q300" s="895"/>
    </row>
    <row r="301" spans="1:17" s="364" customFormat="1" ht="19.5" customHeight="1">
      <c r="A301" s="388"/>
      <c r="B301" s="587"/>
      <c r="C301" s="600">
        <v>4410</v>
      </c>
      <c r="D301" s="363"/>
      <c r="E301" s="363"/>
      <c r="F301" s="363">
        <v>40</v>
      </c>
      <c r="G301" s="363"/>
      <c r="I301" s="893"/>
      <c r="J301" s="893"/>
      <c r="K301" s="893"/>
      <c r="L301" s="893"/>
      <c r="M301" s="893"/>
      <c r="N301" s="894"/>
      <c r="O301" s="894"/>
      <c r="P301" s="895"/>
      <c r="Q301" s="895"/>
    </row>
    <row r="302" spans="1:23" s="3" customFormat="1" ht="19.5" customHeight="1">
      <c r="A302" s="780" t="s">
        <v>364</v>
      </c>
      <c r="B302" s="781"/>
      <c r="C302" s="168"/>
      <c r="D302" s="32">
        <f>D265+D269+D272+D282+D292+D295</f>
        <v>72141.91</v>
      </c>
      <c r="E302" s="32">
        <f>E265+E269+E272+E282+E292+E295</f>
        <v>0</v>
      </c>
      <c r="F302" s="32">
        <f>F265+F269+F272+F282+F292+F295</f>
        <v>724040.91</v>
      </c>
      <c r="G302" s="32">
        <f>G265+G269+G272+G282+G292+G295</f>
        <v>0</v>
      </c>
      <c r="H302" s="20"/>
      <c r="I302" s="919"/>
      <c r="J302" s="522"/>
      <c r="K302" s="522"/>
      <c r="L302" s="920"/>
      <c r="M302" s="920"/>
      <c r="N302" s="27"/>
      <c r="O302" s="27"/>
      <c r="P302" s="27"/>
      <c r="Q302" s="27"/>
      <c r="R302" s="25"/>
      <c r="S302" s="25"/>
      <c r="T302" s="25"/>
      <c r="U302" s="25"/>
      <c r="V302" s="25"/>
      <c r="W302" s="25"/>
    </row>
    <row r="303" spans="1:23" s="3" customFormat="1" ht="19.5" customHeight="1">
      <c r="A303" s="207"/>
      <c r="B303" s="208"/>
      <c r="C303" s="208"/>
      <c r="D303" s="27"/>
      <c r="E303" s="27"/>
      <c r="F303" s="27"/>
      <c r="G303" s="27"/>
      <c r="H303" s="20"/>
      <c r="I303" s="919"/>
      <c r="J303" s="522"/>
      <c r="K303" s="522"/>
      <c r="L303" s="920"/>
      <c r="M303" s="920"/>
      <c r="N303" s="27"/>
      <c r="O303" s="27"/>
      <c r="P303" s="27"/>
      <c r="Q303" s="27"/>
      <c r="R303" s="25"/>
      <c r="S303" s="25"/>
      <c r="T303" s="25"/>
      <c r="U303" s="25"/>
      <c r="V303" s="25"/>
      <c r="W303" s="25"/>
    </row>
    <row r="304" spans="1:23" s="3" customFormat="1" ht="19.5" customHeight="1">
      <c r="A304" s="207"/>
      <c r="B304" s="208"/>
      <c r="C304" s="208"/>
      <c r="D304" s="27"/>
      <c r="E304" s="27"/>
      <c r="F304" s="27"/>
      <c r="G304" s="27"/>
      <c r="H304" s="20"/>
      <c r="I304" s="919"/>
      <c r="J304" s="522"/>
      <c r="K304" s="522"/>
      <c r="L304" s="920"/>
      <c r="M304" s="920"/>
      <c r="N304" s="27"/>
      <c r="O304" s="27"/>
      <c r="P304" s="27"/>
      <c r="Q304" s="27"/>
      <c r="R304" s="25"/>
      <c r="S304" s="25"/>
      <c r="T304" s="25"/>
      <c r="U304" s="25"/>
      <c r="V304" s="25"/>
      <c r="W304" s="25"/>
    </row>
    <row r="305" spans="1:23" s="3" customFormat="1" ht="19.5" customHeight="1">
      <c r="A305" s="207"/>
      <c r="B305" s="208"/>
      <c r="C305" s="208"/>
      <c r="D305" s="27"/>
      <c r="E305" s="27"/>
      <c r="F305" s="27"/>
      <c r="G305" s="27"/>
      <c r="H305" s="20"/>
      <c r="I305" s="919"/>
      <c r="J305" s="522"/>
      <c r="K305" s="522"/>
      <c r="L305" s="920"/>
      <c r="M305" s="920"/>
      <c r="N305" s="27"/>
      <c r="O305" s="27"/>
      <c r="P305" s="27"/>
      <c r="Q305" s="27"/>
      <c r="R305" s="25"/>
      <c r="S305" s="25"/>
      <c r="T305" s="25"/>
      <c r="U305" s="25"/>
      <c r="V305" s="25"/>
      <c r="W305" s="25"/>
    </row>
    <row r="306" spans="1:23" s="3" customFormat="1" ht="19.5" customHeight="1">
      <c r="A306" s="19" t="s">
        <v>245</v>
      </c>
      <c r="B306" s="577"/>
      <c r="C306" s="577"/>
      <c r="D306" s="578"/>
      <c r="E306" s="578"/>
      <c r="F306" s="578"/>
      <c r="G306" s="578"/>
      <c r="H306" s="20"/>
      <c r="I306" s="919"/>
      <c r="J306" s="522"/>
      <c r="K306" s="522"/>
      <c r="L306" s="920"/>
      <c r="M306" s="920"/>
      <c r="N306" s="27"/>
      <c r="O306" s="27"/>
      <c r="P306" s="27"/>
      <c r="Q306" s="27"/>
      <c r="R306" s="25"/>
      <c r="S306" s="25"/>
      <c r="T306" s="25"/>
      <c r="U306" s="25"/>
      <c r="V306" s="25"/>
      <c r="W306" s="25"/>
    </row>
    <row r="307" spans="1:23" s="3" customFormat="1" ht="19.5" customHeight="1">
      <c r="A307" s="579"/>
      <c r="B307" s="577"/>
      <c r="C307" s="577"/>
      <c r="D307" s="578"/>
      <c r="E307" s="578"/>
      <c r="F307" s="578"/>
      <c r="G307" s="578"/>
      <c r="H307" s="20"/>
      <c r="I307" s="919"/>
      <c r="J307" s="522"/>
      <c r="K307" s="522"/>
      <c r="L307" s="920"/>
      <c r="M307" s="920"/>
      <c r="N307" s="27"/>
      <c r="O307" s="27"/>
      <c r="P307" s="27"/>
      <c r="Q307" s="27"/>
      <c r="R307" s="25"/>
      <c r="S307" s="25"/>
      <c r="T307" s="25"/>
      <c r="U307" s="25"/>
      <c r="V307" s="25"/>
      <c r="W307" s="25"/>
    </row>
    <row r="308" spans="1:23" s="3" customFormat="1" ht="19.5" customHeight="1">
      <c r="A308" s="580" t="s">
        <v>287</v>
      </c>
      <c r="B308" s="577"/>
      <c r="C308" s="577"/>
      <c r="D308" s="578"/>
      <c r="E308" s="578"/>
      <c r="F308" s="578"/>
      <c r="G308" s="578"/>
      <c r="H308" s="20"/>
      <c r="I308" s="919"/>
      <c r="J308" s="522"/>
      <c r="K308" s="522"/>
      <c r="L308" s="920"/>
      <c r="M308" s="920"/>
      <c r="N308" s="27"/>
      <c r="O308" s="27"/>
      <c r="P308" s="27"/>
      <c r="Q308" s="27"/>
      <c r="R308" s="25"/>
      <c r="S308" s="25"/>
      <c r="T308" s="25"/>
      <c r="U308" s="25"/>
      <c r="V308" s="25"/>
      <c r="W308" s="25"/>
    </row>
    <row r="309" spans="1:23" s="3" customFormat="1" ht="19.5" customHeight="1">
      <c r="A309" s="580" t="s">
        <v>288</v>
      </c>
      <c r="B309" s="577"/>
      <c r="C309" s="577"/>
      <c r="D309" s="578"/>
      <c r="E309" s="578"/>
      <c r="F309" s="578"/>
      <c r="G309" s="578"/>
      <c r="H309" s="20"/>
      <c r="I309" s="919"/>
      <c r="J309" s="522"/>
      <c r="K309" s="522"/>
      <c r="L309" s="920"/>
      <c r="M309" s="920"/>
      <c r="N309" s="27"/>
      <c r="O309" s="27"/>
      <c r="P309" s="27"/>
      <c r="Q309" s="27"/>
      <c r="R309" s="25"/>
      <c r="S309" s="25"/>
      <c r="T309" s="25"/>
      <c r="U309" s="25"/>
      <c r="V309" s="25"/>
      <c r="W309" s="25"/>
    </row>
    <row r="310" spans="1:23" s="3" customFormat="1" ht="19.5" customHeight="1">
      <c r="A310" s="580" t="s">
        <v>289</v>
      </c>
      <c r="B310" s="577"/>
      <c r="C310" s="577"/>
      <c r="D310" s="578"/>
      <c r="E310" s="581">
        <f>1769207-15000+200000</f>
        <v>1954207</v>
      </c>
      <c r="F310" s="581" t="s">
        <v>290</v>
      </c>
      <c r="G310" s="581"/>
      <c r="H310" s="20"/>
      <c r="I310" s="919"/>
      <c r="J310" s="522"/>
      <c r="K310" s="522"/>
      <c r="L310" s="920"/>
      <c r="M310" s="920"/>
      <c r="N310" s="27"/>
      <c r="O310" s="27"/>
      <c r="P310" s="27"/>
      <c r="Q310" s="27"/>
      <c r="R310" s="25"/>
      <c r="S310" s="25"/>
      <c r="T310" s="25"/>
      <c r="U310" s="25"/>
      <c r="V310" s="25"/>
      <c r="W310" s="25"/>
    </row>
    <row r="311" spans="1:23" s="3" customFormat="1" ht="19.5" customHeight="1">
      <c r="A311" s="580" t="s">
        <v>291</v>
      </c>
      <c r="B311" s="577"/>
      <c r="C311" s="577"/>
      <c r="D311" s="578"/>
      <c r="E311" s="581">
        <f>5630793+15000-200000+3422398.52</f>
        <v>8868191.52</v>
      </c>
      <c r="F311" s="581" t="s">
        <v>292</v>
      </c>
      <c r="G311" s="581"/>
      <c r="H311" s="20"/>
      <c r="I311" s="919"/>
      <c r="J311" s="522"/>
      <c r="K311" s="522"/>
      <c r="L311" s="920"/>
      <c r="M311" s="920"/>
      <c r="N311" s="27"/>
      <c r="O311" s="27"/>
      <c r="P311" s="27"/>
      <c r="Q311" s="27"/>
      <c r="R311" s="25"/>
      <c r="S311" s="25"/>
      <c r="T311" s="25"/>
      <c r="U311" s="25"/>
      <c r="V311" s="25"/>
      <c r="W311" s="25"/>
    </row>
    <row r="312" spans="1:23" s="3" customFormat="1" ht="19.5" customHeight="1">
      <c r="A312" s="207"/>
      <c r="B312" s="208"/>
      <c r="C312" s="208"/>
      <c r="D312" s="27"/>
      <c r="E312" s="27"/>
      <c r="F312" s="27"/>
      <c r="G312" s="27"/>
      <c r="H312" s="20"/>
      <c r="I312" s="919"/>
      <c r="J312" s="522"/>
      <c r="K312" s="522"/>
      <c r="L312" s="920"/>
      <c r="M312" s="920"/>
      <c r="N312" s="27"/>
      <c r="O312" s="27"/>
      <c r="P312" s="27"/>
      <c r="Q312" s="27"/>
      <c r="R312" s="25"/>
      <c r="S312" s="25"/>
      <c r="T312" s="25"/>
      <c r="U312" s="25"/>
      <c r="V312" s="25"/>
      <c r="W312" s="25"/>
    </row>
    <row r="313" spans="1:23" s="3" customFormat="1" ht="19.5" customHeight="1">
      <c r="A313" s="207"/>
      <c r="B313" s="208"/>
      <c r="C313" s="208"/>
      <c r="D313" s="27"/>
      <c r="E313" s="27"/>
      <c r="F313" s="27"/>
      <c r="G313" s="27"/>
      <c r="H313" s="20"/>
      <c r="I313" s="919"/>
      <c r="J313" s="522"/>
      <c r="K313" s="522"/>
      <c r="L313" s="920"/>
      <c r="M313" s="920"/>
      <c r="N313" s="27"/>
      <c r="O313" s="27"/>
      <c r="P313" s="27"/>
      <c r="Q313" s="27"/>
      <c r="R313" s="25"/>
      <c r="S313" s="25"/>
      <c r="T313" s="25"/>
      <c r="U313" s="25"/>
      <c r="V313" s="25"/>
      <c r="W313" s="25"/>
    </row>
    <row r="314" spans="1:23" s="3" customFormat="1" ht="19.5" customHeight="1">
      <c r="A314" s="134"/>
      <c r="B314" s="208"/>
      <c r="C314" s="186"/>
      <c r="D314" s="16"/>
      <c r="E314" s="16"/>
      <c r="F314" s="27"/>
      <c r="G314" s="27"/>
      <c r="H314" s="20"/>
      <c r="I314" s="919"/>
      <c r="J314" s="920"/>
      <c r="K314" s="522"/>
      <c r="L314" s="920"/>
      <c r="M314" s="920"/>
      <c r="N314" s="27"/>
      <c r="O314" s="27"/>
      <c r="P314" s="27"/>
      <c r="Q314" s="27"/>
      <c r="R314" s="25"/>
      <c r="S314" s="25"/>
      <c r="T314" s="25"/>
      <c r="U314" s="25"/>
      <c r="V314" s="25"/>
      <c r="W314" s="25"/>
    </row>
    <row r="315" spans="1:23" s="3" customFormat="1" ht="19.5" customHeight="1">
      <c r="A315" s="220" t="s">
        <v>246</v>
      </c>
      <c r="B315" s="185"/>
      <c r="C315" s="186"/>
      <c r="D315" s="16"/>
      <c r="E315" s="16"/>
      <c r="F315" s="27"/>
      <c r="G315" s="27"/>
      <c r="H315" s="20"/>
      <c r="I315" s="919"/>
      <c r="J315" s="920"/>
      <c r="K315" s="522"/>
      <c r="L315" s="920"/>
      <c r="M315" s="920"/>
      <c r="N315" s="27"/>
      <c r="O315" s="27"/>
      <c r="P315" s="27"/>
      <c r="Q315" s="27"/>
      <c r="R315" s="25"/>
      <c r="S315" s="25"/>
      <c r="T315" s="25"/>
      <c r="U315" s="25"/>
      <c r="V315" s="25"/>
      <c r="W315" s="25"/>
    </row>
    <row r="316" spans="1:23" s="3" customFormat="1" ht="19.5" customHeight="1">
      <c r="A316" s="221" t="s">
        <v>536</v>
      </c>
      <c r="B316" s="185"/>
      <c r="C316" s="222"/>
      <c r="D316" s="22"/>
      <c r="E316" s="16"/>
      <c r="F316" s="27"/>
      <c r="G316" s="27"/>
      <c r="H316" s="20"/>
      <c r="I316" s="919"/>
      <c r="J316" s="920"/>
      <c r="K316" s="522"/>
      <c r="L316" s="920"/>
      <c r="M316" s="920"/>
      <c r="N316" s="27"/>
      <c r="O316" s="27"/>
      <c r="P316" s="27"/>
      <c r="Q316" s="27"/>
      <c r="R316" s="25"/>
      <c r="S316" s="25"/>
      <c r="T316" s="25"/>
      <c r="U316" s="25"/>
      <c r="V316" s="25"/>
      <c r="W316" s="25"/>
    </row>
    <row r="317" spans="1:23" s="3" customFormat="1" ht="19.5" customHeight="1">
      <c r="A317" s="221"/>
      <c r="B317" s="185"/>
      <c r="C317" s="222"/>
      <c r="D317" s="22"/>
      <c r="E317" s="16"/>
      <c r="F317" s="27"/>
      <c r="G317" s="27"/>
      <c r="H317" s="20"/>
      <c r="I317" s="919"/>
      <c r="J317" s="920"/>
      <c r="K317" s="522"/>
      <c r="L317" s="920"/>
      <c r="M317" s="920"/>
      <c r="N317" s="27"/>
      <c r="O317" s="27"/>
      <c r="P317" s="27"/>
      <c r="Q317" s="27"/>
      <c r="R317" s="25"/>
      <c r="S317" s="25"/>
      <c r="T317" s="25"/>
      <c r="U317" s="25"/>
      <c r="V317" s="25"/>
      <c r="W317" s="25"/>
    </row>
    <row r="318" spans="1:23" s="3" customFormat="1" ht="19.5" customHeight="1">
      <c r="A318" s="220"/>
      <c r="B318" s="185"/>
      <c r="C318" s="222"/>
      <c r="D318" s="22"/>
      <c r="E318" s="16"/>
      <c r="F318" s="27"/>
      <c r="G318" s="27"/>
      <c r="H318" s="20"/>
      <c r="I318" s="919"/>
      <c r="J318" s="920"/>
      <c r="K318" s="522"/>
      <c r="L318" s="920"/>
      <c r="M318" s="920"/>
      <c r="N318" s="27"/>
      <c r="O318" s="27"/>
      <c r="P318" s="27"/>
      <c r="Q318" s="27"/>
      <c r="R318" s="25"/>
      <c r="S318" s="25"/>
      <c r="T318" s="25"/>
      <c r="U318" s="25"/>
      <c r="V318" s="25"/>
      <c r="W318" s="25"/>
    </row>
    <row r="319" spans="1:23" s="3" customFormat="1" ht="19.5" customHeight="1">
      <c r="A319" s="223" t="s">
        <v>427</v>
      </c>
      <c r="B319" s="224"/>
      <c r="C319" s="208"/>
      <c r="D319" s="87"/>
      <c r="E319" s="87"/>
      <c r="F319" s="87"/>
      <c r="G319" s="87"/>
      <c r="H319" s="88"/>
      <c r="I319" s="919"/>
      <c r="J319" s="928"/>
      <c r="K319" s="522"/>
      <c r="L319" s="928"/>
      <c r="M319" s="928"/>
      <c r="N319" s="87"/>
      <c r="O319" s="87"/>
      <c r="P319" s="87"/>
      <c r="Q319" s="87"/>
      <c r="R319" s="88"/>
      <c r="S319" s="88"/>
      <c r="T319" s="88"/>
      <c r="U319" s="88"/>
      <c r="V319" s="88"/>
      <c r="W319" s="88"/>
    </row>
    <row r="320" spans="1:23" s="3" customFormat="1" ht="19.5" customHeight="1">
      <c r="A320" s="223"/>
      <c r="B320" s="224"/>
      <c r="C320" s="208"/>
      <c r="D320" s="87"/>
      <c r="E320" s="87"/>
      <c r="F320" s="87"/>
      <c r="G320" s="87"/>
      <c r="H320" s="88"/>
      <c r="I320" s="919"/>
      <c r="J320" s="928"/>
      <c r="K320" s="522"/>
      <c r="L320" s="928"/>
      <c r="M320" s="928"/>
      <c r="N320" s="87"/>
      <c r="O320" s="87"/>
      <c r="P320" s="87"/>
      <c r="Q320" s="87"/>
      <c r="R320" s="88"/>
      <c r="S320" s="88"/>
      <c r="T320" s="88"/>
      <c r="U320" s="88"/>
      <c r="V320" s="88"/>
      <c r="W320" s="88"/>
    </row>
    <row r="321" spans="1:23" s="3" customFormat="1" ht="19.5" customHeight="1">
      <c r="A321" s="223"/>
      <c r="B321" s="224"/>
      <c r="C321" s="208"/>
      <c r="D321" s="87"/>
      <c r="E321" s="87"/>
      <c r="F321" s="87"/>
      <c r="G321" s="87"/>
      <c r="H321" s="88"/>
      <c r="I321" s="919"/>
      <c r="J321" s="928"/>
      <c r="K321" s="522"/>
      <c r="L321" s="928"/>
      <c r="M321" s="928"/>
      <c r="N321" s="87"/>
      <c r="O321" s="87"/>
      <c r="P321" s="87"/>
      <c r="Q321" s="87"/>
      <c r="R321" s="88"/>
      <c r="S321" s="88"/>
      <c r="T321" s="88"/>
      <c r="U321" s="88"/>
      <c r="V321" s="88"/>
      <c r="W321" s="88"/>
    </row>
    <row r="322" spans="1:23" s="3" customFormat="1" ht="19.5" customHeight="1">
      <c r="A322" s="225" t="s">
        <v>548</v>
      </c>
      <c r="B322" s="224"/>
      <c r="C322" s="208"/>
      <c r="D322" s="87"/>
      <c r="E322" s="87"/>
      <c r="F322" s="87"/>
      <c r="G322" s="87"/>
      <c r="H322" s="25">
        <f>H324+H329</f>
        <v>350000</v>
      </c>
      <c r="I322" s="919"/>
      <c r="J322" s="928"/>
      <c r="K322" s="522"/>
      <c r="L322" s="928"/>
      <c r="M322" s="928"/>
      <c r="N322" s="87"/>
      <c r="O322" s="87"/>
      <c r="P322" s="87"/>
      <c r="Q322" s="87"/>
      <c r="R322" s="88"/>
      <c r="S322" s="88"/>
      <c r="T322" s="88"/>
      <c r="U322" s="88"/>
      <c r="V322" s="88"/>
      <c r="W322" s="88"/>
    </row>
    <row r="323" spans="1:23" s="3" customFormat="1" ht="19.5" customHeight="1">
      <c r="A323" s="134" t="s">
        <v>357</v>
      </c>
      <c r="B323" s="224"/>
      <c r="C323" s="208"/>
      <c r="D323" s="87"/>
      <c r="E323" s="87"/>
      <c r="F323" s="87"/>
      <c r="G323" s="87"/>
      <c r="H323" s="88"/>
      <c r="I323" s="919"/>
      <c r="J323" s="928"/>
      <c r="K323" s="522"/>
      <c r="L323" s="928"/>
      <c r="M323" s="928"/>
      <c r="N323" s="87"/>
      <c r="O323" s="87"/>
      <c r="P323" s="87"/>
      <c r="Q323" s="87"/>
      <c r="R323" s="88"/>
      <c r="S323" s="88"/>
      <c r="T323" s="88"/>
      <c r="U323" s="88"/>
      <c r="V323" s="88"/>
      <c r="W323" s="88"/>
    </row>
    <row r="324" spans="1:23" s="3" customFormat="1" ht="19.5" customHeight="1">
      <c r="A324" s="188" t="s">
        <v>57</v>
      </c>
      <c r="B324" s="224"/>
      <c r="C324" s="208"/>
      <c r="D324" s="87"/>
      <c r="E324" s="87"/>
      <c r="F324" s="87"/>
      <c r="G324" s="87"/>
      <c r="H324" s="25">
        <f>H327</f>
        <v>180000</v>
      </c>
      <c r="I324" s="919"/>
      <c r="J324" s="928"/>
      <c r="K324" s="522"/>
      <c r="L324" s="928"/>
      <c r="M324" s="928"/>
      <c r="N324" s="87"/>
      <c r="O324" s="87"/>
      <c r="P324" s="87"/>
      <c r="Q324" s="87"/>
      <c r="R324" s="88"/>
      <c r="S324" s="88"/>
      <c r="T324" s="88"/>
      <c r="U324" s="88"/>
      <c r="V324" s="88"/>
      <c r="W324" s="88"/>
    </row>
    <row r="325" spans="1:23" s="3" customFormat="1" ht="19.5" customHeight="1">
      <c r="A325" s="134" t="s">
        <v>357</v>
      </c>
      <c r="B325" s="224"/>
      <c r="C325" s="208"/>
      <c r="D325" s="87"/>
      <c r="E325" s="87"/>
      <c r="F325" s="87"/>
      <c r="G325" s="87"/>
      <c r="H325" s="88"/>
      <c r="I325" s="919"/>
      <c r="J325" s="928"/>
      <c r="K325" s="522"/>
      <c r="L325" s="928"/>
      <c r="M325" s="928"/>
      <c r="N325" s="87"/>
      <c r="O325" s="87"/>
      <c r="P325" s="87"/>
      <c r="Q325" s="87"/>
      <c r="R325" s="88"/>
      <c r="S325" s="88"/>
      <c r="T325" s="88"/>
      <c r="U325" s="88"/>
      <c r="V325" s="88"/>
      <c r="W325" s="88"/>
    </row>
    <row r="326" spans="1:23" s="3" customFormat="1" ht="19.5" customHeight="1">
      <c r="A326" s="134"/>
      <c r="B326" s="224" t="s">
        <v>58</v>
      </c>
      <c r="C326" s="208"/>
      <c r="D326" s="87"/>
      <c r="E326" s="87"/>
      <c r="F326" s="87"/>
      <c r="G326" s="87"/>
      <c r="H326" s="88"/>
      <c r="I326" s="919"/>
      <c r="J326" s="928"/>
      <c r="K326" s="522"/>
      <c r="L326" s="928"/>
      <c r="M326" s="928"/>
      <c r="N326" s="87"/>
      <c r="O326" s="87"/>
      <c r="P326" s="87"/>
      <c r="Q326" s="87"/>
      <c r="R326" s="88"/>
      <c r="S326" s="88"/>
      <c r="T326" s="88"/>
      <c r="U326" s="88"/>
      <c r="V326" s="88"/>
      <c r="W326" s="88"/>
    </row>
    <row r="327" spans="1:23" s="3" customFormat="1" ht="19.5" customHeight="1">
      <c r="A327" s="134"/>
      <c r="B327" s="224" t="s">
        <v>59</v>
      </c>
      <c r="C327" s="208"/>
      <c r="D327" s="87"/>
      <c r="E327" s="87"/>
      <c r="F327" s="87"/>
      <c r="G327" s="87"/>
      <c r="H327" s="88">
        <v>180000</v>
      </c>
      <c r="I327" s="919"/>
      <c r="J327" s="928"/>
      <c r="K327" s="522"/>
      <c r="L327" s="928"/>
      <c r="M327" s="928"/>
      <c r="N327" s="87"/>
      <c r="O327" s="87"/>
      <c r="P327" s="87"/>
      <c r="Q327" s="87"/>
      <c r="R327" s="88"/>
      <c r="S327" s="88"/>
      <c r="T327" s="88"/>
      <c r="U327" s="88"/>
      <c r="V327" s="88"/>
      <c r="W327" s="88"/>
    </row>
    <row r="328" spans="1:23" s="3" customFormat="1" ht="19.5" customHeight="1">
      <c r="A328" s="134"/>
      <c r="B328" s="224"/>
      <c r="C328" s="208"/>
      <c r="D328" s="87"/>
      <c r="E328" s="87"/>
      <c r="F328" s="87"/>
      <c r="G328" s="87"/>
      <c r="H328" s="88"/>
      <c r="I328" s="919"/>
      <c r="J328" s="928"/>
      <c r="K328" s="522"/>
      <c r="L328" s="928"/>
      <c r="M328" s="928"/>
      <c r="N328" s="87"/>
      <c r="O328" s="87"/>
      <c r="P328" s="87"/>
      <c r="Q328" s="87"/>
      <c r="R328" s="88"/>
      <c r="S328" s="88"/>
      <c r="T328" s="88"/>
      <c r="U328" s="88"/>
      <c r="V328" s="88"/>
      <c r="W328" s="88"/>
    </row>
    <row r="329" spans="1:23" s="748" customFormat="1" ht="19.5" customHeight="1">
      <c r="A329" s="188" t="s">
        <v>231</v>
      </c>
      <c r="B329" s="747"/>
      <c r="C329" s="176"/>
      <c r="D329" s="27"/>
      <c r="E329" s="27"/>
      <c r="F329" s="27"/>
      <c r="G329" s="27"/>
      <c r="H329" s="25">
        <f>H331+H332</f>
        <v>170000</v>
      </c>
      <c r="I329" s="919"/>
      <c r="J329" s="920"/>
      <c r="K329" s="522"/>
      <c r="L329" s="920"/>
      <c r="M329" s="920"/>
      <c r="N329" s="27"/>
      <c r="O329" s="27"/>
      <c r="P329" s="27"/>
      <c r="Q329" s="27"/>
      <c r="R329" s="25"/>
      <c r="S329" s="25"/>
      <c r="T329" s="25"/>
      <c r="U329" s="25"/>
      <c r="V329" s="25"/>
      <c r="W329" s="25"/>
    </row>
    <row r="330" spans="1:23" s="3" customFormat="1" ht="19.5" customHeight="1">
      <c r="A330" s="134" t="s">
        <v>357</v>
      </c>
      <c r="B330" s="224"/>
      <c r="C330" s="208"/>
      <c r="D330" s="87"/>
      <c r="E330" s="87"/>
      <c r="F330" s="87"/>
      <c r="G330" s="87"/>
      <c r="H330" s="88"/>
      <c r="I330" s="919"/>
      <c r="J330" s="928"/>
      <c r="K330" s="522"/>
      <c r="L330" s="928"/>
      <c r="M330" s="928"/>
      <c r="N330" s="87"/>
      <c r="O330" s="87"/>
      <c r="P330" s="87"/>
      <c r="Q330" s="87"/>
      <c r="R330" s="88"/>
      <c r="S330" s="88"/>
      <c r="T330" s="88"/>
      <c r="U330" s="88"/>
      <c r="V330" s="88"/>
      <c r="W330" s="88"/>
    </row>
    <row r="331" spans="1:23" s="3" customFormat="1" ht="19.5" customHeight="1">
      <c r="A331" s="134"/>
      <c r="B331" s="224" t="s">
        <v>353</v>
      </c>
      <c r="C331" s="208"/>
      <c r="D331" s="87"/>
      <c r="E331" s="87"/>
      <c r="F331" s="87"/>
      <c r="G331" s="87"/>
      <c r="H331" s="88">
        <v>60000</v>
      </c>
      <c r="I331" s="919"/>
      <c r="J331" s="928"/>
      <c r="K331" s="522"/>
      <c r="L331" s="928"/>
      <c r="M331" s="928"/>
      <c r="N331" s="87"/>
      <c r="O331" s="87"/>
      <c r="P331" s="87"/>
      <c r="Q331" s="87"/>
      <c r="R331" s="88"/>
      <c r="S331" s="88"/>
      <c r="T331" s="88"/>
      <c r="U331" s="88"/>
      <c r="V331" s="88"/>
      <c r="W331" s="88"/>
    </row>
    <row r="332" spans="1:23" s="3" customFormat="1" ht="19.5" customHeight="1">
      <c r="A332" s="134"/>
      <c r="B332" s="224" t="s">
        <v>344</v>
      </c>
      <c r="C332" s="208"/>
      <c r="D332" s="87"/>
      <c r="E332" s="87"/>
      <c r="F332" s="87"/>
      <c r="G332" s="87"/>
      <c r="H332" s="88">
        <v>110000</v>
      </c>
      <c r="I332" s="919"/>
      <c r="J332" s="928"/>
      <c r="K332" s="522"/>
      <c r="L332" s="928"/>
      <c r="M332" s="928"/>
      <c r="N332" s="87"/>
      <c r="O332" s="87"/>
      <c r="P332" s="87"/>
      <c r="Q332" s="87"/>
      <c r="R332" s="88"/>
      <c r="S332" s="88"/>
      <c r="T332" s="88"/>
      <c r="U332" s="88"/>
      <c r="V332" s="88"/>
      <c r="W332" s="88"/>
    </row>
    <row r="333" spans="1:23" s="3" customFormat="1" ht="19.5" customHeight="1">
      <c r="A333" s="134"/>
      <c r="B333" s="224"/>
      <c r="C333" s="208"/>
      <c r="D333" s="87"/>
      <c r="E333" s="87"/>
      <c r="F333" s="87"/>
      <c r="G333" s="87"/>
      <c r="H333" s="88"/>
      <c r="I333" s="919"/>
      <c r="J333" s="928"/>
      <c r="K333" s="522"/>
      <c r="L333" s="928"/>
      <c r="M333" s="928"/>
      <c r="N333" s="87"/>
      <c r="O333" s="87"/>
      <c r="P333" s="87"/>
      <c r="Q333" s="87"/>
      <c r="R333" s="88"/>
      <c r="S333" s="88"/>
      <c r="T333" s="88"/>
      <c r="U333" s="88"/>
      <c r="V333" s="88"/>
      <c r="W333" s="88"/>
    </row>
    <row r="334" spans="1:23" s="3" customFormat="1" ht="19.5" customHeight="1">
      <c r="A334" s="134"/>
      <c r="B334" s="224"/>
      <c r="C334" s="208"/>
      <c r="D334" s="87"/>
      <c r="E334" s="87"/>
      <c r="F334" s="87"/>
      <c r="G334" s="87"/>
      <c r="H334" s="88"/>
      <c r="I334" s="919"/>
      <c r="J334" s="928"/>
      <c r="K334" s="522"/>
      <c r="L334" s="928"/>
      <c r="M334" s="928"/>
      <c r="N334" s="87"/>
      <c r="O334" s="87"/>
      <c r="P334" s="87"/>
      <c r="Q334" s="87"/>
      <c r="R334" s="88"/>
      <c r="S334" s="88"/>
      <c r="T334" s="88"/>
      <c r="U334" s="88"/>
      <c r="V334" s="88"/>
      <c r="W334" s="88"/>
    </row>
    <row r="335" spans="1:23" s="3" customFormat="1" ht="19.5" customHeight="1">
      <c r="A335" s="134"/>
      <c r="B335" s="208"/>
      <c r="C335" s="208"/>
      <c r="D335" s="87"/>
      <c r="E335" s="87"/>
      <c r="F335" s="87"/>
      <c r="G335" s="87"/>
      <c r="H335" s="88"/>
      <c r="I335" s="919"/>
      <c r="J335" s="928"/>
      <c r="K335" s="522"/>
      <c r="L335" s="928"/>
      <c r="M335" s="928"/>
      <c r="N335" s="87"/>
      <c r="O335" s="87"/>
      <c r="P335" s="87"/>
      <c r="Q335" s="87"/>
      <c r="R335" s="88"/>
      <c r="S335" s="88"/>
      <c r="T335" s="88"/>
      <c r="U335" s="88"/>
      <c r="V335" s="88"/>
      <c r="W335" s="88"/>
    </row>
    <row r="336" spans="1:23" s="3" customFormat="1" ht="19.5" customHeight="1">
      <c r="A336" s="225" t="s">
        <v>398</v>
      </c>
      <c r="B336" s="224"/>
      <c r="C336" s="226"/>
      <c r="D336" s="87"/>
      <c r="E336" s="87"/>
      <c r="F336" s="87"/>
      <c r="G336" s="87"/>
      <c r="H336" s="89">
        <f>H338+H344+H348+H356+H369</f>
        <v>1330471.93</v>
      </c>
      <c r="I336" s="919"/>
      <c r="J336" s="928"/>
      <c r="K336" s="522"/>
      <c r="L336" s="928"/>
      <c r="M336" s="928"/>
      <c r="N336" s="87"/>
      <c r="O336" s="87"/>
      <c r="P336" s="87"/>
      <c r="Q336" s="87"/>
      <c r="R336" s="88"/>
      <c r="S336" s="88"/>
      <c r="T336" s="88"/>
      <c r="U336" s="88"/>
      <c r="V336" s="88"/>
      <c r="W336" s="88"/>
    </row>
    <row r="337" spans="1:23" s="3" customFormat="1" ht="19.5" customHeight="1">
      <c r="A337" s="134" t="s">
        <v>357</v>
      </c>
      <c r="B337" s="227"/>
      <c r="C337" s="228"/>
      <c r="D337" s="22"/>
      <c r="E337" s="16"/>
      <c r="F337" s="27"/>
      <c r="G337" s="27"/>
      <c r="H337" s="88"/>
      <c r="I337" s="919"/>
      <c r="J337" s="920"/>
      <c r="K337" s="522"/>
      <c r="L337" s="920"/>
      <c r="M337" s="920"/>
      <c r="N337" s="27"/>
      <c r="O337" s="27"/>
      <c r="P337" s="27"/>
      <c r="Q337" s="27"/>
      <c r="R337" s="25"/>
      <c r="S337" s="25"/>
      <c r="T337" s="25"/>
      <c r="U337" s="25"/>
      <c r="V337" s="25"/>
      <c r="W337" s="25"/>
    </row>
    <row r="338" spans="1:23" s="3" customFormat="1" ht="19.5" customHeight="1">
      <c r="A338" s="188" t="s">
        <v>218</v>
      </c>
      <c r="B338" s="224"/>
      <c r="C338" s="228"/>
      <c r="D338" s="22"/>
      <c r="E338" s="16"/>
      <c r="F338" s="27"/>
      <c r="G338" s="27"/>
      <c r="H338" s="25">
        <f>H340+H341+H342</f>
        <v>102660</v>
      </c>
      <c r="I338" s="919"/>
      <c r="J338" s="920"/>
      <c r="K338" s="522"/>
      <c r="L338" s="920"/>
      <c r="M338" s="920"/>
      <c r="N338" s="27"/>
      <c r="O338" s="27"/>
      <c r="P338" s="27"/>
      <c r="Q338" s="27"/>
      <c r="R338" s="25"/>
      <c r="S338" s="25"/>
      <c r="T338" s="25"/>
      <c r="U338" s="25"/>
      <c r="V338" s="25"/>
      <c r="W338" s="25"/>
    </row>
    <row r="339" spans="1:23" s="3" customFormat="1" ht="19.5" customHeight="1">
      <c r="A339" s="134" t="s">
        <v>357</v>
      </c>
      <c r="B339" s="224"/>
      <c r="C339" s="228"/>
      <c r="D339" s="22"/>
      <c r="E339" s="16"/>
      <c r="F339" s="27"/>
      <c r="G339" s="27"/>
      <c r="H339" s="88"/>
      <c r="I339" s="919"/>
      <c r="J339" s="920"/>
      <c r="K339" s="522"/>
      <c r="L339" s="920"/>
      <c r="M339" s="920"/>
      <c r="N339" s="27"/>
      <c r="O339" s="27"/>
      <c r="P339" s="27"/>
      <c r="Q339" s="27"/>
      <c r="R339" s="25"/>
      <c r="S339" s="25"/>
      <c r="T339" s="25"/>
      <c r="U339" s="25"/>
      <c r="V339" s="25"/>
      <c r="W339" s="25"/>
    </row>
    <row r="340" spans="1:23" s="3" customFormat="1" ht="19.5" customHeight="1">
      <c r="A340" s="134"/>
      <c r="B340" s="224" t="s">
        <v>219</v>
      </c>
      <c r="C340" s="228"/>
      <c r="D340" s="22"/>
      <c r="E340" s="16"/>
      <c r="F340" s="27"/>
      <c r="G340" s="27"/>
      <c r="H340" s="88">
        <v>51660</v>
      </c>
      <c r="I340" s="919"/>
      <c r="J340" s="920"/>
      <c r="K340" s="522"/>
      <c r="L340" s="920"/>
      <c r="M340" s="920"/>
      <c r="N340" s="27"/>
      <c r="O340" s="27"/>
      <c r="P340" s="27"/>
      <c r="Q340" s="27"/>
      <c r="R340" s="25"/>
      <c r="S340" s="25"/>
      <c r="T340" s="25"/>
      <c r="U340" s="25"/>
      <c r="V340" s="25"/>
      <c r="W340" s="25"/>
    </row>
    <row r="341" spans="1:23" s="3" customFormat="1" ht="19.5" customHeight="1">
      <c r="A341" s="134"/>
      <c r="B341" s="224" t="s">
        <v>49</v>
      </c>
      <c r="C341" s="228"/>
      <c r="D341" s="22"/>
      <c r="E341" s="16"/>
      <c r="F341" s="27"/>
      <c r="G341" s="27"/>
      <c r="H341" s="88">
        <v>1000</v>
      </c>
      <c r="I341" s="919"/>
      <c r="J341" s="920"/>
      <c r="K341" s="522"/>
      <c r="L341" s="920"/>
      <c r="M341" s="920"/>
      <c r="N341" s="27"/>
      <c r="O341" s="27"/>
      <c r="P341" s="27"/>
      <c r="Q341" s="27"/>
      <c r="R341" s="25"/>
      <c r="S341" s="25"/>
      <c r="T341" s="25"/>
      <c r="U341" s="25"/>
      <c r="V341" s="25"/>
      <c r="W341" s="25"/>
    </row>
    <row r="342" spans="1:23" s="3" customFormat="1" ht="19.5" customHeight="1">
      <c r="A342" s="134"/>
      <c r="B342" s="227" t="s">
        <v>228</v>
      </c>
      <c r="C342" s="228"/>
      <c r="D342" s="22"/>
      <c r="E342" s="16"/>
      <c r="F342" s="27"/>
      <c r="G342" s="27"/>
      <c r="H342" s="88">
        <v>50000</v>
      </c>
      <c r="I342" s="919"/>
      <c r="J342" s="920"/>
      <c r="K342" s="522"/>
      <c r="L342" s="920"/>
      <c r="M342" s="920"/>
      <c r="N342" s="27"/>
      <c r="O342" s="27"/>
      <c r="P342" s="27"/>
      <c r="Q342" s="27"/>
      <c r="R342" s="25"/>
      <c r="S342" s="25"/>
      <c r="T342" s="25"/>
      <c r="U342" s="25"/>
      <c r="V342" s="25"/>
      <c r="W342" s="25"/>
    </row>
    <row r="343" spans="1:23" s="3" customFormat="1" ht="19.5" customHeight="1">
      <c r="A343" s="134"/>
      <c r="B343" s="227"/>
      <c r="C343" s="228"/>
      <c r="D343" s="22"/>
      <c r="E343" s="16"/>
      <c r="F343" s="27"/>
      <c r="G343" s="27"/>
      <c r="H343" s="88"/>
      <c r="I343" s="919"/>
      <c r="J343" s="920"/>
      <c r="K343" s="522"/>
      <c r="L343" s="920"/>
      <c r="M343" s="920"/>
      <c r="N343" s="27"/>
      <c r="O343" s="27"/>
      <c r="P343" s="27"/>
      <c r="Q343" s="27"/>
      <c r="R343" s="25"/>
      <c r="S343" s="25"/>
      <c r="T343" s="25"/>
      <c r="U343" s="25"/>
      <c r="V343" s="25"/>
      <c r="W343" s="25"/>
    </row>
    <row r="344" spans="1:23" s="3" customFormat="1" ht="19.5" customHeight="1">
      <c r="A344" s="188" t="s">
        <v>306</v>
      </c>
      <c r="B344" s="219"/>
      <c r="C344" s="208"/>
      <c r="D344" s="87"/>
      <c r="E344" s="87"/>
      <c r="F344" s="87"/>
      <c r="G344" s="27"/>
      <c r="H344" s="25">
        <f>H346</f>
        <v>739700</v>
      </c>
      <c r="I344" s="919"/>
      <c r="J344" s="920"/>
      <c r="K344" s="522"/>
      <c r="L344" s="920"/>
      <c r="M344" s="920"/>
      <c r="N344" s="27"/>
      <c r="O344" s="27"/>
      <c r="P344" s="27"/>
      <c r="Q344" s="27"/>
      <c r="R344" s="25"/>
      <c r="S344" s="25"/>
      <c r="T344" s="25"/>
      <c r="U344" s="25"/>
      <c r="V344" s="25"/>
      <c r="W344" s="25"/>
    </row>
    <row r="345" spans="1:23" s="3" customFormat="1" ht="19.5" customHeight="1">
      <c r="A345" s="188" t="s">
        <v>357</v>
      </c>
      <c r="B345" s="219"/>
      <c r="C345" s="208"/>
      <c r="D345" s="87"/>
      <c r="E345" s="87"/>
      <c r="F345" s="87"/>
      <c r="G345" s="27"/>
      <c r="H345" s="88"/>
      <c r="I345" s="919"/>
      <c r="J345" s="920"/>
      <c r="K345" s="522"/>
      <c r="L345" s="920"/>
      <c r="M345" s="920"/>
      <c r="N345" s="27"/>
      <c r="O345" s="27"/>
      <c r="P345" s="27"/>
      <c r="Q345" s="27"/>
      <c r="R345" s="25"/>
      <c r="S345" s="25"/>
      <c r="T345" s="25"/>
      <c r="U345" s="25"/>
      <c r="V345" s="25"/>
      <c r="W345" s="25"/>
    </row>
    <row r="346" spans="1:23" s="3" customFormat="1" ht="19.5" customHeight="1">
      <c r="A346" s="134"/>
      <c r="B346" s="227" t="s">
        <v>387</v>
      </c>
      <c r="C346" s="228"/>
      <c r="D346" s="22"/>
      <c r="E346" s="16"/>
      <c r="F346" s="87"/>
      <c r="G346" s="27"/>
      <c r="H346" s="88">
        <v>739700</v>
      </c>
      <c r="I346" s="919"/>
      <c r="J346" s="920"/>
      <c r="K346" s="522"/>
      <c r="L346" s="920"/>
      <c r="M346" s="920"/>
      <c r="N346" s="27"/>
      <c r="O346" s="27"/>
      <c r="P346" s="27"/>
      <c r="Q346" s="27"/>
      <c r="R346" s="25"/>
      <c r="S346" s="25"/>
      <c r="T346" s="25"/>
      <c r="U346" s="25"/>
      <c r="V346" s="25"/>
      <c r="W346" s="25"/>
    </row>
    <row r="347" spans="1:23" s="3" customFormat="1" ht="19.5" customHeight="1">
      <c r="A347" s="134"/>
      <c r="B347" s="227"/>
      <c r="C347" s="228"/>
      <c r="D347" s="22"/>
      <c r="E347" s="16"/>
      <c r="F347" s="87"/>
      <c r="G347" s="27"/>
      <c r="H347" s="88"/>
      <c r="I347" s="919"/>
      <c r="J347" s="920"/>
      <c r="K347" s="522"/>
      <c r="L347" s="920"/>
      <c r="M347" s="920"/>
      <c r="N347" s="27"/>
      <c r="O347" s="27"/>
      <c r="P347" s="27"/>
      <c r="Q347" s="27"/>
      <c r="R347" s="25"/>
      <c r="S347" s="25"/>
      <c r="T347" s="25"/>
      <c r="U347" s="25"/>
      <c r="V347" s="25"/>
      <c r="W347" s="25"/>
    </row>
    <row r="348" spans="1:23" s="3" customFormat="1" ht="19.5" customHeight="1">
      <c r="A348" s="188" t="s">
        <v>215</v>
      </c>
      <c r="B348" s="227"/>
      <c r="C348" s="228"/>
      <c r="D348" s="22"/>
      <c r="E348" s="16"/>
      <c r="F348" s="27"/>
      <c r="G348" s="27"/>
      <c r="H348" s="25">
        <f>H350+H353</f>
        <v>37999.7</v>
      </c>
      <c r="I348" s="919"/>
      <c r="J348" s="920"/>
      <c r="K348" s="522"/>
      <c r="L348" s="920"/>
      <c r="M348" s="920"/>
      <c r="N348" s="27"/>
      <c r="O348" s="27"/>
      <c r="P348" s="27"/>
      <c r="Q348" s="27"/>
      <c r="R348" s="25"/>
      <c r="S348" s="25"/>
      <c r="T348" s="25"/>
      <c r="U348" s="25"/>
      <c r="V348" s="25"/>
      <c r="W348" s="25"/>
    </row>
    <row r="349" spans="1:23" s="3" customFormat="1" ht="19.5" customHeight="1">
      <c r="A349" s="134" t="s">
        <v>357</v>
      </c>
      <c r="B349" s="227"/>
      <c r="C349" s="228"/>
      <c r="D349" s="22"/>
      <c r="E349" s="16"/>
      <c r="F349" s="27"/>
      <c r="G349" s="27"/>
      <c r="H349" s="88"/>
      <c r="I349" s="919"/>
      <c r="J349" s="920"/>
      <c r="K349" s="522"/>
      <c r="L349" s="920"/>
      <c r="M349" s="920"/>
      <c r="N349" s="27"/>
      <c r="O349" s="27"/>
      <c r="P349" s="27"/>
      <c r="Q349" s="27"/>
      <c r="R349" s="25"/>
      <c r="S349" s="25"/>
      <c r="T349" s="25"/>
      <c r="U349" s="25"/>
      <c r="V349" s="25"/>
      <c r="W349" s="25"/>
    </row>
    <row r="350" spans="1:23" s="3" customFormat="1" ht="19.5" customHeight="1">
      <c r="A350" s="188" t="s">
        <v>214</v>
      </c>
      <c r="B350" s="227"/>
      <c r="C350" s="228"/>
      <c r="D350" s="22"/>
      <c r="E350" s="16"/>
      <c r="F350" s="27"/>
      <c r="G350" s="27"/>
      <c r="H350" s="25">
        <f>H351</f>
        <v>8000</v>
      </c>
      <c r="I350" s="919"/>
      <c r="J350" s="920"/>
      <c r="K350" s="522"/>
      <c r="L350" s="920"/>
      <c r="M350" s="920"/>
      <c r="N350" s="27"/>
      <c r="O350" s="27"/>
      <c r="P350" s="27"/>
      <c r="Q350" s="27"/>
      <c r="R350" s="25"/>
      <c r="S350" s="25"/>
      <c r="T350" s="25"/>
      <c r="U350" s="25"/>
      <c r="V350" s="25"/>
      <c r="W350" s="25"/>
    </row>
    <row r="351" spans="1:23" s="3" customFormat="1" ht="19.5" customHeight="1">
      <c r="A351" s="134"/>
      <c r="B351" s="227" t="s">
        <v>256</v>
      </c>
      <c r="C351" s="228"/>
      <c r="D351" s="22"/>
      <c r="E351" s="16"/>
      <c r="F351" s="27"/>
      <c r="G351" s="27"/>
      <c r="H351" s="88">
        <v>8000</v>
      </c>
      <c r="I351" s="919"/>
      <c r="J351" s="920"/>
      <c r="K351" s="522"/>
      <c r="L351" s="920"/>
      <c r="M351" s="920"/>
      <c r="N351" s="27"/>
      <c r="O351" s="27"/>
      <c r="P351" s="27"/>
      <c r="Q351" s="27"/>
      <c r="R351" s="25"/>
      <c r="S351" s="25"/>
      <c r="T351" s="25"/>
      <c r="U351" s="25"/>
      <c r="V351" s="25"/>
      <c r="W351" s="25"/>
    </row>
    <row r="352" spans="1:23" s="3" customFormat="1" ht="19.5" customHeight="1">
      <c r="A352" s="134"/>
      <c r="B352" s="227"/>
      <c r="C352" s="228"/>
      <c r="D352" s="22"/>
      <c r="E352" s="16"/>
      <c r="F352" s="27"/>
      <c r="G352" s="27"/>
      <c r="H352" s="88"/>
      <c r="I352" s="919"/>
      <c r="J352" s="920"/>
      <c r="K352" s="522"/>
      <c r="L352" s="920"/>
      <c r="M352" s="920"/>
      <c r="N352" s="27"/>
      <c r="O352" s="27"/>
      <c r="P352" s="27"/>
      <c r="Q352" s="27"/>
      <c r="R352" s="25"/>
      <c r="S352" s="25"/>
      <c r="T352" s="25"/>
      <c r="U352" s="25"/>
      <c r="V352" s="25"/>
      <c r="W352" s="25"/>
    </row>
    <row r="353" spans="1:23" s="3" customFormat="1" ht="19.5" customHeight="1">
      <c r="A353" s="188" t="s">
        <v>216</v>
      </c>
      <c r="B353" s="227"/>
      <c r="C353" s="228"/>
      <c r="D353" s="22"/>
      <c r="E353" s="16"/>
      <c r="F353" s="27"/>
      <c r="G353" s="27"/>
      <c r="H353" s="25">
        <f>H354</f>
        <v>29999.7</v>
      </c>
      <c r="I353" s="919"/>
      <c r="J353" s="920"/>
      <c r="K353" s="522"/>
      <c r="L353" s="920"/>
      <c r="M353" s="920"/>
      <c r="N353" s="27"/>
      <c r="O353" s="27"/>
      <c r="P353" s="27"/>
      <c r="Q353" s="27"/>
      <c r="R353" s="25"/>
      <c r="S353" s="25"/>
      <c r="T353" s="25"/>
      <c r="U353" s="25"/>
      <c r="V353" s="25"/>
      <c r="W353" s="25"/>
    </row>
    <row r="354" spans="1:23" s="3" customFormat="1" ht="19.5" customHeight="1">
      <c r="A354" s="134"/>
      <c r="B354" s="227" t="s">
        <v>217</v>
      </c>
      <c r="C354" s="228"/>
      <c r="D354" s="22"/>
      <c r="E354" s="16"/>
      <c r="F354" s="27"/>
      <c r="G354" s="27"/>
      <c r="H354" s="88">
        <v>29999.7</v>
      </c>
      <c r="I354" s="919"/>
      <c r="J354" s="920"/>
      <c r="K354" s="522"/>
      <c r="L354" s="920"/>
      <c r="M354" s="920"/>
      <c r="N354" s="27"/>
      <c r="O354" s="27"/>
      <c r="P354" s="27"/>
      <c r="Q354" s="27"/>
      <c r="R354" s="25"/>
      <c r="S354" s="25"/>
      <c r="T354" s="25"/>
      <c r="U354" s="25"/>
      <c r="V354" s="25"/>
      <c r="W354" s="25"/>
    </row>
    <row r="355" spans="1:23" s="3" customFormat="1" ht="19.5" customHeight="1">
      <c r="A355" s="134"/>
      <c r="B355" s="227"/>
      <c r="C355" s="228"/>
      <c r="D355" s="22"/>
      <c r="E355" s="16"/>
      <c r="F355" s="27"/>
      <c r="G355" s="27"/>
      <c r="H355" s="88"/>
      <c r="I355" s="919"/>
      <c r="J355" s="920"/>
      <c r="K355" s="522"/>
      <c r="L355" s="920"/>
      <c r="M355" s="920"/>
      <c r="N355" s="27"/>
      <c r="O355" s="27"/>
      <c r="P355" s="27"/>
      <c r="Q355" s="27"/>
      <c r="R355" s="25"/>
      <c r="S355" s="25"/>
      <c r="T355" s="25"/>
      <c r="U355" s="25"/>
      <c r="V355" s="25"/>
      <c r="W355" s="25"/>
    </row>
    <row r="356" spans="1:23" s="3" customFormat="1" ht="19.5" customHeight="1">
      <c r="A356" s="188" t="s">
        <v>227</v>
      </c>
      <c r="B356" s="219"/>
      <c r="C356" s="228"/>
      <c r="D356" s="22"/>
      <c r="E356" s="16"/>
      <c r="F356" s="27"/>
      <c r="G356" s="27"/>
      <c r="H356" s="25">
        <f>H358+H365</f>
        <v>280112.23</v>
      </c>
      <c r="I356" s="919"/>
      <c r="J356" s="920"/>
      <c r="K356" s="522"/>
      <c r="L356" s="920"/>
      <c r="M356" s="920"/>
      <c r="N356" s="27"/>
      <c r="O356" s="27"/>
      <c r="P356" s="27"/>
      <c r="Q356" s="27"/>
      <c r="R356" s="25"/>
      <c r="S356" s="25"/>
      <c r="T356" s="25"/>
      <c r="U356" s="25"/>
      <c r="V356" s="25"/>
      <c r="W356" s="25"/>
    </row>
    <row r="357" spans="1:23" s="3" customFormat="1" ht="19.5" customHeight="1">
      <c r="A357" s="134" t="s">
        <v>357</v>
      </c>
      <c r="B357" s="219"/>
      <c r="C357" s="208"/>
      <c r="D357" s="87"/>
      <c r="E357" s="87"/>
      <c r="F357" s="87"/>
      <c r="G357" s="87"/>
      <c r="H357" s="88"/>
      <c r="I357" s="919"/>
      <c r="J357" s="920"/>
      <c r="K357" s="522"/>
      <c r="L357" s="920"/>
      <c r="M357" s="920"/>
      <c r="N357" s="27"/>
      <c r="O357" s="27"/>
      <c r="P357" s="27"/>
      <c r="Q357" s="27"/>
      <c r="R357" s="25"/>
      <c r="S357" s="25"/>
      <c r="T357" s="25"/>
      <c r="U357" s="25"/>
      <c r="V357" s="25"/>
      <c r="W357" s="25"/>
    </row>
    <row r="358" spans="1:23" s="3" customFormat="1" ht="19.5" customHeight="1">
      <c r="A358" s="188" t="s">
        <v>234</v>
      </c>
      <c r="B358" s="219"/>
      <c r="C358" s="208"/>
      <c r="D358" s="87"/>
      <c r="E358" s="87"/>
      <c r="F358" s="87"/>
      <c r="G358" s="87"/>
      <c r="H358" s="25">
        <f>H359+H362</f>
        <v>100112.23000000001</v>
      </c>
      <c r="I358" s="919"/>
      <c r="J358" s="920"/>
      <c r="K358" s="522"/>
      <c r="L358" s="920"/>
      <c r="M358" s="920"/>
      <c r="N358" s="27"/>
      <c r="O358" s="27"/>
      <c r="P358" s="27"/>
      <c r="Q358" s="27"/>
      <c r="R358" s="25"/>
      <c r="S358" s="25"/>
      <c r="T358" s="25"/>
      <c r="U358" s="25"/>
      <c r="V358" s="25"/>
      <c r="W358" s="25"/>
    </row>
    <row r="359" spans="1:23" s="753" customFormat="1" ht="19.5" customHeight="1">
      <c r="A359" s="749"/>
      <c r="B359" s="749" t="s">
        <v>232</v>
      </c>
      <c r="C359" s="752"/>
      <c r="D359" s="510"/>
      <c r="E359" s="510"/>
      <c r="F359" s="510"/>
      <c r="G359" s="510"/>
      <c r="H359" s="89">
        <f>H360</f>
        <v>45000</v>
      </c>
      <c r="I359" s="933"/>
      <c r="J359" s="934"/>
      <c r="K359" s="935"/>
      <c r="L359" s="934"/>
      <c r="M359" s="934"/>
      <c r="N359" s="539"/>
      <c r="O359" s="539"/>
      <c r="P359" s="539"/>
      <c r="Q359" s="539"/>
      <c r="R359" s="89"/>
      <c r="S359" s="89"/>
      <c r="T359" s="89"/>
      <c r="U359" s="89"/>
      <c r="V359" s="89"/>
      <c r="W359" s="89"/>
    </row>
    <row r="360" spans="1:23" s="3" customFormat="1" ht="19.5" customHeight="1">
      <c r="A360" s="134"/>
      <c r="B360" s="219" t="s">
        <v>501</v>
      </c>
      <c r="C360" s="208"/>
      <c r="D360" s="87"/>
      <c r="E360" s="87"/>
      <c r="F360" s="87"/>
      <c r="G360" s="87"/>
      <c r="H360" s="88">
        <v>45000</v>
      </c>
      <c r="I360" s="919"/>
      <c r="J360" s="920"/>
      <c r="K360" s="522"/>
      <c r="L360" s="920"/>
      <c r="M360" s="920"/>
      <c r="N360" s="27"/>
      <c r="O360" s="27"/>
      <c r="P360" s="27"/>
      <c r="Q360" s="27"/>
      <c r="R360" s="25"/>
      <c r="S360" s="25"/>
      <c r="T360" s="25"/>
      <c r="U360" s="25"/>
      <c r="V360" s="25"/>
      <c r="W360" s="25"/>
    </row>
    <row r="361" spans="1:23" s="3" customFormat="1" ht="19.5" customHeight="1">
      <c r="A361" s="134"/>
      <c r="B361" s="219"/>
      <c r="C361" s="208"/>
      <c r="D361" s="87"/>
      <c r="E361" s="87"/>
      <c r="F361" s="87"/>
      <c r="G361" s="87"/>
      <c r="H361" s="88"/>
      <c r="I361" s="919"/>
      <c r="J361" s="920"/>
      <c r="K361" s="522"/>
      <c r="L361" s="920"/>
      <c r="M361" s="920"/>
      <c r="N361" s="27"/>
      <c r="O361" s="27"/>
      <c r="P361" s="27"/>
      <c r="Q361" s="27"/>
      <c r="R361" s="25"/>
      <c r="S361" s="25"/>
      <c r="T361" s="25"/>
      <c r="U361" s="25"/>
      <c r="V361" s="25"/>
      <c r="W361" s="25"/>
    </row>
    <row r="362" spans="1:23" s="751" customFormat="1" ht="19.5" customHeight="1">
      <c r="A362" s="749"/>
      <c r="B362" s="749" t="s">
        <v>233</v>
      </c>
      <c r="C362" s="750"/>
      <c r="D362" s="539"/>
      <c r="E362" s="539"/>
      <c r="F362" s="539"/>
      <c r="G362" s="539"/>
      <c r="H362" s="89">
        <f>H363</f>
        <v>55112.23</v>
      </c>
      <c r="I362" s="933"/>
      <c r="J362" s="934"/>
      <c r="K362" s="935"/>
      <c r="L362" s="934"/>
      <c r="M362" s="934"/>
      <c r="N362" s="539"/>
      <c r="O362" s="539"/>
      <c r="P362" s="539"/>
      <c r="Q362" s="539"/>
      <c r="R362" s="89"/>
      <c r="S362" s="89"/>
      <c r="T362" s="89"/>
      <c r="U362" s="89"/>
      <c r="V362" s="89"/>
      <c r="W362" s="89"/>
    </row>
    <row r="363" spans="1:23" s="3" customFormat="1" ht="19.5" customHeight="1">
      <c r="A363" s="134"/>
      <c r="B363" s="219" t="s">
        <v>240</v>
      </c>
      <c r="C363" s="208"/>
      <c r="D363" s="87"/>
      <c r="E363" s="87"/>
      <c r="F363" s="87"/>
      <c r="G363" s="87"/>
      <c r="H363" s="88">
        <v>55112.23</v>
      </c>
      <c r="I363" s="919"/>
      <c r="J363" s="920"/>
      <c r="K363" s="522"/>
      <c r="L363" s="920"/>
      <c r="M363" s="920"/>
      <c r="N363" s="27"/>
      <c r="O363" s="27"/>
      <c r="P363" s="27"/>
      <c r="Q363" s="27"/>
      <c r="R363" s="25"/>
      <c r="S363" s="25"/>
      <c r="T363" s="25"/>
      <c r="U363" s="25"/>
      <c r="V363" s="25"/>
      <c r="W363" s="25"/>
    </row>
    <row r="364" spans="1:23" s="3" customFormat="1" ht="19.5" customHeight="1">
      <c r="A364" s="134"/>
      <c r="B364" s="219"/>
      <c r="C364" s="208"/>
      <c r="D364" s="87"/>
      <c r="E364" s="87"/>
      <c r="F364" s="87"/>
      <c r="G364" s="87"/>
      <c r="H364" s="88"/>
      <c r="I364" s="919"/>
      <c r="J364" s="920"/>
      <c r="K364" s="522"/>
      <c r="L364" s="920"/>
      <c r="M364" s="920"/>
      <c r="N364" s="27"/>
      <c r="O364" s="27"/>
      <c r="P364" s="27"/>
      <c r="Q364" s="27"/>
      <c r="R364" s="25"/>
      <c r="S364" s="25"/>
      <c r="T364" s="25"/>
      <c r="U364" s="25"/>
      <c r="V364" s="25"/>
      <c r="W364" s="25"/>
    </row>
    <row r="365" spans="1:23" s="3" customFormat="1" ht="19.5" customHeight="1">
      <c r="A365" s="188" t="s">
        <v>226</v>
      </c>
      <c r="B365" s="219"/>
      <c r="C365" s="208"/>
      <c r="D365" s="87"/>
      <c r="E365" s="87"/>
      <c r="F365" s="87"/>
      <c r="G365" s="87"/>
      <c r="H365" s="25">
        <f>H367</f>
        <v>180000</v>
      </c>
      <c r="I365" s="919"/>
      <c r="J365" s="920"/>
      <c r="K365" s="522"/>
      <c r="L365" s="920"/>
      <c r="M365" s="920"/>
      <c r="N365" s="27"/>
      <c r="O365" s="27"/>
      <c r="P365" s="27"/>
      <c r="Q365" s="27"/>
      <c r="R365" s="25"/>
      <c r="S365" s="25"/>
      <c r="T365" s="25"/>
      <c r="U365" s="25"/>
      <c r="V365" s="25"/>
      <c r="W365" s="25"/>
    </row>
    <row r="366" spans="1:23" s="3" customFormat="1" ht="19.5" customHeight="1">
      <c r="A366" s="134"/>
      <c r="B366" s="224" t="s">
        <v>60</v>
      </c>
      <c r="C366" s="208"/>
      <c r="D366" s="87"/>
      <c r="E366" s="87"/>
      <c r="F366" s="87"/>
      <c r="G366" s="87"/>
      <c r="H366" s="88"/>
      <c r="I366" s="919"/>
      <c r="J366" s="920"/>
      <c r="K366" s="522"/>
      <c r="L366" s="920"/>
      <c r="M366" s="920"/>
      <c r="N366" s="27"/>
      <c r="O366" s="27"/>
      <c r="P366" s="27"/>
      <c r="Q366" s="27"/>
      <c r="R366" s="25"/>
      <c r="S366" s="25"/>
      <c r="T366" s="25"/>
      <c r="U366" s="25"/>
      <c r="V366" s="25"/>
      <c r="W366" s="25"/>
    </row>
    <row r="367" spans="1:23" s="3" customFormat="1" ht="19.5" customHeight="1">
      <c r="A367" s="134"/>
      <c r="B367" s="224" t="s">
        <v>61</v>
      </c>
      <c r="C367" s="208"/>
      <c r="D367" s="87"/>
      <c r="E367" s="87"/>
      <c r="F367" s="87"/>
      <c r="G367" s="87"/>
      <c r="H367" s="88">
        <v>180000</v>
      </c>
      <c r="I367" s="919"/>
      <c r="J367" s="920"/>
      <c r="K367" s="522"/>
      <c r="L367" s="920"/>
      <c r="M367" s="920"/>
      <c r="N367" s="27"/>
      <c r="O367" s="27"/>
      <c r="P367" s="27"/>
      <c r="Q367" s="27"/>
      <c r="R367" s="25"/>
      <c r="S367" s="25"/>
      <c r="T367" s="25"/>
      <c r="U367" s="25"/>
      <c r="V367" s="25"/>
      <c r="W367" s="25"/>
    </row>
    <row r="368" spans="1:23" s="3" customFormat="1" ht="19.5" customHeight="1">
      <c r="A368" s="134"/>
      <c r="B368" s="224"/>
      <c r="C368" s="208"/>
      <c r="D368" s="87"/>
      <c r="E368" s="87"/>
      <c r="F368" s="87"/>
      <c r="G368" s="87"/>
      <c r="H368" s="88"/>
      <c r="I368" s="919"/>
      <c r="J368" s="920"/>
      <c r="K368" s="522"/>
      <c r="L368" s="920"/>
      <c r="M368" s="920"/>
      <c r="N368" s="27"/>
      <c r="O368" s="27"/>
      <c r="P368" s="27"/>
      <c r="Q368" s="27"/>
      <c r="R368" s="25"/>
      <c r="S368" s="25"/>
      <c r="T368" s="25"/>
      <c r="U368" s="25"/>
      <c r="V368" s="25"/>
      <c r="W368" s="25"/>
    </row>
    <row r="369" spans="1:23" s="3" customFormat="1" ht="19.5" customHeight="1">
      <c r="A369" s="188" t="s">
        <v>235</v>
      </c>
      <c r="B369" s="747"/>
      <c r="C369" s="176"/>
      <c r="D369" s="27"/>
      <c r="E369" s="27"/>
      <c r="F369" s="27"/>
      <c r="G369" s="27"/>
      <c r="H369" s="25">
        <f>H371+H372</f>
        <v>170000</v>
      </c>
      <c r="I369" s="919"/>
      <c r="J369" s="920"/>
      <c r="K369" s="522"/>
      <c r="L369" s="920"/>
      <c r="M369" s="920"/>
      <c r="N369" s="27"/>
      <c r="O369" s="27"/>
      <c r="P369" s="27"/>
      <c r="Q369" s="27"/>
      <c r="R369" s="25"/>
      <c r="S369" s="25"/>
      <c r="T369" s="25"/>
      <c r="U369" s="25"/>
      <c r="V369" s="25"/>
      <c r="W369" s="25"/>
    </row>
    <row r="370" spans="1:23" s="3" customFormat="1" ht="19.5" customHeight="1">
      <c r="A370" s="134" t="s">
        <v>357</v>
      </c>
      <c r="B370" s="224"/>
      <c r="C370" s="208"/>
      <c r="D370" s="87"/>
      <c r="E370" s="87"/>
      <c r="F370" s="87"/>
      <c r="G370" s="87"/>
      <c r="H370" s="88"/>
      <c r="I370" s="919"/>
      <c r="J370" s="920"/>
      <c r="K370" s="522"/>
      <c r="L370" s="920"/>
      <c r="M370" s="920"/>
      <c r="N370" s="27"/>
      <c r="O370" s="27"/>
      <c r="P370" s="27"/>
      <c r="Q370" s="27"/>
      <c r="R370" s="25"/>
      <c r="S370" s="25"/>
      <c r="T370" s="25"/>
      <c r="U370" s="25"/>
      <c r="V370" s="25"/>
      <c r="W370" s="25"/>
    </row>
    <row r="371" spans="1:23" s="3" customFormat="1" ht="19.5" customHeight="1">
      <c r="A371" s="134"/>
      <c r="B371" s="224" t="s">
        <v>353</v>
      </c>
      <c r="C371" s="208"/>
      <c r="D371" s="87"/>
      <c r="E371" s="87"/>
      <c r="F371" s="87"/>
      <c r="G371" s="87"/>
      <c r="H371" s="88">
        <v>60000</v>
      </c>
      <c r="I371" s="919"/>
      <c r="J371" s="920"/>
      <c r="K371" s="522"/>
      <c r="L371" s="920"/>
      <c r="M371" s="920"/>
      <c r="N371" s="27"/>
      <c r="O371" s="27"/>
      <c r="P371" s="27"/>
      <c r="Q371" s="27"/>
      <c r="R371" s="25"/>
      <c r="S371" s="25"/>
      <c r="T371" s="25"/>
      <c r="U371" s="25"/>
      <c r="V371" s="25"/>
      <c r="W371" s="25"/>
    </row>
    <row r="372" spans="1:23" s="3" customFormat="1" ht="19.5" customHeight="1">
      <c r="A372" s="134"/>
      <c r="B372" s="224" t="s">
        <v>344</v>
      </c>
      <c r="C372" s="208"/>
      <c r="D372" s="87"/>
      <c r="E372" s="87"/>
      <c r="F372" s="87"/>
      <c r="G372" s="87"/>
      <c r="H372" s="88">
        <v>110000</v>
      </c>
      <c r="I372" s="919"/>
      <c r="J372" s="920"/>
      <c r="K372" s="522"/>
      <c r="L372" s="920"/>
      <c r="M372" s="920"/>
      <c r="N372" s="27"/>
      <c r="O372" s="27"/>
      <c r="P372" s="27"/>
      <c r="Q372" s="27"/>
      <c r="R372" s="25"/>
      <c r="S372" s="25"/>
      <c r="T372" s="25"/>
      <c r="U372" s="25"/>
      <c r="V372" s="25"/>
      <c r="W372" s="25"/>
    </row>
    <row r="373" spans="1:23" s="3" customFormat="1" ht="19.5" customHeight="1">
      <c r="A373" s="134"/>
      <c r="B373" s="224"/>
      <c r="C373" s="208"/>
      <c r="D373" s="87"/>
      <c r="E373" s="87"/>
      <c r="F373" s="87"/>
      <c r="G373" s="87"/>
      <c r="H373" s="88"/>
      <c r="I373" s="919"/>
      <c r="J373" s="920"/>
      <c r="K373" s="522"/>
      <c r="L373" s="920"/>
      <c r="M373" s="920"/>
      <c r="N373" s="27"/>
      <c r="O373" s="27"/>
      <c r="P373" s="27"/>
      <c r="Q373" s="27"/>
      <c r="R373" s="25"/>
      <c r="S373" s="25"/>
      <c r="T373" s="25"/>
      <c r="U373" s="25"/>
      <c r="V373" s="25"/>
      <c r="W373" s="25"/>
    </row>
    <row r="374" spans="1:23" s="3" customFormat="1" ht="19.5" customHeight="1">
      <c r="A374" s="134"/>
      <c r="B374" s="224"/>
      <c r="C374" s="208"/>
      <c r="D374" s="87"/>
      <c r="E374" s="87"/>
      <c r="F374" s="87"/>
      <c r="G374" s="87"/>
      <c r="H374" s="88"/>
      <c r="I374" s="919"/>
      <c r="J374" s="920"/>
      <c r="K374" s="522"/>
      <c r="L374" s="920"/>
      <c r="M374" s="920"/>
      <c r="N374" s="27"/>
      <c r="O374" s="27"/>
      <c r="P374" s="27"/>
      <c r="Q374" s="27"/>
      <c r="R374" s="25"/>
      <c r="S374" s="25"/>
      <c r="T374" s="25"/>
      <c r="U374" s="25"/>
      <c r="V374" s="25"/>
      <c r="W374" s="25"/>
    </row>
    <row r="375" spans="1:23" s="3" customFormat="1" ht="19.5" customHeight="1">
      <c r="A375" s="134"/>
      <c r="B375" s="219"/>
      <c r="C375" s="208"/>
      <c r="D375" s="87"/>
      <c r="E375" s="87"/>
      <c r="F375" s="87"/>
      <c r="G375" s="87"/>
      <c r="H375" s="88"/>
      <c r="I375" s="919"/>
      <c r="J375" s="920"/>
      <c r="K375" s="522"/>
      <c r="L375" s="920"/>
      <c r="M375" s="920"/>
      <c r="N375" s="27"/>
      <c r="O375" s="27"/>
      <c r="P375" s="27"/>
      <c r="Q375" s="27"/>
      <c r="R375" s="25"/>
      <c r="S375" s="25"/>
      <c r="T375" s="25"/>
      <c r="U375" s="25"/>
      <c r="V375" s="25"/>
      <c r="W375" s="25"/>
    </row>
    <row r="376" spans="1:23" s="3" customFormat="1" ht="19.5" customHeight="1">
      <c r="A376" s="223" t="s">
        <v>530</v>
      </c>
      <c r="B376" s="219"/>
      <c r="C376" s="208"/>
      <c r="D376" s="87"/>
      <c r="E376" s="87"/>
      <c r="F376" s="87"/>
      <c r="G376" s="87"/>
      <c r="H376" s="88"/>
      <c r="I376" s="919"/>
      <c r="J376" s="920"/>
      <c r="K376" s="522"/>
      <c r="L376" s="920"/>
      <c r="M376" s="920"/>
      <c r="N376" s="27"/>
      <c r="O376" s="27"/>
      <c r="P376" s="27"/>
      <c r="Q376" s="27"/>
      <c r="R376" s="25"/>
      <c r="S376" s="25"/>
      <c r="T376" s="25"/>
      <c r="U376" s="25"/>
      <c r="V376" s="25"/>
      <c r="W376" s="25"/>
    </row>
    <row r="377" spans="1:23" s="3" customFormat="1" ht="19.5" customHeight="1">
      <c r="A377" s="223"/>
      <c r="B377" s="219"/>
      <c r="C377" s="208"/>
      <c r="D377" s="87"/>
      <c r="E377" s="87"/>
      <c r="F377" s="87"/>
      <c r="G377" s="87"/>
      <c r="H377" s="88"/>
      <c r="I377" s="919"/>
      <c r="J377" s="920"/>
      <c r="K377" s="522"/>
      <c r="L377" s="920"/>
      <c r="M377" s="920"/>
      <c r="N377" s="27"/>
      <c r="O377" s="27"/>
      <c r="P377" s="27"/>
      <c r="Q377" s="27"/>
      <c r="R377" s="25"/>
      <c r="S377" s="25"/>
      <c r="T377" s="25"/>
      <c r="U377" s="25"/>
      <c r="V377" s="25"/>
      <c r="W377" s="25"/>
    </row>
    <row r="378" spans="1:23" s="3" customFormat="1" ht="19.5" customHeight="1">
      <c r="A378" s="134"/>
      <c r="B378" s="227"/>
      <c r="C378" s="228"/>
      <c r="D378" s="22"/>
      <c r="E378" s="16"/>
      <c r="F378" s="87"/>
      <c r="G378" s="87"/>
      <c r="H378" s="88"/>
      <c r="I378" s="919"/>
      <c r="J378" s="920"/>
      <c r="K378" s="522"/>
      <c r="L378" s="920"/>
      <c r="M378" s="920"/>
      <c r="N378" s="27"/>
      <c r="O378" s="27"/>
      <c r="P378" s="27"/>
      <c r="Q378" s="27"/>
      <c r="R378" s="25"/>
      <c r="S378" s="25"/>
      <c r="T378" s="25"/>
      <c r="U378" s="25"/>
      <c r="V378" s="25"/>
      <c r="W378" s="25"/>
    </row>
    <row r="379" spans="1:23" s="3" customFormat="1" ht="19.5" customHeight="1">
      <c r="A379" s="225" t="s">
        <v>398</v>
      </c>
      <c r="B379" s="224"/>
      <c r="C379" s="226"/>
      <c r="D379" s="87"/>
      <c r="E379" s="87"/>
      <c r="F379" s="87"/>
      <c r="G379" s="87"/>
      <c r="H379" s="25">
        <f>H381+H386</f>
        <v>650000</v>
      </c>
      <c r="I379" s="919"/>
      <c r="J379" s="920"/>
      <c r="K379" s="522"/>
      <c r="L379" s="920"/>
      <c r="M379" s="920"/>
      <c r="N379" s="27"/>
      <c r="O379" s="27"/>
      <c r="P379" s="27"/>
      <c r="Q379" s="27"/>
      <c r="R379" s="25"/>
      <c r="S379" s="25"/>
      <c r="T379" s="25"/>
      <c r="U379" s="25"/>
      <c r="V379" s="25"/>
      <c r="W379" s="25"/>
    </row>
    <row r="380" spans="1:23" s="3" customFormat="1" ht="19.5" customHeight="1">
      <c r="A380" s="134" t="s">
        <v>357</v>
      </c>
      <c r="B380" s="227"/>
      <c r="C380" s="228"/>
      <c r="D380" s="22"/>
      <c r="E380" s="16"/>
      <c r="F380" s="87"/>
      <c r="G380" s="87"/>
      <c r="H380" s="25"/>
      <c r="I380" s="919"/>
      <c r="J380" s="920"/>
      <c r="K380" s="522"/>
      <c r="L380" s="920"/>
      <c r="M380" s="920"/>
      <c r="N380" s="27"/>
      <c r="O380" s="27"/>
      <c r="P380" s="27"/>
      <c r="Q380" s="27"/>
      <c r="R380" s="25"/>
      <c r="S380" s="25"/>
      <c r="T380" s="25"/>
      <c r="U380" s="25"/>
      <c r="V380" s="25"/>
      <c r="W380" s="25"/>
    </row>
    <row r="381" spans="1:23" s="3" customFormat="1" ht="19.5" customHeight="1">
      <c r="A381" s="188" t="s">
        <v>300</v>
      </c>
      <c r="B381" s="224"/>
      <c r="C381" s="228"/>
      <c r="D381" s="22"/>
      <c r="E381" s="16"/>
      <c r="F381" s="87"/>
      <c r="G381" s="87"/>
      <c r="H381" s="25">
        <f>H384</f>
        <v>50000</v>
      </c>
      <c r="I381" s="919"/>
      <c r="J381" s="920"/>
      <c r="K381" s="522"/>
      <c r="L381" s="920"/>
      <c r="M381" s="920"/>
      <c r="N381" s="27"/>
      <c r="O381" s="27"/>
      <c r="P381" s="27"/>
      <c r="Q381" s="27"/>
      <c r="R381" s="25"/>
      <c r="S381" s="25"/>
      <c r="T381" s="25"/>
      <c r="U381" s="25"/>
      <c r="V381" s="25"/>
      <c r="W381" s="25"/>
    </row>
    <row r="382" spans="1:23" s="3" customFormat="1" ht="19.5" customHeight="1">
      <c r="A382" s="134" t="s">
        <v>357</v>
      </c>
      <c r="B382" s="224"/>
      <c r="C382" s="228"/>
      <c r="D382" s="22"/>
      <c r="E382" s="16"/>
      <c r="F382" s="87"/>
      <c r="G382" s="87"/>
      <c r="H382" s="88"/>
      <c r="I382" s="919"/>
      <c r="J382" s="920"/>
      <c r="K382" s="522"/>
      <c r="L382" s="920"/>
      <c r="M382" s="920"/>
      <c r="N382" s="27"/>
      <c r="O382" s="27"/>
      <c r="P382" s="27"/>
      <c r="Q382" s="27"/>
      <c r="R382" s="25"/>
      <c r="S382" s="25"/>
      <c r="T382" s="25"/>
      <c r="U382" s="25"/>
      <c r="V382" s="25"/>
      <c r="W382" s="25"/>
    </row>
    <row r="383" spans="1:23" s="3" customFormat="1" ht="19.5" customHeight="1">
      <c r="A383" s="134"/>
      <c r="B383" s="227" t="s">
        <v>222</v>
      </c>
      <c r="C383" s="228"/>
      <c r="D383" s="22"/>
      <c r="E383" s="16"/>
      <c r="F383" s="87"/>
      <c r="G383" s="87"/>
      <c r="H383" s="88"/>
      <c r="I383" s="919"/>
      <c r="J383" s="920"/>
      <c r="K383" s="522"/>
      <c r="L383" s="920"/>
      <c r="M383" s="920"/>
      <c r="N383" s="27"/>
      <c r="O383" s="27"/>
      <c r="P383" s="27"/>
      <c r="Q383" s="27"/>
      <c r="R383" s="25"/>
      <c r="S383" s="25"/>
      <c r="T383" s="25"/>
      <c r="U383" s="25"/>
      <c r="V383" s="25"/>
      <c r="W383" s="25"/>
    </row>
    <row r="384" spans="1:23" s="3" customFormat="1" ht="19.5" customHeight="1">
      <c r="A384" s="134"/>
      <c r="B384" s="227" t="s">
        <v>223</v>
      </c>
      <c r="C384" s="228"/>
      <c r="D384" s="22"/>
      <c r="E384" s="16"/>
      <c r="F384" s="87"/>
      <c r="G384" s="87"/>
      <c r="H384" s="88">
        <v>50000</v>
      </c>
      <c r="I384" s="919"/>
      <c r="J384" s="920"/>
      <c r="K384" s="522"/>
      <c r="L384" s="920"/>
      <c r="M384" s="920"/>
      <c r="N384" s="27"/>
      <c r="O384" s="27"/>
      <c r="P384" s="27"/>
      <c r="Q384" s="27"/>
      <c r="R384" s="25"/>
      <c r="S384" s="25"/>
      <c r="T384" s="25"/>
      <c r="U384" s="25"/>
      <c r="V384" s="25"/>
      <c r="W384" s="25"/>
    </row>
    <row r="385" spans="1:23" s="3" customFormat="1" ht="19.5" customHeight="1">
      <c r="A385" s="134"/>
      <c r="B385" s="227"/>
      <c r="C385" s="228"/>
      <c r="D385" s="22"/>
      <c r="E385" s="16"/>
      <c r="F385" s="27"/>
      <c r="G385" s="87"/>
      <c r="H385" s="88"/>
      <c r="I385" s="919"/>
      <c r="J385" s="920"/>
      <c r="K385" s="522"/>
      <c r="L385" s="920"/>
      <c r="M385" s="920"/>
      <c r="N385" s="27"/>
      <c r="O385" s="27"/>
      <c r="P385" s="27"/>
      <c r="Q385" s="27"/>
      <c r="R385" s="25"/>
      <c r="S385" s="25"/>
      <c r="T385" s="25"/>
      <c r="U385" s="25"/>
      <c r="V385" s="25"/>
      <c r="W385" s="25"/>
    </row>
    <row r="386" spans="1:23" s="3" customFormat="1" ht="19.5" customHeight="1">
      <c r="A386" s="188" t="s">
        <v>306</v>
      </c>
      <c r="B386" s="219"/>
      <c r="C386" s="208"/>
      <c r="D386" s="87"/>
      <c r="E386" s="87"/>
      <c r="F386" s="87"/>
      <c r="G386" s="87"/>
      <c r="H386" s="25">
        <f>H388</f>
        <v>600000</v>
      </c>
      <c r="I386" s="919"/>
      <c r="J386" s="920"/>
      <c r="K386" s="522"/>
      <c r="L386" s="920"/>
      <c r="M386" s="920"/>
      <c r="N386" s="27"/>
      <c r="O386" s="27"/>
      <c r="P386" s="27"/>
      <c r="Q386" s="27"/>
      <c r="R386" s="25"/>
      <c r="S386" s="25"/>
      <c r="T386" s="25"/>
      <c r="U386" s="25"/>
      <c r="V386" s="25"/>
      <c r="W386" s="25"/>
    </row>
    <row r="387" spans="1:23" s="3" customFormat="1" ht="19.5" customHeight="1">
      <c r="A387" s="188" t="s">
        <v>357</v>
      </c>
      <c r="B387" s="219"/>
      <c r="C387" s="208"/>
      <c r="D387" s="87"/>
      <c r="E387" s="87"/>
      <c r="F387" s="87"/>
      <c r="G387" s="87"/>
      <c r="H387" s="88"/>
      <c r="I387" s="919"/>
      <c r="J387" s="920"/>
      <c r="K387" s="522"/>
      <c r="L387" s="920"/>
      <c r="M387" s="920"/>
      <c r="N387" s="27"/>
      <c r="O387" s="27"/>
      <c r="P387" s="27"/>
      <c r="Q387" s="27"/>
      <c r="R387" s="25"/>
      <c r="S387" s="25"/>
      <c r="T387" s="25"/>
      <c r="U387" s="25"/>
      <c r="V387" s="25"/>
      <c r="W387" s="25"/>
    </row>
    <row r="388" spans="1:23" s="3" customFormat="1" ht="19.5" customHeight="1">
      <c r="A388" s="134"/>
      <c r="B388" s="227" t="s">
        <v>387</v>
      </c>
      <c r="C388" s="228"/>
      <c r="D388" s="22"/>
      <c r="E388" s="16"/>
      <c r="F388" s="87"/>
      <c r="G388" s="87"/>
      <c r="H388" s="88">
        <f>700000-50000-50000</f>
        <v>600000</v>
      </c>
      <c r="I388" s="919"/>
      <c r="J388" s="920"/>
      <c r="K388" s="522"/>
      <c r="L388" s="920"/>
      <c r="M388" s="920"/>
      <c r="N388" s="27"/>
      <c r="O388" s="27"/>
      <c r="P388" s="27"/>
      <c r="Q388" s="27"/>
      <c r="R388" s="25"/>
      <c r="S388" s="25"/>
      <c r="T388" s="25"/>
      <c r="U388" s="25"/>
      <c r="V388" s="25"/>
      <c r="W388" s="25"/>
    </row>
    <row r="389" spans="1:23" s="3" customFormat="1" ht="19.5" customHeight="1">
      <c r="A389" s="134"/>
      <c r="B389" s="227"/>
      <c r="C389" s="228"/>
      <c r="D389" s="22"/>
      <c r="E389" s="16"/>
      <c r="F389" s="27"/>
      <c r="G389" s="87"/>
      <c r="H389" s="88"/>
      <c r="I389" s="919"/>
      <c r="J389" s="920"/>
      <c r="K389" s="522"/>
      <c r="L389" s="920"/>
      <c r="M389" s="920"/>
      <c r="N389" s="27"/>
      <c r="O389" s="27"/>
      <c r="P389" s="27"/>
      <c r="Q389" s="27"/>
      <c r="R389" s="25"/>
      <c r="S389" s="25"/>
      <c r="T389" s="25"/>
      <c r="U389" s="25"/>
      <c r="V389" s="25"/>
      <c r="W389" s="25"/>
    </row>
    <row r="390" spans="1:23" s="3" customFormat="1" ht="19.5" customHeight="1">
      <c r="A390" s="229" t="s">
        <v>428</v>
      </c>
      <c r="B390" s="229"/>
      <c r="C390" s="222"/>
      <c r="D390" s="22"/>
      <c r="E390" s="16"/>
      <c r="F390" s="87"/>
      <c r="G390" s="87"/>
      <c r="H390" s="88"/>
      <c r="I390" s="919"/>
      <c r="J390" s="928"/>
      <c r="K390" s="522"/>
      <c r="L390" s="928"/>
      <c r="M390" s="928"/>
      <c r="N390" s="87"/>
      <c r="O390" s="87"/>
      <c r="P390" s="87"/>
      <c r="Q390" s="87"/>
      <c r="R390" s="88"/>
      <c r="S390" s="88"/>
      <c r="T390" s="88"/>
      <c r="U390" s="88"/>
      <c r="V390" s="88"/>
      <c r="W390" s="88"/>
    </row>
    <row r="391" spans="1:23" s="3" customFormat="1" ht="19.5" customHeight="1">
      <c r="A391" s="229" t="s">
        <v>429</v>
      </c>
      <c r="B391" s="229"/>
      <c r="C391" s="222"/>
      <c r="D391" s="22"/>
      <c r="E391" s="16"/>
      <c r="F391" s="87"/>
      <c r="G391" s="87"/>
      <c r="H391" s="88"/>
      <c r="I391" s="919"/>
      <c r="J391" s="928"/>
      <c r="K391" s="522"/>
      <c r="L391" s="928"/>
      <c r="M391" s="928"/>
      <c r="N391" s="87"/>
      <c r="O391" s="87"/>
      <c r="P391" s="87"/>
      <c r="Q391" s="87"/>
      <c r="R391" s="88"/>
      <c r="S391" s="88"/>
      <c r="T391" s="88"/>
      <c r="U391" s="88"/>
      <c r="V391" s="88"/>
      <c r="W391" s="88"/>
    </row>
    <row r="392" spans="1:23" s="3" customFormat="1" ht="19.5" customHeight="1">
      <c r="A392" s="229"/>
      <c r="B392" s="229"/>
      <c r="C392" s="222"/>
      <c r="D392" s="22"/>
      <c r="E392" s="16"/>
      <c r="F392" s="87"/>
      <c r="G392" s="87"/>
      <c r="H392" s="88"/>
      <c r="I392" s="919"/>
      <c r="J392" s="928"/>
      <c r="K392" s="522"/>
      <c r="L392" s="928"/>
      <c r="M392" s="928"/>
      <c r="N392" s="87"/>
      <c r="O392" s="87"/>
      <c r="P392" s="87"/>
      <c r="Q392" s="87"/>
      <c r="R392" s="88"/>
      <c r="S392" s="88"/>
      <c r="T392" s="88"/>
      <c r="U392" s="88"/>
      <c r="V392" s="88"/>
      <c r="W392" s="88"/>
    </row>
    <row r="393" spans="1:23" s="3" customFormat="1" ht="19.5" customHeight="1">
      <c r="A393" s="229"/>
      <c r="B393" s="229"/>
      <c r="C393" s="222"/>
      <c r="D393" s="22"/>
      <c r="E393" s="16"/>
      <c r="F393" s="87"/>
      <c r="G393" s="87"/>
      <c r="H393" s="88"/>
      <c r="I393" s="919"/>
      <c r="J393" s="928"/>
      <c r="K393" s="522"/>
      <c r="L393" s="928"/>
      <c r="M393" s="928"/>
      <c r="N393" s="87"/>
      <c r="O393" s="87"/>
      <c r="P393" s="87"/>
      <c r="Q393" s="87"/>
      <c r="R393" s="88"/>
      <c r="S393" s="88"/>
      <c r="T393" s="88"/>
      <c r="U393" s="88"/>
      <c r="V393" s="88"/>
      <c r="W393" s="88"/>
    </row>
    <row r="394" spans="1:23" s="3" customFormat="1" ht="19.5" customHeight="1">
      <c r="A394" s="229" t="s">
        <v>247</v>
      </c>
      <c r="B394" s="229"/>
      <c r="C394" s="222"/>
      <c r="D394" s="22"/>
      <c r="E394" s="16"/>
      <c r="F394" s="87"/>
      <c r="G394" s="87"/>
      <c r="H394" s="88"/>
      <c r="I394" s="919"/>
      <c r="J394" s="928"/>
      <c r="K394" s="522"/>
      <c r="L394" s="928"/>
      <c r="M394" s="928"/>
      <c r="N394" s="87"/>
      <c r="O394" s="87"/>
      <c r="P394" s="87"/>
      <c r="Q394" s="87"/>
      <c r="R394" s="88"/>
      <c r="S394" s="88"/>
      <c r="T394" s="88"/>
      <c r="U394" s="88"/>
      <c r="V394" s="88"/>
      <c r="W394" s="88"/>
    </row>
    <row r="395" spans="1:23" s="3" customFormat="1" ht="19.5" customHeight="1">
      <c r="A395" s="508" t="s">
        <v>307</v>
      </c>
      <c r="B395" s="508"/>
      <c r="C395" s="509"/>
      <c r="D395" s="392"/>
      <c r="E395" s="230"/>
      <c r="F395" s="510"/>
      <c r="G395" s="87"/>
      <c r="H395" s="88"/>
      <c r="I395" s="919"/>
      <c r="J395" s="928"/>
      <c r="K395" s="522"/>
      <c r="L395" s="928"/>
      <c r="M395" s="928"/>
      <c r="N395" s="87"/>
      <c r="O395" s="87"/>
      <c r="P395" s="87"/>
      <c r="Q395" s="87"/>
      <c r="R395" s="88"/>
      <c r="S395" s="88"/>
      <c r="T395" s="88"/>
      <c r="U395" s="88"/>
      <c r="V395" s="88"/>
      <c r="W395" s="88"/>
    </row>
    <row r="396" spans="1:23" s="3" customFormat="1" ht="19.5" customHeight="1">
      <c r="A396" s="508" t="s">
        <v>308</v>
      </c>
      <c r="B396" s="508"/>
      <c r="C396" s="509"/>
      <c r="D396" s="392"/>
      <c r="E396" s="230"/>
      <c r="F396" s="510"/>
      <c r="G396" s="87"/>
      <c r="H396" s="88"/>
      <c r="I396" s="919"/>
      <c r="J396" s="928"/>
      <c r="K396" s="522"/>
      <c r="L396" s="928"/>
      <c r="M396" s="928"/>
      <c r="N396" s="87"/>
      <c r="O396" s="87"/>
      <c r="P396" s="87"/>
      <c r="Q396" s="87"/>
      <c r="R396" s="88"/>
      <c r="S396" s="88"/>
      <c r="T396" s="88"/>
      <c r="U396" s="88"/>
      <c r="V396" s="88"/>
      <c r="W396" s="88"/>
    </row>
    <row r="397" spans="1:23" s="3" customFormat="1" ht="19.5" customHeight="1">
      <c r="A397" s="229" t="s">
        <v>302</v>
      </c>
      <c r="B397" s="229"/>
      <c r="C397" s="222"/>
      <c r="D397" s="22"/>
      <c r="E397" s="16"/>
      <c r="F397" s="87"/>
      <c r="G397" s="87"/>
      <c r="H397" s="88"/>
      <c r="I397" s="919"/>
      <c r="J397" s="928"/>
      <c r="K397" s="522"/>
      <c r="L397" s="928"/>
      <c r="M397" s="928"/>
      <c r="N397" s="87"/>
      <c r="O397" s="87"/>
      <c r="P397" s="87"/>
      <c r="Q397" s="87"/>
      <c r="R397" s="88"/>
      <c r="S397" s="88"/>
      <c r="T397" s="88"/>
      <c r="U397" s="88"/>
      <c r="V397" s="88"/>
      <c r="W397" s="88"/>
    </row>
    <row r="398" spans="1:23" s="3" customFormat="1" ht="19.5" customHeight="1">
      <c r="A398" s="229"/>
      <c r="B398" s="229"/>
      <c r="C398" s="222"/>
      <c r="D398" s="22"/>
      <c r="E398" s="16"/>
      <c r="F398" s="87"/>
      <c r="G398" s="87"/>
      <c r="H398" s="88"/>
      <c r="I398" s="919"/>
      <c r="J398" s="928"/>
      <c r="K398" s="522"/>
      <c r="L398" s="928"/>
      <c r="M398" s="928"/>
      <c r="N398" s="87"/>
      <c r="O398" s="87"/>
      <c r="P398" s="87"/>
      <c r="Q398" s="87"/>
      <c r="R398" s="88"/>
      <c r="S398" s="88"/>
      <c r="T398" s="88"/>
      <c r="U398" s="88"/>
      <c r="V398" s="88"/>
      <c r="W398" s="88"/>
    </row>
    <row r="399" spans="1:23" s="3" customFormat="1" ht="19.5" customHeight="1">
      <c r="A399" s="229"/>
      <c r="B399" s="229"/>
      <c r="C399" s="222"/>
      <c r="D399" s="22"/>
      <c r="E399" s="16"/>
      <c r="F399" s="87"/>
      <c r="G399" s="87"/>
      <c r="H399" s="88"/>
      <c r="I399" s="919"/>
      <c r="J399" s="928"/>
      <c r="K399" s="522"/>
      <c r="L399" s="928"/>
      <c r="M399" s="928"/>
      <c r="N399" s="87"/>
      <c r="O399" s="87"/>
      <c r="P399" s="87"/>
      <c r="Q399" s="87"/>
      <c r="R399" s="88"/>
      <c r="S399" s="88"/>
      <c r="T399" s="88"/>
      <c r="U399" s="88"/>
      <c r="V399" s="88"/>
      <c r="W399" s="88"/>
    </row>
    <row r="400" spans="1:23" s="3" customFormat="1" ht="19.5" customHeight="1">
      <c r="A400" s="559" t="s">
        <v>122</v>
      </c>
      <c r="B400" s="358"/>
      <c r="C400" s="358"/>
      <c r="D400" s="230"/>
      <c r="E400" s="230"/>
      <c r="F400" s="87"/>
      <c r="G400" s="87"/>
      <c r="H400" s="88"/>
      <c r="I400" s="919"/>
      <c r="J400" s="928"/>
      <c r="K400" s="522"/>
      <c r="L400" s="928"/>
      <c r="M400" s="928"/>
      <c r="N400" s="87"/>
      <c r="O400" s="87"/>
      <c r="P400" s="87"/>
      <c r="Q400" s="87"/>
      <c r="R400" s="88"/>
      <c r="S400" s="88"/>
      <c r="T400" s="88"/>
      <c r="U400" s="88"/>
      <c r="V400" s="88"/>
      <c r="W400" s="88"/>
    </row>
    <row r="401" spans="1:23" s="3" customFormat="1" ht="19.5" customHeight="1">
      <c r="A401" s="560" t="s">
        <v>296</v>
      </c>
      <c r="B401" s="358"/>
      <c r="C401" s="358"/>
      <c r="D401" s="230"/>
      <c r="E401" s="230"/>
      <c r="F401" s="87"/>
      <c r="G401" s="87"/>
      <c r="H401" s="88"/>
      <c r="I401" s="919"/>
      <c r="J401" s="928"/>
      <c r="K401" s="522"/>
      <c r="L401" s="928"/>
      <c r="M401" s="928"/>
      <c r="N401" s="87"/>
      <c r="O401" s="87"/>
      <c r="P401" s="87"/>
      <c r="Q401" s="87"/>
      <c r="R401" s="88"/>
      <c r="S401" s="88"/>
      <c r="T401" s="88"/>
      <c r="U401" s="88"/>
      <c r="V401" s="88"/>
      <c r="W401" s="88"/>
    </row>
    <row r="402" spans="1:23" s="3" customFormat="1" ht="19.5" customHeight="1">
      <c r="A402" s="560" t="s">
        <v>297</v>
      </c>
      <c r="B402" s="184"/>
      <c r="C402" s="131"/>
      <c r="D402" s="16"/>
      <c r="E402" s="16"/>
      <c r="F402" s="87"/>
      <c r="G402" s="87"/>
      <c r="H402" s="88"/>
      <c r="I402" s="919"/>
      <c r="J402" s="928"/>
      <c r="K402" s="522"/>
      <c r="L402" s="928"/>
      <c r="M402" s="928"/>
      <c r="N402" s="87"/>
      <c r="O402" s="87"/>
      <c r="P402" s="87"/>
      <c r="Q402" s="87"/>
      <c r="R402" s="88"/>
      <c r="S402" s="88"/>
      <c r="T402" s="88"/>
      <c r="U402" s="88"/>
      <c r="V402" s="88"/>
      <c r="W402" s="88"/>
    </row>
    <row r="403" spans="1:23" s="3" customFormat="1" ht="19.5" customHeight="1">
      <c r="A403" s="559"/>
      <c r="B403" s="131"/>
      <c r="C403" s="131"/>
      <c r="D403" s="16"/>
      <c r="E403" s="16"/>
      <c r="F403" s="87"/>
      <c r="G403" s="87"/>
      <c r="H403" s="88"/>
      <c r="I403" s="919"/>
      <c r="J403" s="928"/>
      <c r="K403" s="522"/>
      <c r="L403" s="928"/>
      <c r="M403" s="928"/>
      <c r="N403" s="87"/>
      <c r="O403" s="87"/>
      <c r="P403" s="87"/>
      <c r="Q403" s="87"/>
      <c r="R403" s="88"/>
      <c r="S403" s="88"/>
      <c r="T403" s="88"/>
      <c r="U403" s="88"/>
      <c r="V403" s="88"/>
      <c r="W403" s="88"/>
    </row>
    <row r="404" spans="1:23" s="3" customFormat="1" ht="19.5" customHeight="1">
      <c r="A404" s="229"/>
      <c r="B404" s="229"/>
      <c r="C404" s="222"/>
      <c r="D404" s="22"/>
      <c r="E404" s="16"/>
      <c r="F404" s="87"/>
      <c r="G404" s="87"/>
      <c r="H404" s="88"/>
      <c r="I404" s="919"/>
      <c r="J404" s="928"/>
      <c r="K404" s="522"/>
      <c r="L404" s="928"/>
      <c r="M404" s="928"/>
      <c r="N404" s="87"/>
      <c r="O404" s="87"/>
      <c r="P404" s="87"/>
      <c r="Q404" s="87"/>
      <c r="R404" s="88"/>
      <c r="S404" s="88"/>
      <c r="T404" s="88"/>
      <c r="U404" s="88"/>
      <c r="V404" s="88"/>
      <c r="W404" s="88"/>
    </row>
    <row r="405" spans="1:23" s="3" customFormat="1" ht="19.5" customHeight="1">
      <c r="A405" s="559" t="s">
        <v>123</v>
      </c>
      <c r="B405" s="358"/>
      <c r="C405" s="358"/>
      <c r="D405" s="230"/>
      <c r="E405" s="230"/>
      <c r="F405" s="230"/>
      <c r="G405" s="230"/>
      <c r="H405" s="88"/>
      <c r="I405" s="919"/>
      <c r="J405" s="928"/>
      <c r="K405" s="522"/>
      <c r="L405" s="928"/>
      <c r="M405" s="928"/>
      <c r="N405" s="87"/>
      <c r="O405" s="87"/>
      <c r="P405" s="87"/>
      <c r="Q405" s="87"/>
      <c r="R405" s="88"/>
      <c r="S405" s="88"/>
      <c r="T405" s="88"/>
      <c r="U405" s="88"/>
      <c r="V405" s="88"/>
      <c r="W405" s="88"/>
    </row>
    <row r="406" spans="1:23" s="3" customFormat="1" ht="19.5" customHeight="1">
      <c r="A406" s="560" t="s">
        <v>237</v>
      </c>
      <c r="B406" s="358"/>
      <c r="C406" s="358"/>
      <c r="D406" s="230"/>
      <c r="E406" s="230"/>
      <c r="F406" s="230"/>
      <c r="G406" s="230"/>
      <c r="H406" s="88"/>
      <c r="I406" s="919"/>
      <c r="J406" s="928"/>
      <c r="K406" s="522"/>
      <c r="L406" s="928"/>
      <c r="M406" s="928"/>
      <c r="N406" s="87"/>
      <c r="O406" s="87"/>
      <c r="P406" s="87"/>
      <c r="Q406" s="87"/>
      <c r="R406" s="88"/>
      <c r="S406" s="88"/>
      <c r="T406" s="88"/>
      <c r="U406" s="88"/>
      <c r="V406" s="88"/>
      <c r="W406" s="88"/>
    </row>
    <row r="407" spans="1:23" s="3" customFormat="1" ht="19.5" customHeight="1">
      <c r="A407" s="559" t="s">
        <v>238</v>
      </c>
      <c r="B407" s="184"/>
      <c r="C407" s="131"/>
      <c r="D407" s="230"/>
      <c r="E407" s="230"/>
      <c r="F407" s="230"/>
      <c r="G407" s="230"/>
      <c r="H407" s="88"/>
      <c r="I407" s="919"/>
      <c r="J407" s="928"/>
      <c r="K407" s="522"/>
      <c r="L407" s="928"/>
      <c r="M407" s="928"/>
      <c r="N407" s="87"/>
      <c r="O407" s="87"/>
      <c r="P407" s="87"/>
      <c r="Q407" s="87"/>
      <c r="R407" s="88"/>
      <c r="S407" s="88"/>
      <c r="T407" s="88"/>
      <c r="U407" s="88"/>
      <c r="V407" s="88"/>
      <c r="W407" s="88"/>
    </row>
    <row r="408" spans="1:23" s="3" customFormat="1" ht="19.5" customHeight="1">
      <c r="A408" s="559"/>
      <c r="B408" s="131"/>
      <c r="C408" s="131"/>
      <c r="D408" s="16"/>
      <c r="E408" s="16"/>
      <c r="F408" s="87"/>
      <c r="G408" s="87"/>
      <c r="H408" s="88"/>
      <c r="I408" s="919"/>
      <c r="J408" s="928"/>
      <c r="K408" s="522"/>
      <c r="L408" s="928"/>
      <c r="M408" s="928"/>
      <c r="N408" s="87"/>
      <c r="O408" s="87"/>
      <c r="P408" s="87"/>
      <c r="Q408" s="87"/>
      <c r="R408" s="88"/>
      <c r="S408" s="88"/>
      <c r="T408" s="88"/>
      <c r="U408" s="88"/>
      <c r="V408" s="88"/>
      <c r="W408" s="88"/>
    </row>
    <row r="409" spans="1:23" s="3" customFormat="1" ht="19.5" customHeight="1">
      <c r="A409" s="229"/>
      <c r="B409" s="229"/>
      <c r="C409" s="222"/>
      <c r="D409" s="22"/>
      <c r="E409" s="16"/>
      <c r="F409" s="87"/>
      <c r="G409" s="87"/>
      <c r="H409" s="88"/>
      <c r="I409" s="919"/>
      <c r="J409" s="928"/>
      <c r="K409" s="522"/>
      <c r="L409" s="928"/>
      <c r="M409" s="928"/>
      <c r="N409" s="87"/>
      <c r="O409" s="87"/>
      <c r="P409" s="87"/>
      <c r="Q409" s="87"/>
      <c r="R409" s="88"/>
      <c r="S409" s="88"/>
      <c r="T409" s="88"/>
      <c r="U409" s="88"/>
      <c r="V409" s="88"/>
      <c r="W409" s="88"/>
    </row>
    <row r="410" spans="1:23" s="3" customFormat="1" ht="19.5" customHeight="1">
      <c r="A410" s="559" t="s">
        <v>248</v>
      </c>
      <c r="B410" s="358"/>
      <c r="C410" s="358"/>
      <c r="D410" s="230"/>
      <c r="E410" s="230"/>
      <c r="F410" s="230"/>
      <c r="G410" s="230"/>
      <c r="H410" s="192"/>
      <c r="I410" s="919"/>
      <c r="J410" s="928"/>
      <c r="K410" s="522"/>
      <c r="L410" s="928"/>
      <c r="M410" s="928"/>
      <c r="N410" s="87"/>
      <c r="O410" s="87"/>
      <c r="P410" s="87"/>
      <c r="Q410" s="87"/>
      <c r="R410" s="88"/>
      <c r="S410" s="88"/>
      <c r="T410" s="88"/>
      <c r="U410" s="88"/>
      <c r="V410" s="88"/>
      <c r="W410" s="88"/>
    </row>
    <row r="411" spans="1:23" s="3" customFormat="1" ht="19.5" customHeight="1">
      <c r="A411" s="560" t="s">
        <v>239</v>
      </c>
      <c r="B411" s="358"/>
      <c r="C411" s="358"/>
      <c r="D411" s="230"/>
      <c r="E411" s="230"/>
      <c r="F411" s="230"/>
      <c r="G411" s="230"/>
      <c r="H411" s="192"/>
      <c r="I411" s="919"/>
      <c r="J411" s="928"/>
      <c r="K411" s="522"/>
      <c r="L411" s="928"/>
      <c r="M411" s="928"/>
      <c r="N411" s="87"/>
      <c r="O411" s="87"/>
      <c r="P411" s="87"/>
      <c r="Q411" s="87"/>
      <c r="R411" s="88"/>
      <c r="S411" s="88"/>
      <c r="T411" s="88"/>
      <c r="U411" s="88"/>
      <c r="V411" s="88"/>
      <c r="W411" s="88"/>
    </row>
    <row r="412" spans="1:23" s="3" customFormat="1" ht="19.5" customHeight="1">
      <c r="A412" s="559" t="s">
        <v>181</v>
      </c>
      <c r="B412" s="184"/>
      <c r="C412" s="131"/>
      <c r="D412" s="230"/>
      <c r="E412" s="230"/>
      <c r="F412" s="230"/>
      <c r="G412" s="230"/>
      <c r="H412" s="192"/>
      <c r="I412" s="919"/>
      <c r="J412" s="928"/>
      <c r="K412" s="522"/>
      <c r="L412" s="928"/>
      <c r="M412" s="928"/>
      <c r="N412" s="87"/>
      <c r="O412" s="87"/>
      <c r="P412" s="87"/>
      <c r="Q412" s="87"/>
      <c r="R412" s="88"/>
      <c r="S412" s="88"/>
      <c r="T412" s="88"/>
      <c r="U412" s="88"/>
      <c r="V412" s="88"/>
      <c r="W412" s="88"/>
    </row>
    <row r="413" spans="1:23" s="3" customFormat="1" ht="19.5" customHeight="1">
      <c r="A413" s="229"/>
      <c r="B413" s="229"/>
      <c r="C413" s="222"/>
      <c r="D413" s="22"/>
      <c r="E413" s="16"/>
      <c r="F413" s="87"/>
      <c r="G413" s="87"/>
      <c r="H413" s="88"/>
      <c r="I413" s="919"/>
      <c r="J413" s="928"/>
      <c r="K413" s="522"/>
      <c r="L413" s="928"/>
      <c r="M413" s="928"/>
      <c r="N413" s="87"/>
      <c r="O413" s="87"/>
      <c r="P413" s="87"/>
      <c r="Q413" s="87"/>
      <c r="R413" s="88"/>
      <c r="S413" s="88"/>
      <c r="T413" s="88"/>
      <c r="U413" s="88"/>
      <c r="V413" s="88"/>
      <c r="W413" s="88"/>
    </row>
    <row r="414" spans="1:23" s="3" customFormat="1" ht="19.5" customHeight="1">
      <c r="A414" s="229"/>
      <c r="B414" s="229"/>
      <c r="C414" s="222"/>
      <c r="D414" s="22"/>
      <c r="E414" s="16"/>
      <c r="F414" s="87"/>
      <c r="G414" s="87"/>
      <c r="H414" s="88"/>
      <c r="I414" s="919"/>
      <c r="J414" s="928"/>
      <c r="K414" s="522"/>
      <c r="L414" s="928"/>
      <c r="M414" s="928"/>
      <c r="N414" s="87"/>
      <c r="O414" s="87"/>
      <c r="P414" s="87"/>
      <c r="Q414" s="87"/>
      <c r="R414" s="88"/>
      <c r="S414" s="88"/>
      <c r="T414" s="88"/>
      <c r="U414" s="88"/>
      <c r="V414" s="88"/>
      <c r="W414" s="88"/>
    </row>
    <row r="415" spans="1:23" ht="19.5" customHeight="1">
      <c r="A415" s="359" t="s">
        <v>249</v>
      </c>
      <c r="B415" s="131"/>
      <c r="C415" s="131"/>
      <c r="D415" s="16"/>
      <c r="E415" s="16"/>
      <c r="F415" s="16"/>
      <c r="G415" s="198"/>
      <c r="H415" s="17"/>
      <c r="I415" s="903"/>
      <c r="J415" s="556"/>
      <c r="K415" s="599"/>
      <c r="L415" s="898"/>
      <c r="M415" s="898"/>
      <c r="N415" s="899"/>
      <c r="O415" s="899"/>
      <c r="P415" s="12"/>
      <c r="Q415" s="900"/>
      <c r="R415" s="187"/>
      <c r="S415" s="187"/>
      <c r="T415" s="187"/>
      <c r="U415" s="187"/>
      <c r="V415" s="187"/>
      <c r="W415" s="187"/>
    </row>
    <row r="416" spans="1:23" ht="19.5" customHeight="1">
      <c r="A416" s="231"/>
      <c r="B416" s="131"/>
      <c r="C416" s="131"/>
      <c r="D416" s="16"/>
      <c r="E416" s="16"/>
      <c r="F416" s="16"/>
      <c r="G416" s="198"/>
      <c r="H416" s="192"/>
      <c r="I416" s="903"/>
      <c r="J416" s="556"/>
      <c r="K416" s="599"/>
      <c r="L416" s="898"/>
      <c r="M416" s="898"/>
      <c r="N416" s="899"/>
      <c r="O416" s="899"/>
      <c r="P416" s="12"/>
      <c r="Q416" s="900"/>
      <c r="R416" s="187"/>
      <c r="S416" s="187"/>
      <c r="T416" s="187"/>
      <c r="U416" s="187"/>
      <c r="V416" s="187"/>
      <c r="W416" s="187"/>
    </row>
    <row r="417" spans="1:23" ht="19.5" customHeight="1">
      <c r="A417" s="365" t="s">
        <v>434</v>
      </c>
      <c r="B417" s="202"/>
      <c r="C417" s="366"/>
      <c r="D417" s="367"/>
      <c r="E417" s="16"/>
      <c r="F417" s="16"/>
      <c r="G417" s="192"/>
      <c r="H417" s="192">
        <v>1026729.33</v>
      </c>
      <c r="I417" s="903"/>
      <c r="J417" s="916"/>
      <c r="K417" s="599"/>
      <c r="L417" s="898"/>
      <c r="M417" s="898"/>
      <c r="N417" s="899"/>
      <c r="O417" s="899"/>
      <c r="P417" s="12"/>
      <c r="Q417" s="900"/>
      <c r="R417" s="187"/>
      <c r="S417" s="187"/>
      <c r="T417" s="187"/>
      <c r="U417" s="187"/>
      <c r="V417" s="187"/>
      <c r="W417" s="187"/>
    </row>
    <row r="418" spans="1:23" ht="19.5" customHeight="1">
      <c r="A418" s="365" t="s">
        <v>430</v>
      </c>
      <c r="B418" s="202"/>
      <c r="C418" s="366"/>
      <c r="D418" s="367"/>
      <c r="E418" s="16"/>
      <c r="F418" s="16"/>
      <c r="G418" s="192"/>
      <c r="H418" s="192">
        <f>H417-656.91</f>
        <v>1026072.4199999999</v>
      </c>
      <c r="I418" s="903"/>
      <c r="J418" s="556"/>
      <c r="K418" s="599"/>
      <c r="L418" s="898"/>
      <c r="M418" s="898"/>
      <c r="N418" s="899"/>
      <c r="O418" s="899"/>
      <c r="P418" s="12"/>
      <c r="Q418" s="900"/>
      <c r="R418" s="187"/>
      <c r="S418" s="187"/>
      <c r="T418" s="187"/>
      <c r="U418" s="187"/>
      <c r="V418" s="187"/>
      <c r="W418" s="187"/>
    </row>
    <row r="419" spans="1:23" ht="19.5" customHeight="1">
      <c r="A419" s="202" t="s">
        <v>431</v>
      </c>
      <c r="B419" s="202"/>
      <c r="C419" s="366"/>
      <c r="D419" s="367"/>
      <c r="E419" s="16"/>
      <c r="F419" s="16"/>
      <c r="G419" s="192"/>
      <c r="H419" s="192"/>
      <c r="I419" s="903"/>
      <c r="J419" s="556"/>
      <c r="K419" s="599"/>
      <c r="L419" s="898"/>
      <c r="M419" s="898"/>
      <c r="N419" s="899"/>
      <c r="O419" s="899"/>
      <c r="P419" s="12"/>
      <c r="Q419" s="900"/>
      <c r="R419" s="187"/>
      <c r="S419" s="187"/>
      <c r="T419" s="187"/>
      <c r="U419" s="187"/>
      <c r="V419" s="187"/>
      <c r="W419" s="187"/>
    </row>
    <row r="420" spans="1:23" ht="19.5" customHeight="1">
      <c r="A420" s="134"/>
      <c r="B420" s="134"/>
      <c r="C420" s="201"/>
      <c r="D420" s="18"/>
      <c r="E420" s="16"/>
      <c r="F420" s="16"/>
      <c r="G420" s="192"/>
      <c r="H420" s="192"/>
      <c r="I420" s="903"/>
      <c r="J420" s="556"/>
      <c r="K420" s="599"/>
      <c r="L420" s="898"/>
      <c r="M420" s="898"/>
      <c r="N420" s="899"/>
      <c r="O420" s="899"/>
      <c r="P420" s="12"/>
      <c r="Q420" s="900"/>
      <c r="R420" s="187"/>
      <c r="S420" s="187"/>
      <c r="T420" s="187"/>
      <c r="U420" s="187"/>
      <c r="V420" s="187"/>
      <c r="W420" s="187"/>
    </row>
    <row r="421" spans="1:23" ht="19.5" customHeight="1">
      <c r="A421" s="202"/>
      <c r="B421" s="202" t="s">
        <v>531</v>
      </c>
      <c r="C421" s="366"/>
      <c r="D421" s="232"/>
      <c r="E421" s="16"/>
      <c r="F421" s="16"/>
      <c r="G421" s="192"/>
      <c r="H421" s="192">
        <v>950956.51</v>
      </c>
      <c r="I421" s="903"/>
      <c r="J421" s="556"/>
      <c r="K421" s="599"/>
      <c r="L421" s="898"/>
      <c r="M421" s="898"/>
      <c r="N421" s="899"/>
      <c r="O421" s="899"/>
      <c r="P421" s="12"/>
      <c r="Q421" s="900"/>
      <c r="R421" s="187"/>
      <c r="S421" s="187"/>
      <c r="T421" s="187"/>
      <c r="U421" s="187"/>
      <c r="V421" s="187"/>
      <c r="W421" s="187"/>
    </row>
    <row r="422" spans="1:23" ht="19.5" customHeight="1">
      <c r="A422" s="202"/>
      <c r="B422" s="202" t="s">
        <v>433</v>
      </c>
      <c r="C422" s="366"/>
      <c r="D422" s="232"/>
      <c r="E422" s="16"/>
      <c r="F422" s="16"/>
      <c r="G422" s="192"/>
      <c r="H422" s="192">
        <f>H421-656.91</f>
        <v>950299.6</v>
      </c>
      <c r="I422" s="903"/>
      <c r="J422" s="556"/>
      <c r="K422" s="599"/>
      <c r="L422" s="898"/>
      <c r="M422" s="898"/>
      <c r="N422" s="899"/>
      <c r="O422" s="899"/>
      <c r="P422" s="12"/>
      <c r="Q422" s="900"/>
      <c r="R422" s="187"/>
      <c r="S422" s="187"/>
      <c r="T422" s="187"/>
      <c r="U422" s="187"/>
      <c r="V422" s="187"/>
      <c r="W422" s="187"/>
    </row>
    <row r="423" spans="1:23" ht="19.5" customHeight="1">
      <c r="A423" s="202"/>
      <c r="B423" s="202"/>
      <c r="C423" s="366"/>
      <c r="D423" s="232"/>
      <c r="E423" s="16"/>
      <c r="F423" s="16"/>
      <c r="G423" s="192"/>
      <c r="H423" s="192"/>
      <c r="I423" s="903"/>
      <c r="J423" s="556"/>
      <c r="K423" s="599"/>
      <c r="L423" s="898"/>
      <c r="M423" s="898"/>
      <c r="N423" s="899"/>
      <c r="O423" s="899"/>
      <c r="P423" s="12"/>
      <c r="Q423" s="900"/>
      <c r="R423" s="187"/>
      <c r="S423" s="187"/>
      <c r="T423" s="187"/>
      <c r="U423" s="187"/>
      <c r="V423" s="187"/>
      <c r="W423" s="187"/>
    </row>
    <row r="424" spans="1:23" ht="19.5" customHeight="1">
      <c r="A424" s="202"/>
      <c r="B424" s="202"/>
      <c r="C424" s="366"/>
      <c r="D424" s="232"/>
      <c r="E424" s="16"/>
      <c r="F424" s="16"/>
      <c r="G424" s="192"/>
      <c r="H424" s="192"/>
      <c r="I424" s="903"/>
      <c r="J424" s="556"/>
      <c r="K424" s="599"/>
      <c r="L424" s="898"/>
      <c r="M424" s="898"/>
      <c r="N424" s="899"/>
      <c r="O424" s="899"/>
      <c r="P424" s="12"/>
      <c r="Q424" s="900"/>
      <c r="R424" s="187"/>
      <c r="S424" s="187"/>
      <c r="T424" s="187"/>
      <c r="U424" s="187"/>
      <c r="V424" s="187"/>
      <c r="W424" s="187"/>
    </row>
    <row r="425" spans="1:23" ht="19.5" customHeight="1">
      <c r="A425" s="365" t="s">
        <v>590</v>
      </c>
      <c r="B425" s="202"/>
      <c r="C425" s="366"/>
      <c r="D425" s="19"/>
      <c r="E425" s="19"/>
      <c r="F425" s="19"/>
      <c r="G425" s="192"/>
      <c r="H425" s="192">
        <f>H428+H431</f>
        <v>367847</v>
      </c>
      <c r="I425" s="903"/>
      <c r="J425" s="557"/>
      <c r="K425" s="599"/>
      <c r="L425" s="898"/>
      <c r="M425" s="898"/>
      <c r="N425" s="899"/>
      <c r="O425" s="899"/>
      <c r="P425" s="12"/>
      <c r="Q425" s="900"/>
      <c r="R425" s="187"/>
      <c r="S425" s="187"/>
      <c r="T425" s="187"/>
      <c r="U425" s="187"/>
      <c r="V425" s="187"/>
      <c r="W425" s="187"/>
    </row>
    <row r="426" spans="1:23" ht="19.5" customHeight="1">
      <c r="A426" s="202" t="s">
        <v>430</v>
      </c>
      <c r="B426" s="202"/>
      <c r="C426" s="366"/>
      <c r="D426" s="19"/>
      <c r="E426" s="16"/>
      <c r="F426" s="16"/>
      <c r="G426" s="192"/>
      <c r="H426" s="192">
        <f>H429+H432</f>
        <v>1707547</v>
      </c>
      <c r="I426" s="903"/>
      <c r="J426" s="557"/>
      <c r="K426" s="599"/>
      <c r="L426" s="898"/>
      <c r="M426" s="898"/>
      <c r="N426" s="899"/>
      <c r="O426" s="899"/>
      <c r="P426" s="12"/>
      <c r="Q426" s="900"/>
      <c r="R426" s="187"/>
      <c r="S426" s="187"/>
      <c r="T426" s="187"/>
      <c r="U426" s="187"/>
      <c r="V426" s="187"/>
      <c r="W426" s="187"/>
    </row>
    <row r="427" spans="1:23" ht="19.5" customHeight="1">
      <c r="A427" s="202"/>
      <c r="B427" s="202" t="s">
        <v>357</v>
      </c>
      <c r="C427" s="366"/>
      <c r="D427" s="19"/>
      <c r="E427" s="16"/>
      <c r="F427" s="16"/>
      <c r="G427" s="192"/>
      <c r="H427" s="192"/>
      <c r="I427" s="903"/>
      <c r="J427" s="556"/>
      <c r="K427" s="599"/>
      <c r="L427" s="898"/>
      <c r="M427" s="898"/>
      <c r="N427" s="899"/>
      <c r="O427" s="899"/>
      <c r="P427" s="12"/>
      <c r="Q427" s="900"/>
      <c r="R427" s="187"/>
      <c r="S427" s="187"/>
      <c r="T427" s="187"/>
      <c r="U427" s="187"/>
      <c r="V427" s="187"/>
      <c r="W427" s="187"/>
    </row>
    <row r="428" spans="1:23" ht="19.5" customHeight="1">
      <c r="A428" s="202"/>
      <c r="B428" s="202" t="s">
        <v>432</v>
      </c>
      <c r="C428" s="366"/>
      <c r="D428" s="367"/>
      <c r="E428" s="16"/>
      <c r="F428" s="16"/>
      <c r="G428" s="192"/>
      <c r="H428" s="192">
        <v>203647</v>
      </c>
      <c r="I428" s="903"/>
      <c r="J428" s="556"/>
      <c r="K428" s="599"/>
      <c r="L428" s="898"/>
      <c r="M428" s="898"/>
      <c r="N428" s="899"/>
      <c r="O428" s="899"/>
      <c r="P428" s="12"/>
      <c r="Q428" s="900"/>
      <c r="R428" s="187"/>
      <c r="S428" s="187"/>
      <c r="T428" s="187"/>
      <c r="U428" s="187"/>
      <c r="V428" s="187"/>
      <c r="W428" s="187"/>
    </row>
    <row r="429" spans="1:23" ht="19.5" customHeight="1">
      <c r="A429" s="202"/>
      <c r="B429" s="202" t="s">
        <v>433</v>
      </c>
      <c r="C429" s="366"/>
      <c r="D429" s="367"/>
      <c r="E429" s="16"/>
      <c r="F429" s="16"/>
      <c r="G429" s="192"/>
      <c r="H429" s="192">
        <f>H428+739700</f>
        <v>943347</v>
      </c>
      <c r="I429" s="903"/>
      <c r="J429" s="909"/>
      <c r="K429" s="599"/>
      <c r="L429" s="898"/>
      <c r="M429" s="898"/>
      <c r="N429" s="899"/>
      <c r="O429" s="899"/>
      <c r="P429" s="12"/>
      <c r="Q429" s="900"/>
      <c r="R429" s="187"/>
      <c r="S429" s="187"/>
      <c r="T429" s="187"/>
      <c r="U429" s="187"/>
      <c r="V429" s="187"/>
      <c r="W429" s="187"/>
    </row>
    <row r="430" spans="1:23" ht="19.5" customHeight="1">
      <c r="A430" s="202"/>
      <c r="B430" s="202"/>
      <c r="C430" s="203"/>
      <c r="D430" s="19"/>
      <c r="E430" s="16"/>
      <c r="F430" s="16"/>
      <c r="G430" s="192"/>
      <c r="H430" s="192"/>
      <c r="I430" s="903"/>
      <c r="J430" s="556"/>
      <c r="K430" s="599"/>
      <c r="L430" s="898"/>
      <c r="M430" s="898"/>
      <c r="N430" s="899"/>
      <c r="O430" s="899"/>
      <c r="P430" s="12"/>
      <c r="Q430" s="900"/>
      <c r="R430" s="187"/>
      <c r="S430" s="187"/>
      <c r="T430" s="187"/>
      <c r="U430" s="187"/>
      <c r="V430" s="187"/>
      <c r="W430" s="187"/>
    </row>
    <row r="431" spans="1:23" ht="19.5" customHeight="1">
      <c r="A431" s="202"/>
      <c r="B431" s="202" t="s">
        <v>531</v>
      </c>
      <c r="C431" s="366"/>
      <c r="D431" s="19"/>
      <c r="E431" s="16"/>
      <c r="F431" s="16"/>
      <c r="G431" s="192"/>
      <c r="H431" s="192">
        <v>164200</v>
      </c>
      <c r="I431" s="903"/>
      <c r="J431" s="556"/>
      <c r="K431" s="599"/>
      <c r="L431" s="898"/>
      <c r="M431" s="898"/>
      <c r="N431" s="899"/>
      <c r="O431" s="899"/>
      <c r="P431" s="12"/>
      <c r="Q431" s="900"/>
      <c r="R431" s="187"/>
      <c r="S431" s="187"/>
      <c r="T431" s="187"/>
      <c r="U431" s="187"/>
      <c r="V431" s="187"/>
      <c r="W431" s="187"/>
    </row>
    <row r="432" spans="1:23" ht="19.5" customHeight="1">
      <c r="A432" s="202"/>
      <c r="B432" s="202" t="s">
        <v>433</v>
      </c>
      <c r="C432" s="366"/>
      <c r="D432" s="19"/>
      <c r="E432" s="16"/>
      <c r="F432" s="16"/>
      <c r="G432" s="192"/>
      <c r="H432" s="192">
        <f>H431+600000</f>
        <v>764200</v>
      </c>
      <c r="I432" s="903"/>
      <c r="J432" s="556"/>
      <c r="K432" s="599"/>
      <c r="L432" s="898"/>
      <c r="M432" s="898"/>
      <c r="N432" s="899"/>
      <c r="O432" s="899"/>
      <c r="P432" s="12"/>
      <c r="Q432" s="900"/>
      <c r="R432" s="187"/>
      <c r="S432" s="187"/>
      <c r="T432" s="187"/>
      <c r="U432" s="187"/>
      <c r="V432" s="187"/>
      <c r="W432" s="187"/>
    </row>
    <row r="433" spans="1:23" ht="19.5" customHeight="1">
      <c r="A433" s="202"/>
      <c r="B433" s="202"/>
      <c r="C433" s="203"/>
      <c r="D433" s="19"/>
      <c r="E433" s="16"/>
      <c r="F433" s="16"/>
      <c r="G433" s="192"/>
      <c r="H433" s="192"/>
      <c r="I433" s="903"/>
      <c r="J433" s="556"/>
      <c r="K433" s="599"/>
      <c r="L433" s="898"/>
      <c r="M433" s="898"/>
      <c r="N433" s="899"/>
      <c r="O433" s="899"/>
      <c r="P433" s="12"/>
      <c r="Q433" s="900"/>
      <c r="R433" s="187"/>
      <c r="S433" s="187"/>
      <c r="T433" s="187"/>
      <c r="U433" s="187"/>
      <c r="V433" s="187"/>
      <c r="W433" s="187"/>
    </row>
    <row r="434" spans="1:23" ht="19.5" customHeight="1">
      <c r="A434" s="155" t="s">
        <v>435</v>
      </c>
      <c r="B434" s="202"/>
      <c r="C434" s="203"/>
      <c r="D434" s="19"/>
      <c r="E434" s="16"/>
      <c r="F434" s="16"/>
      <c r="G434" s="192"/>
      <c r="H434" s="192"/>
      <c r="I434" s="903"/>
      <c r="J434" s="556"/>
      <c r="K434" s="599"/>
      <c r="L434" s="898"/>
      <c r="M434" s="898"/>
      <c r="N434" s="899"/>
      <c r="O434" s="899"/>
      <c r="P434" s="12"/>
      <c r="Q434" s="900"/>
      <c r="R434" s="187"/>
      <c r="S434" s="187"/>
      <c r="T434" s="187"/>
      <c r="U434" s="187"/>
      <c r="V434" s="187"/>
      <c r="W434" s="187"/>
    </row>
    <row r="435" spans="1:13" ht="19.5" customHeight="1">
      <c r="A435" s="155"/>
      <c r="B435" s="155"/>
      <c r="C435" s="233"/>
      <c r="D435" s="234"/>
      <c r="E435" s="234"/>
      <c r="F435" s="235"/>
      <c r="G435" s="234"/>
      <c r="H435" s="192"/>
      <c r="I435" s="876"/>
      <c r="J435" s="870"/>
      <c r="K435" s="936"/>
      <c r="L435" s="497"/>
      <c r="M435" s="497"/>
    </row>
    <row r="436" spans="1:13" ht="19.5" customHeight="1">
      <c r="A436" s="236" t="s">
        <v>436</v>
      </c>
      <c r="B436" s="236"/>
      <c r="C436" s="237"/>
      <c r="D436" s="238"/>
      <c r="E436" s="238"/>
      <c r="F436" s="239"/>
      <c r="G436" s="238"/>
      <c r="H436" s="17"/>
      <c r="I436" s="876"/>
      <c r="J436" s="870"/>
      <c r="K436" s="936"/>
      <c r="L436" s="497"/>
      <c r="M436" s="497"/>
    </row>
    <row r="437" spans="1:13" ht="19.5" customHeight="1">
      <c r="A437" s="236"/>
      <c r="B437" s="236"/>
      <c r="C437" s="237"/>
      <c r="D437" s="238"/>
      <c r="E437" s="238"/>
      <c r="F437" s="239"/>
      <c r="G437" s="238"/>
      <c r="H437" s="17"/>
      <c r="I437" s="876"/>
      <c r="J437" s="870"/>
      <c r="K437" s="936"/>
      <c r="L437" s="497"/>
      <c r="M437" s="497"/>
    </row>
    <row r="438" spans="1:13" ht="19.5" customHeight="1">
      <c r="A438" s="236"/>
      <c r="B438" s="236"/>
      <c r="C438" s="237"/>
      <c r="D438" s="238"/>
      <c r="E438" s="238"/>
      <c r="F438" s="239"/>
      <c r="G438" s="238"/>
      <c r="H438" s="17"/>
      <c r="I438" s="876"/>
      <c r="J438" s="870"/>
      <c r="K438" s="936"/>
      <c r="L438" s="497"/>
      <c r="M438" s="497"/>
    </row>
    <row r="439" spans="1:13" ht="19.5" customHeight="1">
      <c r="A439" s="155" t="s">
        <v>267</v>
      </c>
      <c r="B439" s="155"/>
      <c r="C439" s="233"/>
      <c r="D439" s="234"/>
      <c r="E439" s="234"/>
      <c r="F439" s="235"/>
      <c r="G439" s="234"/>
      <c r="H439" s="192"/>
      <c r="I439" s="876"/>
      <c r="J439" s="870"/>
      <c r="K439" s="936"/>
      <c r="L439" s="497"/>
      <c r="M439" s="497"/>
    </row>
    <row r="440" spans="1:13" ht="19.5" customHeight="1">
      <c r="A440" s="155"/>
      <c r="B440" s="155"/>
      <c r="C440" s="233"/>
      <c r="D440" s="234"/>
      <c r="E440" s="234"/>
      <c r="F440" s="235"/>
      <c r="G440" s="234"/>
      <c r="H440" s="192"/>
      <c r="I440" s="876"/>
      <c r="J440" s="870"/>
      <c r="K440" s="936"/>
      <c r="L440" s="497"/>
      <c r="M440" s="497"/>
    </row>
    <row r="441" spans="1:13" ht="19.5" customHeight="1">
      <c r="A441" s="236" t="s">
        <v>437</v>
      </c>
      <c r="B441" s="236"/>
      <c r="C441" s="237"/>
      <c r="D441" s="238"/>
      <c r="E441" s="238"/>
      <c r="F441" s="239"/>
      <c r="G441" s="238"/>
      <c r="I441" s="937"/>
      <c r="J441" s="870"/>
      <c r="K441" s="936"/>
      <c r="L441" s="395"/>
      <c r="M441" s="497"/>
    </row>
    <row r="442" spans="1:13" ht="19.5" customHeight="1">
      <c r="A442" s="236"/>
      <c r="B442" s="236"/>
      <c r="C442" s="237"/>
      <c r="D442" s="238"/>
      <c r="E442" s="238"/>
      <c r="F442" s="239"/>
      <c r="G442" s="238"/>
      <c r="I442" s="937"/>
      <c r="J442" s="870"/>
      <c r="K442" s="936"/>
      <c r="L442" s="395"/>
      <c r="M442" s="497"/>
    </row>
    <row r="443" spans="1:11" ht="19.5" customHeight="1">
      <c r="A443" s="152"/>
      <c r="B443" s="152"/>
      <c r="C443" s="153"/>
      <c r="D443" s="240"/>
      <c r="E443" s="240"/>
      <c r="F443" s="241" t="s">
        <v>438</v>
      </c>
      <c r="G443" s="240"/>
      <c r="I443" s="876"/>
      <c r="K443" s="875"/>
    </row>
    <row r="444" spans="1:11" ht="19.5" customHeight="1">
      <c r="A444" s="152"/>
      <c r="B444" s="152"/>
      <c r="C444" s="153"/>
      <c r="D444" s="240"/>
      <c r="E444" s="240"/>
      <c r="F444" s="241" t="s">
        <v>439</v>
      </c>
      <c r="G444" s="240"/>
      <c r="I444" s="876"/>
      <c r="K444" s="875"/>
    </row>
    <row r="445" spans="1:11" ht="19.5" customHeight="1">
      <c r="A445" s="152"/>
      <c r="B445" s="152"/>
      <c r="C445" s="153"/>
      <c r="D445" s="240"/>
      <c r="E445" s="240"/>
      <c r="F445" s="241"/>
      <c r="G445" s="240"/>
      <c r="I445" s="876"/>
      <c r="K445" s="875"/>
    </row>
    <row r="446" spans="1:11" ht="19.5" customHeight="1">
      <c r="A446" s="152"/>
      <c r="B446" s="152"/>
      <c r="C446" s="153"/>
      <c r="D446" s="240"/>
      <c r="E446" s="240"/>
      <c r="F446" s="242" t="s">
        <v>440</v>
      </c>
      <c r="G446" s="240"/>
      <c r="I446" s="876"/>
      <c r="K446" s="875"/>
    </row>
    <row r="447" spans="1:11" ht="19.5" customHeight="1">
      <c r="A447" s="131"/>
      <c r="B447" s="131"/>
      <c r="C447" s="131"/>
      <c r="I447" s="876"/>
      <c r="K447" s="875"/>
    </row>
    <row r="448" spans="1:11" ht="19.5" customHeight="1">
      <c r="A448" s="131"/>
      <c r="B448" s="131"/>
      <c r="C448" s="131"/>
      <c r="I448" s="876"/>
      <c r="K448" s="875"/>
    </row>
    <row r="449" spans="1:11" ht="19.5" customHeight="1">
      <c r="A449" s="131"/>
      <c r="B449" s="131"/>
      <c r="C449" s="131"/>
      <c r="H449" s="234"/>
      <c r="I449" s="876"/>
      <c r="K449" s="875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25">
      <selection activeCell="J38" sqref="J38"/>
    </sheetView>
  </sheetViews>
  <sheetFormatPr defaultColWidth="9.140625" defaultRowHeight="12.75"/>
  <cols>
    <col min="1" max="1" width="4.57421875" style="263" customWidth="1"/>
    <col min="2" max="2" width="5.140625" style="116" customWidth="1"/>
    <col min="3" max="3" width="6.57421875" style="116" customWidth="1"/>
    <col min="4" max="4" width="5.28125" style="353" customWidth="1"/>
    <col min="5" max="5" width="48.57421875" style="117" customWidth="1"/>
    <col min="6" max="6" width="14.8515625" style="263" customWidth="1"/>
    <col min="7" max="7" width="13.421875" style="263" customWidth="1"/>
    <col min="8" max="8" width="7.421875" style="116" customWidth="1"/>
    <col min="9" max="9" width="20.8515625" style="116" customWidth="1"/>
    <col min="10" max="10" width="14.7109375" style="116" customWidth="1"/>
    <col min="11" max="16384" width="9.140625" style="116" customWidth="1"/>
  </cols>
  <sheetData>
    <row r="1" spans="1:7" ht="20.25">
      <c r="A1" s="276"/>
      <c r="B1" s="34"/>
      <c r="C1" s="34"/>
      <c r="D1" s="276"/>
      <c r="E1" s="95"/>
      <c r="F1" s="262" t="s">
        <v>526</v>
      </c>
      <c r="G1" s="243"/>
    </row>
    <row r="2" spans="1:7" ht="18.75">
      <c r="A2" s="276"/>
      <c r="B2" s="34"/>
      <c r="C2" s="34"/>
      <c r="D2" s="276"/>
      <c r="E2" s="95"/>
      <c r="F2" s="151" t="s">
        <v>182</v>
      </c>
      <c r="G2" s="243"/>
    </row>
    <row r="3" spans="1:7" ht="18.75">
      <c r="A3" s="276"/>
      <c r="B3" s="34"/>
      <c r="C3" s="34"/>
      <c r="D3" s="276"/>
      <c r="E3" s="95"/>
      <c r="F3" s="151" t="s">
        <v>439</v>
      </c>
      <c r="G3" s="243"/>
    </row>
    <row r="4" spans="1:7" ht="15.75">
      <c r="A4" s="276"/>
      <c r="B4" s="34"/>
      <c r="C4" s="34"/>
      <c r="D4" s="276"/>
      <c r="E4" s="95"/>
      <c r="F4" s="1" t="s">
        <v>255</v>
      </c>
      <c r="G4" s="243"/>
    </row>
    <row r="5" spans="1:7" ht="12.75">
      <c r="A5" s="276"/>
      <c r="B5" s="34"/>
      <c r="C5" s="34"/>
      <c r="D5" s="276"/>
      <c r="E5" s="95"/>
      <c r="F5" s="243"/>
      <c r="G5" s="243"/>
    </row>
    <row r="6" spans="1:7" ht="12.75">
      <c r="A6" s="276"/>
      <c r="B6" s="34"/>
      <c r="C6" s="34"/>
      <c r="D6" s="276"/>
      <c r="E6" s="95"/>
      <c r="F6" s="243"/>
      <c r="G6" s="243"/>
    </row>
    <row r="7" spans="1:7" ht="19.5">
      <c r="A7" s="276"/>
      <c r="B7" s="36"/>
      <c r="C7" s="37" t="s">
        <v>463</v>
      </c>
      <c r="D7" s="277"/>
      <c r="E7" s="96"/>
      <c r="F7" s="278"/>
      <c r="G7" s="278"/>
    </row>
    <row r="8" spans="1:7" ht="19.5">
      <c r="A8" s="276"/>
      <c r="B8" s="36"/>
      <c r="C8" s="37" t="s">
        <v>464</v>
      </c>
      <c r="D8" s="277"/>
      <c r="E8" s="96"/>
      <c r="F8" s="278"/>
      <c r="G8" s="279"/>
    </row>
    <row r="9" spans="1:7" ht="18.75">
      <c r="A9" s="276"/>
      <c r="B9" s="36"/>
      <c r="C9" s="38"/>
      <c r="D9" s="277"/>
      <c r="E9" s="96"/>
      <c r="F9" s="278"/>
      <c r="G9" s="278"/>
    </row>
    <row r="10" spans="1:7" ht="12.75">
      <c r="A10" s="276"/>
      <c r="B10" s="36" t="s">
        <v>358</v>
      </c>
      <c r="C10" s="39"/>
      <c r="D10" s="280"/>
      <c r="E10" s="96"/>
      <c r="F10" s="281" t="s">
        <v>368</v>
      </c>
      <c r="G10" s="281"/>
    </row>
    <row r="11" spans="1:7" ht="18.75" customHeight="1">
      <c r="A11" s="282"/>
      <c r="B11" s="97"/>
      <c r="C11" s="40"/>
      <c r="D11" s="283"/>
      <c r="E11" s="98"/>
      <c r="F11" s="284" t="s">
        <v>465</v>
      </c>
      <c r="G11" s="285"/>
    </row>
    <row r="12" spans="1:7" ht="16.5" customHeight="1">
      <c r="A12" s="253" t="s">
        <v>399</v>
      </c>
      <c r="B12" s="99" t="s">
        <v>369</v>
      </c>
      <c r="C12" s="41" t="s">
        <v>366</v>
      </c>
      <c r="D12" s="41" t="s">
        <v>361</v>
      </c>
      <c r="E12" s="100" t="s">
        <v>370</v>
      </c>
      <c r="F12" s="286"/>
      <c r="G12" s="287" t="s">
        <v>357</v>
      </c>
    </row>
    <row r="13" spans="1:10" ht="46.5" customHeight="1">
      <c r="A13" s="288"/>
      <c r="B13" s="101"/>
      <c r="C13" s="42"/>
      <c r="D13" s="289"/>
      <c r="E13" s="102"/>
      <c r="F13" s="290" t="s">
        <v>371</v>
      </c>
      <c r="G13" s="291" t="s">
        <v>372</v>
      </c>
      <c r="I13" s="292"/>
      <c r="J13" s="292"/>
    </row>
    <row r="14" spans="1:10" ht="21" customHeight="1">
      <c r="A14" s="282"/>
      <c r="B14" s="43" t="s">
        <v>373</v>
      </c>
      <c r="C14" s="44"/>
      <c r="D14" s="293"/>
      <c r="E14" s="103"/>
      <c r="F14" s="294">
        <f>F15+F42+F52+F60+F65+F68+F104+F107+F111+F120+F148+F153</f>
        <v>44865094.81</v>
      </c>
      <c r="G14" s="294">
        <f>G15+G42+G52+G60+G65+G68+G104+G107+G111+G120+G148+G153</f>
        <v>8868191.52</v>
      </c>
      <c r="I14" s="295"/>
      <c r="J14" s="295"/>
    </row>
    <row r="15" spans="1:10" ht="19.5" customHeight="1">
      <c r="A15" s="244"/>
      <c r="B15" s="47">
        <v>600</v>
      </c>
      <c r="C15" s="47"/>
      <c r="D15" s="296"/>
      <c r="E15" s="104" t="s">
        <v>374</v>
      </c>
      <c r="F15" s="105">
        <f>F16+F18</f>
        <v>10771588.049999999</v>
      </c>
      <c r="G15" s="125">
        <f>G16+G18</f>
        <v>2500000</v>
      </c>
      <c r="I15" s="297"/>
      <c r="J15" s="297"/>
    </row>
    <row r="16" spans="1:10" s="315" customFormat="1" ht="19.5" customHeight="1">
      <c r="A16" s="288"/>
      <c r="B16" s="63"/>
      <c r="C16" s="56">
        <v>60004</v>
      </c>
      <c r="D16" s="248"/>
      <c r="E16" s="382" t="s">
        <v>539</v>
      </c>
      <c r="F16" s="118">
        <f>F17</f>
        <v>20000</v>
      </c>
      <c r="G16" s="119"/>
      <c r="I16" s="383"/>
      <c r="J16" s="383"/>
    </row>
    <row r="17" spans="1:10" s="315" customFormat="1" ht="19.5" customHeight="1">
      <c r="A17" s="288">
        <v>1</v>
      </c>
      <c r="B17" s="63"/>
      <c r="C17" s="56"/>
      <c r="D17" s="248">
        <v>6050</v>
      </c>
      <c r="E17" s="382" t="s">
        <v>538</v>
      </c>
      <c r="F17" s="118">
        <v>20000</v>
      </c>
      <c r="G17" s="119"/>
      <c r="I17" s="383"/>
      <c r="J17" s="383"/>
    </row>
    <row r="18" spans="1:7" ht="18" customHeight="1">
      <c r="A18" s="288"/>
      <c r="B18" s="84"/>
      <c r="C18" s="81">
        <v>60016</v>
      </c>
      <c r="D18" s="298"/>
      <c r="E18" s="75" t="s">
        <v>375</v>
      </c>
      <c r="F18" s="106">
        <f>SUM(F19:F41)</f>
        <v>10751588.049999999</v>
      </c>
      <c r="G18" s="113">
        <f>SUM(G19:G41)</f>
        <v>2500000</v>
      </c>
    </row>
    <row r="19" spans="1:9" s="250" customFormat="1" ht="26.25" customHeight="1">
      <c r="A19" s="244">
        <v>2</v>
      </c>
      <c r="B19" s="246"/>
      <c r="C19" s="369"/>
      <c r="D19" s="248">
        <v>6050</v>
      </c>
      <c r="E19" s="65" t="s">
        <v>445</v>
      </c>
      <c r="F19" s="119">
        <f>3013000-46563.41</f>
        <v>2966436.59</v>
      </c>
      <c r="G19" s="119">
        <v>2000000</v>
      </c>
      <c r="H19" s="249"/>
      <c r="I19" s="249"/>
    </row>
    <row r="20" spans="1:8" s="250" customFormat="1" ht="38.25" customHeight="1">
      <c r="A20" s="244">
        <v>3</v>
      </c>
      <c r="B20" s="246"/>
      <c r="C20" s="369"/>
      <c r="D20" s="248">
        <v>6050</v>
      </c>
      <c r="E20" s="251" t="s">
        <v>446</v>
      </c>
      <c r="F20" s="118">
        <v>1857.05</v>
      </c>
      <c r="G20" s="119">
        <v>0</v>
      </c>
      <c r="H20" s="249"/>
    </row>
    <row r="21" spans="1:9" s="250" customFormat="1" ht="29.25" customHeight="1">
      <c r="A21" s="244">
        <v>4</v>
      </c>
      <c r="B21" s="252"/>
      <c r="C21" s="370"/>
      <c r="D21" s="248">
        <v>6050</v>
      </c>
      <c r="E21" s="53" t="s">
        <v>466</v>
      </c>
      <c r="F21" s="118">
        <f>1500000-15444.76-5872.57-700000</f>
        <v>778682.6699999999</v>
      </c>
      <c r="G21" s="119">
        <v>0</v>
      </c>
      <c r="I21" s="249"/>
    </row>
    <row r="22" spans="1:7" s="250" customFormat="1" ht="31.5" customHeight="1">
      <c r="A22" s="244">
        <v>5</v>
      </c>
      <c r="B22" s="252"/>
      <c r="C22" s="370"/>
      <c r="D22" s="248">
        <v>6050</v>
      </c>
      <c r="E22" s="53" t="s">
        <v>467</v>
      </c>
      <c r="F22" s="118">
        <f>90000-7000</f>
        <v>83000</v>
      </c>
      <c r="G22" s="119">
        <v>0</v>
      </c>
    </row>
    <row r="23" spans="1:7" s="250" customFormat="1" ht="27" customHeight="1">
      <c r="A23" s="244">
        <v>6</v>
      </c>
      <c r="B23" s="252"/>
      <c r="C23" s="370"/>
      <c r="D23" s="248">
        <v>6050</v>
      </c>
      <c r="E23" s="53" t="s">
        <v>468</v>
      </c>
      <c r="F23" s="118">
        <f>2000000-78000</f>
        <v>1922000</v>
      </c>
      <c r="G23" s="119">
        <f>104918.45+100000</f>
        <v>204918.45</v>
      </c>
    </row>
    <row r="24" spans="1:7" s="250" customFormat="1" ht="23.25" customHeight="1">
      <c r="A24" s="244">
        <v>7</v>
      </c>
      <c r="B24" s="252"/>
      <c r="C24" s="370"/>
      <c r="D24" s="248">
        <v>6050</v>
      </c>
      <c r="E24" s="53" t="s">
        <v>469</v>
      </c>
      <c r="F24" s="118">
        <f>1200000+52435.98</f>
        <v>1252435.98</v>
      </c>
      <c r="G24" s="119">
        <f>400000-104918.45</f>
        <v>295081.55</v>
      </c>
    </row>
    <row r="25" spans="1:7" s="250" customFormat="1" ht="48.75" customHeight="1">
      <c r="A25" s="244">
        <v>8</v>
      </c>
      <c r="B25" s="252"/>
      <c r="C25" s="370"/>
      <c r="D25" s="248">
        <v>6050</v>
      </c>
      <c r="E25" s="53" t="s">
        <v>470</v>
      </c>
      <c r="F25" s="118">
        <f>148000-8000-41000</f>
        <v>99000</v>
      </c>
      <c r="G25" s="119">
        <v>0</v>
      </c>
    </row>
    <row r="26" spans="1:7" s="250" customFormat="1" ht="24.75" customHeight="1">
      <c r="A26" s="244">
        <v>9</v>
      </c>
      <c r="B26" s="252"/>
      <c r="C26" s="370"/>
      <c r="D26" s="248">
        <v>6050</v>
      </c>
      <c r="E26" s="53" t="s">
        <v>471</v>
      </c>
      <c r="F26" s="118">
        <f>45000+32121</f>
        <v>77121</v>
      </c>
      <c r="G26" s="119">
        <v>0</v>
      </c>
    </row>
    <row r="27" spans="1:7" s="250" customFormat="1" ht="32.25" customHeight="1">
      <c r="A27" s="288">
        <v>10</v>
      </c>
      <c r="B27" s="252"/>
      <c r="C27" s="370"/>
      <c r="D27" s="248">
        <v>6050</v>
      </c>
      <c r="E27" s="53" t="s">
        <v>472</v>
      </c>
      <c r="F27" s="118">
        <f>500+41000</f>
        <v>41500</v>
      </c>
      <c r="G27" s="119">
        <v>0</v>
      </c>
    </row>
    <row r="28" spans="1:7" s="250" customFormat="1" ht="29.25" customHeight="1">
      <c r="A28" s="288">
        <v>11</v>
      </c>
      <c r="B28" s="252"/>
      <c r="C28" s="370"/>
      <c r="D28" s="248">
        <v>6050</v>
      </c>
      <c r="E28" s="53" t="s">
        <v>473</v>
      </c>
      <c r="F28" s="118">
        <f>21000-5095.24</f>
        <v>15904.76</v>
      </c>
      <c r="G28" s="119">
        <v>0</v>
      </c>
    </row>
    <row r="29" spans="1:7" s="250" customFormat="1" ht="30.75" customHeight="1">
      <c r="A29" s="288">
        <v>12</v>
      </c>
      <c r="B29" s="252"/>
      <c r="C29" s="370"/>
      <c r="D29" s="248">
        <v>6050</v>
      </c>
      <c r="E29" s="53" t="s">
        <v>474</v>
      </c>
      <c r="F29" s="118">
        <v>30000</v>
      </c>
      <c r="G29" s="119">
        <v>0</v>
      </c>
    </row>
    <row r="30" spans="1:7" s="250" customFormat="1" ht="30.75" customHeight="1">
      <c r="A30" s="288">
        <v>13</v>
      </c>
      <c r="B30" s="252"/>
      <c r="C30" s="253"/>
      <c r="D30" s="248">
        <v>6050</v>
      </c>
      <c r="E30" s="53" t="s">
        <v>534</v>
      </c>
      <c r="F30" s="118">
        <f>3000+2500000</f>
        <v>2503000</v>
      </c>
      <c r="G30" s="119">
        <v>0</v>
      </c>
    </row>
    <row r="31" spans="1:7" s="250" customFormat="1" ht="30.75" customHeight="1">
      <c r="A31" s="288">
        <v>14</v>
      </c>
      <c r="B31" s="252"/>
      <c r="C31" s="253"/>
      <c r="D31" s="248">
        <v>6050</v>
      </c>
      <c r="E31" s="53" t="s">
        <v>551</v>
      </c>
      <c r="F31" s="118">
        <v>64000</v>
      </c>
      <c r="G31" s="119"/>
    </row>
    <row r="32" spans="1:7" s="250" customFormat="1" ht="30.75" customHeight="1">
      <c r="A32" s="288">
        <v>15</v>
      </c>
      <c r="B32" s="252"/>
      <c r="C32" s="253"/>
      <c r="D32" s="248">
        <v>6050</v>
      </c>
      <c r="E32" s="53" t="s">
        <v>323</v>
      </c>
      <c r="F32" s="118">
        <f>18995+23450-18995</f>
        <v>23450</v>
      </c>
      <c r="G32" s="119"/>
    </row>
    <row r="33" spans="1:7" s="250" customFormat="1" ht="30.75" customHeight="1">
      <c r="A33" s="288">
        <v>16</v>
      </c>
      <c r="B33" s="252"/>
      <c r="C33" s="253"/>
      <c r="D33" s="248">
        <v>6050</v>
      </c>
      <c r="E33" s="53" t="s">
        <v>328</v>
      </c>
      <c r="F33" s="118">
        <v>300000</v>
      </c>
      <c r="G33" s="119"/>
    </row>
    <row r="34" spans="1:7" s="250" customFormat="1" ht="30.75" customHeight="1">
      <c r="A34" s="288">
        <v>17</v>
      </c>
      <c r="B34" s="252"/>
      <c r="C34" s="253"/>
      <c r="D34" s="248">
        <v>6050</v>
      </c>
      <c r="E34" s="53" t="s">
        <v>2</v>
      </c>
      <c r="F34" s="118">
        <v>70000</v>
      </c>
      <c r="G34" s="119"/>
    </row>
    <row r="35" spans="1:7" s="250" customFormat="1" ht="30.75" customHeight="1">
      <c r="A35" s="288">
        <v>18</v>
      </c>
      <c r="B35" s="252"/>
      <c r="C35" s="253"/>
      <c r="D35" s="248">
        <v>6050</v>
      </c>
      <c r="E35" s="53" t="s">
        <v>329</v>
      </c>
      <c r="F35" s="118">
        <v>60000</v>
      </c>
      <c r="G35" s="119"/>
    </row>
    <row r="36" spans="1:7" s="250" customFormat="1" ht="30.75" customHeight="1">
      <c r="A36" s="288">
        <v>19</v>
      </c>
      <c r="B36" s="252"/>
      <c r="C36" s="253"/>
      <c r="D36" s="248">
        <v>6050</v>
      </c>
      <c r="E36" s="53" t="s">
        <v>330</v>
      </c>
      <c r="F36" s="118">
        <v>20000</v>
      </c>
      <c r="G36" s="119"/>
    </row>
    <row r="37" spans="1:7" s="250" customFormat="1" ht="30.75" customHeight="1">
      <c r="A37" s="288">
        <v>20</v>
      </c>
      <c r="B37" s="252"/>
      <c r="C37" s="253"/>
      <c r="D37" s="248">
        <v>6050</v>
      </c>
      <c r="E37" s="53" t="s">
        <v>336</v>
      </c>
      <c r="F37" s="118">
        <v>220000</v>
      </c>
      <c r="G37" s="119"/>
    </row>
    <row r="38" spans="1:7" s="250" customFormat="1" ht="30.75" customHeight="1">
      <c r="A38" s="288"/>
      <c r="B38" s="252"/>
      <c r="C38" s="253"/>
      <c r="D38" s="754">
        <v>6050</v>
      </c>
      <c r="E38" s="755" t="s">
        <v>219</v>
      </c>
      <c r="F38" s="756">
        <v>51660</v>
      </c>
      <c r="G38" s="757"/>
    </row>
    <row r="39" spans="1:7" s="250" customFormat="1" ht="30.75" customHeight="1">
      <c r="A39" s="288"/>
      <c r="B39" s="252"/>
      <c r="C39" s="253"/>
      <c r="D39" s="754">
        <v>6050</v>
      </c>
      <c r="E39" s="755" t="s">
        <v>49</v>
      </c>
      <c r="F39" s="756">
        <v>1000</v>
      </c>
      <c r="G39" s="757"/>
    </row>
    <row r="40" spans="1:7" s="250" customFormat="1" ht="30.75" customHeight="1">
      <c r="A40" s="288"/>
      <c r="B40" s="252"/>
      <c r="C40" s="253"/>
      <c r="D40" s="754">
        <v>6050</v>
      </c>
      <c r="E40" s="755" t="s">
        <v>228</v>
      </c>
      <c r="F40" s="756">
        <v>50000</v>
      </c>
      <c r="G40" s="757"/>
    </row>
    <row r="41" spans="1:7" s="250" customFormat="1" ht="28.5" customHeight="1">
      <c r="A41" s="288">
        <v>21</v>
      </c>
      <c r="B41" s="252"/>
      <c r="C41" s="253"/>
      <c r="D41" s="248">
        <v>6050</v>
      </c>
      <c r="E41" s="53" t="s">
        <v>475</v>
      </c>
      <c r="F41" s="118">
        <f>100000+20540</f>
        <v>120540</v>
      </c>
      <c r="G41" s="119">
        <v>0</v>
      </c>
    </row>
    <row r="42" spans="1:7" ht="27" customHeight="1">
      <c r="A42" s="299"/>
      <c r="B42" s="47">
        <v>700</v>
      </c>
      <c r="C42" s="47"/>
      <c r="D42" s="296"/>
      <c r="E42" s="107" t="s">
        <v>376</v>
      </c>
      <c r="F42" s="108">
        <f>F43+F46</f>
        <v>1827516</v>
      </c>
      <c r="G42" s="111">
        <f>G43+G46</f>
        <v>0</v>
      </c>
    </row>
    <row r="43" spans="1:7" ht="27" customHeight="1">
      <c r="A43" s="244"/>
      <c r="B43" s="52"/>
      <c r="C43" s="61">
        <v>70005</v>
      </c>
      <c r="D43" s="298"/>
      <c r="E43" s="75" t="s">
        <v>377</v>
      </c>
      <c r="F43" s="106">
        <f>SUM(F44:F45)</f>
        <v>939060</v>
      </c>
      <c r="G43" s="113">
        <f>SUM(G45:G45)</f>
        <v>0</v>
      </c>
    </row>
    <row r="44" spans="1:7" s="315" customFormat="1" ht="27" customHeight="1">
      <c r="A44" s="244">
        <v>22</v>
      </c>
      <c r="B44" s="62"/>
      <c r="C44" s="63"/>
      <c r="D44" s="248">
        <v>6050</v>
      </c>
      <c r="E44" s="53" t="s">
        <v>38</v>
      </c>
      <c r="F44" s="80">
        <v>17600</v>
      </c>
      <c r="G44" s="79"/>
    </row>
    <row r="45" spans="1:7" ht="30" customHeight="1">
      <c r="A45" s="244">
        <v>23</v>
      </c>
      <c r="B45" s="62"/>
      <c r="C45" s="371"/>
      <c r="D45" s="248">
        <v>6060</v>
      </c>
      <c r="E45" s="53" t="s">
        <v>378</v>
      </c>
      <c r="F45" s="79">
        <f>866460+45000+2500+7500</f>
        <v>921460</v>
      </c>
      <c r="G45" s="79">
        <v>0</v>
      </c>
    </row>
    <row r="46" spans="1:7" ht="24.75" customHeight="1">
      <c r="A46" s="244"/>
      <c r="B46" s="54"/>
      <c r="C46" s="64">
        <v>70095</v>
      </c>
      <c r="D46" s="300"/>
      <c r="E46" s="75" t="s">
        <v>379</v>
      </c>
      <c r="F46" s="106">
        <f>SUM(F47:F51)</f>
        <v>888456</v>
      </c>
      <c r="G46" s="113">
        <f>SUM(G47:G51)</f>
        <v>0</v>
      </c>
    </row>
    <row r="47" spans="1:7" ht="34.5" customHeight="1">
      <c r="A47" s="244">
        <v>24</v>
      </c>
      <c r="B47" s="54"/>
      <c r="C47" s="372"/>
      <c r="D47" s="244">
        <v>6050</v>
      </c>
      <c r="E47" s="65" t="s">
        <v>476</v>
      </c>
      <c r="F47" s="79">
        <f>574383+10000+156073+7000</f>
        <v>747456</v>
      </c>
      <c r="G47" s="79">
        <v>0</v>
      </c>
    </row>
    <row r="48" spans="1:7" ht="34.5" customHeight="1">
      <c r="A48" s="244">
        <v>25</v>
      </c>
      <c r="B48" s="54"/>
      <c r="C48" s="372"/>
      <c r="D48" s="244">
        <v>6050</v>
      </c>
      <c r="E48" s="65" t="s">
        <v>540</v>
      </c>
      <c r="F48" s="79">
        <v>75000</v>
      </c>
      <c r="G48" s="79"/>
    </row>
    <row r="49" spans="1:7" ht="28.5" customHeight="1">
      <c r="A49" s="244">
        <v>26</v>
      </c>
      <c r="B49" s="54"/>
      <c r="C49" s="518"/>
      <c r="D49" s="244">
        <v>6050</v>
      </c>
      <c r="E49" s="65" t="s">
        <v>527</v>
      </c>
      <c r="F49" s="79">
        <v>60000</v>
      </c>
      <c r="G49" s="79"/>
    </row>
    <row r="50" spans="1:7" ht="48.75" customHeight="1">
      <c r="A50" s="244">
        <v>27</v>
      </c>
      <c r="B50" s="54"/>
      <c r="C50" s="518"/>
      <c r="D50" s="244">
        <v>6050</v>
      </c>
      <c r="E50" s="65" t="s">
        <v>295</v>
      </c>
      <c r="F50" s="79">
        <v>5000</v>
      </c>
      <c r="G50" s="79"/>
    </row>
    <row r="51" spans="1:7" s="117" customFormat="1" ht="36.75" customHeight="1">
      <c r="A51" s="244">
        <v>28</v>
      </c>
      <c r="B51" s="62"/>
      <c r="C51" s="371"/>
      <c r="D51" s="244">
        <v>6050</v>
      </c>
      <c r="E51" s="65" t="s">
        <v>477</v>
      </c>
      <c r="F51" s="79">
        <f>11000-10000</f>
        <v>1000</v>
      </c>
      <c r="G51" s="79">
        <v>0</v>
      </c>
    </row>
    <row r="52" spans="1:7" ht="27" customHeight="1">
      <c r="A52" s="301"/>
      <c r="B52" s="47">
        <v>750</v>
      </c>
      <c r="C52" s="47"/>
      <c r="D52" s="296"/>
      <c r="E52" s="73" t="s">
        <v>381</v>
      </c>
      <c r="F52" s="109">
        <f>F53+F56+F58</f>
        <v>861100</v>
      </c>
      <c r="G52" s="302">
        <f>G53+G58</f>
        <v>0</v>
      </c>
    </row>
    <row r="53" spans="1:7" ht="30.75" customHeight="1">
      <c r="A53" s="244"/>
      <c r="B53" s="303"/>
      <c r="C53" s="52">
        <v>75023</v>
      </c>
      <c r="D53" s="300"/>
      <c r="E53" s="76" t="s">
        <v>382</v>
      </c>
      <c r="F53" s="110">
        <f>SUM(F54:F55)</f>
        <v>258000</v>
      </c>
      <c r="G53" s="304">
        <f>SUM(G55:G55)</f>
        <v>0</v>
      </c>
    </row>
    <row r="54" spans="1:7" s="315" customFormat="1" ht="30.75" customHeight="1">
      <c r="A54" s="244">
        <v>29</v>
      </c>
      <c r="B54" s="55"/>
      <c r="C54" s="68"/>
      <c r="D54" s="244">
        <v>6050</v>
      </c>
      <c r="E54" s="344" t="s">
        <v>325</v>
      </c>
      <c r="F54" s="79">
        <v>18000</v>
      </c>
      <c r="G54" s="517"/>
    </row>
    <row r="55" spans="1:7" ht="28.5" customHeight="1">
      <c r="A55" s="244">
        <v>30</v>
      </c>
      <c r="B55" s="305"/>
      <c r="C55" s="306"/>
      <c r="D55" s="307">
        <v>6060</v>
      </c>
      <c r="E55" s="120" t="s">
        <v>478</v>
      </c>
      <c r="F55" s="526">
        <f>250000+300000-310000</f>
        <v>240000</v>
      </c>
      <c r="G55" s="121">
        <v>0</v>
      </c>
    </row>
    <row r="56" spans="1:7" ht="28.5" customHeight="1">
      <c r="A56" s="244"/>
      <c r="B56" s="305"/>
      <c r="C56" s="306">
        <v>75075</v>
      </c>
      <c r="D56" s="308"/>
      <c r="E56" s="74" t="s">
        <v>37</v>
      </c>
      <c r="F56" s="526">
        <f>F57</f>
        <v>8100</v>
      </c>
      <c r="G56" s="517"/>
    </row>
    <row r="57" spans="1:7" ht="28.5" customHeight="1">
      <c r="A57" s="244">
        <v>31</v>
      </c>
      <c r="B57" s="305"/>
      <c r="C57" s="306"/>
      <c r="D57" s="248">
        <v>6060</v>
      </c>
      <c r="E57" s="584" t="s">
        <v>39</v>
      </c>
      <c r="F57" s="585">
        <v>8100</v>
      </c>
      <c r="G57" s="517"/>
    </row>
    <row r="58" spans="1:7" ht="21.75" customHeight="1">
      <c r="A58" s="244"/>
      <c r="B58" s="67"/>
      <c r="C58" s="81">
        <v>75095</v>
      </c>
      <c r="D58" s="300"/>
      <c r="E58" s="76" t="s">
        <v>379</v>
      </c>
      <c r="F58" s="110">
        <f>SUM(F59:F59)</f>
        <v>595000</v>
      </c>
      <c r="G58" s="304">
        <f>SUM(G59:G59)</f>
        <v>0</v>
      </c>
    </row>
    <row r="59" spans="1:7" ht="33" customHeight="1">
      <c r="A59" s="244">
        <v>32</v>
      </c>
      <c r="B59" s="67"/>
      <c r="C59" s="372"/>
      <c r="D59" s="308">
        <v>6050</v>
      </c>
      <c r="E59" s="65" t="s">
        <v>447</v>
      </c>
      <c r="F59" s="79">
        <f>950000-300000-55000</f>
        <v>595000</v>
      </c>
      <c r="G59" s="79">
        <v>0</v>
      </c>
    </row>
    <row r="60" spans="1:7" ht="30" customHeight="1">
      <c r="A60" s="301"/>
      <c r="B60" s="47">
        <v>754</v>
      </c>
      <c r="C60" s="47"/>
      <c r="D60" s="301"/>
      <c r="E60" s="90" t="s">
        <v>383</v>
      </c>
      <c r="F60" s="111">
        <f>F61+F63</f>
        <v>23000</v>
      </c>
      <c r="G60" s="111">
        <f>G61+G63</f>
        <v>0</v>
      </c>
    </row>
    <row r="61" spans="1:7" ht="21.75" customHeight="1">
      <c r="A61" s="244"/>
      <c r="B61" s="70"/>
      <c r="C61" s="52">
        <v>75412</v>
      </c>
      <c r="D61" s="257"/>
      <c r="E61" s="112" t="s">
        <v>448</v>
      </c>
      <c r="F61" s="113">
        <f>F62</f>
        <v>6000</v>
      </c>
      <c r="G61" s="113">
        <f>G62</f>
        <v>0</v>
      </c>
    </row>
    <row r="62" spans="1:7" ht="27.75" customHeight="1">
      <c r="A62" s="244">
        <v>33</v>
      </c>
      <c r="B62" s="114"/>
      <c r="C62" s="68"/>
      <c r="D62" s="248">
        <v>6060</v>
      </c>
      <c r="E62" s="53" t="s">
        <v>449</v>
      </c>
      <c r="F62" s="79">
        <v>6000</v>
      </c>
      <c r="G62" s="79"/>
    </row>
    <row r="63" spans="1:7" ht="22.5" customHeight="1">
      <c r="A63" s="244"/>
      <c r="B63" s="70"/>
      <c r="C63" s="64">
        <v>75414</v>
      </c>
      <c r="D63" s="257"/>
      <c r="E63" s="112" t="s">
        <v>384</v>
      </c>
      <c r="F63" s="110">
        <f>SUM(F64)</f>
        <v>17000</v>
      </c>
      <c r="G63" s="304">
        <f>SUM(G64)</f>
        <v>0</v>
      </c>
    </row>
    <row r="64" spans="1:7" ht="26.25" customHeight="1">
      <c r="A64" s="244">
        <v>34</v>
      </c>
      <c r="B64" s="62"/>
      <c r="C64" s="69"/>
      <c r="D64" s="308">
        <v>6060</v>
      </c>
      <c r="E64" s="53" t="s">
        <v>449</v>
      </c>
      <c r="F64" s="119">
        <v>17000</v>
      </c>
      <c r="G64" s="119">
        <v>0</v>
      </c>
    </row>
    <row r="65" spans="1:7" ht="21.75" customHeight="1">
      <c r="A65" s="309"/>
      <c r="B65" s="47">
        <v>758</v>
      </c>
      <c r="C65" s="47"/>
      <c r="D65" s="296"/>
      <c r="E65" s="107" t="s">
        <v>385</v>
      </c>
      <c r="F65" s="108">
        <f>F66</f>
        <v>943347</v>
      </c>
      <c r="G65" s="111">
        <f>G66</f>
        <v>0</v>
      </c>
    </row>
    <row r="66" spans="1:7" ht="22.5" customHeight="1">
      <c r="A66" s="253"/>
      <c r="B66" s="50"/>
      <c r="C66" s="58">
        <v>75818</v>
      </c>
      <c r="D66" s="300"/>
      <c r="E66" s="76" t="s">
        <v>386</v>
      </c>
      <c r="F66" s="110">
        <f>F67</f>
        <v>943347</v>
      </c>
      <c r="G66" s="304">
        <f>G67</f>
        <v>0</v>
      </c>
    </row>
    <row r="67" spans="1:10" ht="28.5" customHeight="1">
      <c r="A67" s="253"/>
      <c r="B67" s="71"/>
      <c r="C67" s="69"/>
      <c r="D67" s="308">
        <v>6800</v>
      </c>
      <c r="E67" s="66" t="s">
        <v>387</v>
      </c>
      <c r="F67" s="758">
        <f>400000-200000+24500-10000+174688-2498-40000-6000-101073-30478-5492+739700</f>
        <v>943347</v>
      </c>
      <c r="G67" s="119">
        <f>500000-500000</f>
        <v>0</v>
      </c>
      <c r="J67" s="245">
        <f>'Proj Uch. RM nr    25.06. 2014.'!F204</f>
        <v>739700</v>
      </c>
    </row>
    <row r="68" spans="1:7" ht="24.75" customHeight="1">
      <c r="A68" s="288"/>
      <c r="B68" s="46">
        <v>801</v>
      </c>
      <c r="C68" s="69"/>
      <c r="D68" s="308"/>
      <c r="E68" s="77" t="s">
        <v>388</v>
      </c>
      <c r="F68" s="109">
        <f>F69+F78+F92+F95+F102</f>
        <v>1609405.7</v>
      </c>
      <c r="G68" s="302">
        <f>G69+G78+G92+G95</f>
        <v>0</v>
      </c>
    </row>
    <row r="69" spans="1:7" ht="24" customHeight="1">
      <c r="A69" s="308"/>
      <c r="B69" s="50"/>
      <c r="C69" s="84">
        <v>80101</v>
      </c>
      <c r="D69" s="300"/>
      <c r="E69" s="76" t="s">
        <v>389</v>
      </c>
      <c r="F69" s="110">
        <f>SUM(F70:F77)</f>
        <v>1040478</v>
      </c>
      <c r="G69" s="304">
        <f>SUM(G70:G77)</f>
        <v>0</v>
      </c>
    </row>
    <row r="70" spans="1:7" ht="34.5" customHeight="1">
      <c r="A70" s="308">
        <v>35</v>
      </c>
      <c r="B70" s="70"/>
      <c r="C70" s="310"/>
      <c r="D70" s="248">
        <v>6050</v>
      </c>
      <c r="E70" s="65" t="s">
        <v>479</v>
      </c>
      <c r="F70" s="80">
        <f>40000+30000</f>
        <v>70000</v>
      </c>
      <c r="G70" s="119">
        <v>0</v>
      </c>
    </row>
    <row r="71" spans="1:9" ht="27.75" customHeight="1">
      <c r="A71" s="308">
        <v>36</v>
      </c>
      <c r="B71" s="70"/>
      <c r="C71" s="84"/>
      <c r="D71" s="248">
        <v>6050</v>
      </c>
      <c r="E71" s="53" t="s">
        <v>481</v>
      </c>
      <c r="F71" s="80">
        <v>600000</v>
      </c>
      <c r="G71" s="119">
        <v>0</v>
      </c>
      <c r="I71" s="311"/>
    </row>
    <row r="72" spans="1:7" ht="23.25" customHeight="1">
      <c r="A72" s="308">
        <v>37</v>
      </c>
      <c r="B72" s="70"/>
      <c r="C72" s="84"/>
      <c r="D72" s="312">
        <v>6050</v>
      </c>
      <c r="E72" s="313" t="s">
        <v>482</v>
      </c>
      <c r="F72" s="79">
        <v>9000</v>
      </c>
      <c r="G72" s="119">
        <v>0</v>
      </c>
    </row>
    <row r="73" spans="1:7" ht="34.5" customHeight="1">
      <c r="A73" s="308">
        <v>38</v>
      </c>
      <c r="B73" s="71"/>
      <c r="C73" s="84"/>
      <c r="D73" s="312">
        <v>6050</v>
      </c>
      <c r="E73" s="313" t="s">
        <v>483</v>
      </c>
      <c r="F73" s="79">
        <v>50000</v>
      </c>
      <c r="G73" s="119">
        <v>0</v>
      </c>
    </row>
    <row r="74" spans="1:7" ht="34.5" customHeight="1">
      <c r="A74" s="308">
        <v>39</v>
      </c>
      <c r="B74" s="71"/>
      <c r="C74" s="84"/>
      <c r="D74" s="312">
        <v>6050</v>
      </c>
      <c r="E74" s="313" t="s">
        <v>532</v>
      </c>
      <c r="F74" s="79">
        <f>30478+200000</f>
        <v>230478</v>
      </c>
      <c r="G74" s="119">
        <v>0</v>
      </c>
    </row>
    <row r="75" spans="1:7" ht="27.75" customHeight="1">
      <c r="A75" s="308">
        <v>40</v>
      </c>
      <c r="B75" s="71"/>
      <c r="C75" s="84"/>
      <c r="D75" s="312">
        <v>6050</v>
      </c>
      <c r="E75" s="313" t="s">
        <v>334</v>
      </c>
      <c r="F75" s="79">
        <v>60000</v>
      </c>
      <c r="G75" s="119"/>
    </row>
    <row r="76" spans="1:7" ht="24.75" customHeight="1">
      <c r="A76" s="308">
        <v>41</v>
      </c>
      <c r="B76" s="71"/>
      <c r="C76" s="63"/>
      <c r="D76" s="312">
        <v>6060</v>
      </c>
      <c r="E76" s="314" t="s">
        <v>484</v>
      </c>
      <c r="F76" s="79">
        <v>15000</v>
      </c>
      <c r="G76" s="119">
        <v>0</v>
      </c>
    </row>
    <row r="77" spans="1:7" ht="34.5" customHeight="1">
      <c r="A77" s="308">
        <v>42</v>
      </c>
      <c r="B77" s="71"/>
      <c r="C77" s="69"/>
      <c r="D77" s="312">
        <v>6060</v>
      </c>
      <c r="E77" s="314" t="s">
        <v>485</v>
      </c>
      <c r="F77" s="79">
        <v>6000</v>
      </c>
      <c r="G77" s="119">
        <v>0</v>
      </c>
    </row>
    <row r="78" spans="1:7" ht="18.75" customHeight="1">
      <c r="A78" s="308"/>
      <c r="B78" s="70"/>
      <c r="C78" s="61">
        <v>80104</v>
      </c>
      <c r="D78" s="298"/>
      <c r="E78" s="75" t="s">
        <v>390</v>
      </c>
      <c r="F78" s="106">
        <f>SUM(F79:F91)</f>
        <v>246720</v>
      </c>
      <c r="G78" s="113">
        <f>SUM(G79:G91)</f>
        <v>0</v>
      </c>
    </row>
    <row r="79" spans="1:7" s="315" customFormat="1" ht="25.5" customHeight="1">
      <c r="A79" s="308">
        <v>43</v>
      </c>
      <c r="B79" s="71"/>
      <c r="C79" s="371"/>
      <c r="D79" s="312">
        <v>6050</v>
      </c>
      <c r="E79" s="53" t="s">
        <v>486</v>
      </c>
      <c r="F79" s="80">
        <f>26000+78000-13000</f>
        <v>91000</v>
      </c>
      <c r="G79" s="79">
        <v>0</v>
      </c>
    </row>
    <row r="80" spans="1:7" s="315" customFormat="1" ht="25.5" customHeight="1">
      <c r="A80" s="308">
        <v>44</v>
      </c>
      <c r="B80" s="71"/>
      <c r="C80" s="63"/>
      <c r="D80" s="312">
        <v>6050</v>
      </c>
      <c r="E80" s="53" t="s">
        <v>541</v>
      </c>
      <c r="F80" s="80">
        <v>40000</v>
      </c>
      <c r="G80" s="79"/>
    </row>
    <row r="81" spans="1:7" s="315" customFormat="1" ht="25.5" customHeight="1">
      <c r="A81" s="308">
        <v>45</v>
      </c>
      <c r="B81" s="71"/>
      <c r="C81" s="63"/>
      <c r="D81" s="312">
        <v>6050</v>
      </c>
      <c r="E81" s="53" t="s">
        <v>546</v>
      </c>
      <c r="F81" s="80">
        <v>11600</v>
      </c>
      <c r="G81" s="79"/>
    </row>
    <row r="82" spans="1:7" s="315" customFormat="1" ht="25.5" customHeight="1">
      <c r="A82" s="308"/>
      <c r="B82" s="71"/>
      <c r="C82" s="63"/>
      <c r="D82" s="759">
        <v>6050</v>
      </c>
      <c r="E82" s="755" t="s">
        <v>256</v>
      </c>
      <c r="F82" s="760">
        <v>8000</v>
      </c>
      <c r="G82" s="761"/>
    </row>
    <row r="83" spans="1:7" s="315" customFormat="1" ht="25.5" customHeight="1">
      <c r="A83" s="308">
        <v>46</v>
      </c>
      <c r="B83" s="71"/>
      <c r="C83" s="63"/>
      <c r="D83" s="312">
        <v>6060</v>
      </c>
      <c r="E83" s="53" t="s">
        <v>547</v>
      </c>
      <c r="F83" s="80">
        <v>7500</v>
      </c>
      <c r="G83" s="79"/>
    </row>
    <row r="84" spans="1:7" s="315" customFormat="1" ht="25.5" customHeight="1">
      <c r="A84" s="308">
        <v>47</v>
      </c>
      <c r="B84" s="71"/>
      <c r="C84" s="63"/>
      <c r="D84" s="312">
        <v>6060</v>
      </c>
      <c r="E84" s="53" t="s">
        <v>332</v>
      </c>
      <c r="F84" s="80">
        <v>20000</v>
      </c>
      <c r="G84" s="79"/>
    </row>
    <row r="85" spans="1:7" s="315" customFormat="1" ht="25.5" customHeight="1">
      <c r="A85" s="308">
        <v>48</v>
      </c>
      <c r="B85" s="71"/>
      <c r="C85" s="63"/>
      <c r="D85" s="312">
        <v>6060</v>
      </c>
      <c r="E85" s="53" t="s">
        <v>333</v>
      </c>
      <c r="F85" s="80">
        <v>20000</v>
      </c>
      <c r="G85" s="79"/>
    </row>
    <row r="86" spans="1:7" s="315" customFormat="1" ht="25.5" customHeight="1">
      <c r="A86" s="308">
        <v>49</v>
      </c>
      <c r="B86" s="71"/>
      <c r="C86" s="63"/>
      <c r="D86" s="312">
        <v>6060</v>
      </c>
      <c r="E86" s="53" t="s">
        <v>346</v>
      </c>
      <c r="F86" s="80">
        <v>5000</v>
      </c>
      <c r="G86" s="79"/>
    </row>
    <row r="87" spans="1:7" s="315" customFormat="1" ht="25.5" customHeight="1">
      <c r="A87" s="308">
        <v>50</v>
      </c>
      <c r="B87" s="71"/>
      <c r="C87" s="63"/>
      <c r="D87" s="312">
        <v>6060</v>
      </c>
      <c r="E87" s="53" t="s">
        <v>549</v>
      </c>
      <c r="F87" s="80">
        <v>7300</v>
      </c>
      <c r="G87" s="79"/>
    </row>
    <row r="88" spans="1:7" s="315" customFormat="1" ht="25.5" customHeight="1">
      <c r="A88" s="308">
        <v>51</v>
      </c>
      <c r="B88" s="71"/>
      <c r="C88" s="63"/>
      <c r="D88" s="312">
        <v>6060</v>
      </c>
      <c r="E88" s="53" t="s">
        <v>552</v>
      </c>
      <c r="F88" s="80">
        <v>10320</v>
      </c>
      <c r="G88" s="79"/>
    </row>
    <row r="89" spans="1:7" ht="30" customHeight="1">
      <c r="A89" s="308">
        <v>52</v>
      </c>
      <c r="B89" s="71"/>
      <c r="C89" s="63"/>
      <c r="D89" s="316">
        <v>6060</v>
      </c>
      <c r="E89" s="314" t="s">
        <v>487</v>
      </c>
      <c r="F89" s="79">
        <v>11000</v>
      </c>
      <c r="G89" s="119">
        <v>0</v>
      </c>
    </row>
    <row r="90" spans="1:7" ht="29.25" customHeight="1">
      <c r="A90" s="308">
        <v>53</v>
      </c>
      <c r="B90" s="71"/>
      <c r="C90" s="63"/>
      <c r="D90" s="316">
        <v>6060</v>
      </c>
      <c r="E90" s="314" t="s">
        <v>488</v>
      </c>
      <c r="F90" s="79">
        <v>7000</v>
      </c>
      <c r="G90" s="119">
        <v>0</v>
      </c>
    </row>
    <row r="91" spans="1:7" ht="30" customHeight="1">
      <c r="A91" s="308">
        <v>54</v>
      </c>
      <c r="B91" s="71"/>
      <c r="C91" s="63"/>
      <c r="D91" s="316">
        <v>6060</v>
      </c>
      <c r="E91" s="314" t="s">
        <v>489</v>
      </c>
      <c r="F91" s="79">
        <v>8000</v>
      </c>
      <c r="G91" s="119">
        <v>0</v>
      </c>
    </row>
    <row r="92" spans="1:7" ht="19.5" customHeight="1">
      <c r="A92" s="308"/>
      <c r="B92" s="71"/>
      <c r="C92" s="61">
        <v>80110</v>
      </c>
      <c r="D92" s="298"/>
      <c r="E92" s="75" t="s">
        <v>450</v>
      </c>
      <c r="F92" s="106">
        <f>F93+F94</f>
        <v>250000</v>
      </c>
      <c r="G92" s="113">
        <f>G94</f>
        <v>0</v>
      </c>
    </row>
    <row r="93" spans="1:7" s="315" customFormat="1" ht="23.25" customHeight="1">
      <c r="A93" s="308">
        <v>55</v>
      </c>
      <c r="B93" s="71"/>
      <c r="C93" s="371"/>
      <c r="D93" s="320">
        <v>6050</v>
      </c>
      <c r="E93" s="53" t="s">
        <v>347</v>
      </c>
      <c r="F93" s="80">
        <v>220000</v>
      </c>
      <c r="G93" s="79">
        <v>0</v>
      </c>
    </row>
    <row r="94" spans="1:7" ht="31.5" customHeight="1">
      <c r="A94" s="308">
        <v>56</v>
      </c>
      <c r="B94" s="71"/>
      <c r="C94" s="84"/>
      <c r="D94" s="124">
        <v>6050</v>
      </c>
      <c r="E94" s="65" t="s">
        <v>490</v>
      </c>
      <c r="F94" s="80">
        <v>30000</v>
      </c>
      <c r="G94" s="79">
        <v>0</v>
      </c>
    </row>
    <row r="95" spans="1:7" s="259" customFormat="1" ht="22.5" customHeight="1">
      <c r="A95" s="300"/>
      <c r="B95" s="70"/>
      <c r="C95" s="61">
        <v>80148</v>
      </c>
      <c r="D95" s="298"/>
      <c r="E95" s="75" t="s">
        <v>461</v>
      </c>
      <c r="F95" s="106">
        <f>SUM(F96:F101)</f>
        <v>42208</v>
      </c>
      <c r="G95" s="113">
        <f>SUM(G96:G101)</f>
        <v>0</v>
      </c>
    </row>
    <row r="96" spans="1:7" ht="27" customHeight="1">
      <c r="A96" s="308">
        <v>57</v>
      </c>
      <c r="B96" s="71"/>
      <c r="C96" s="84"/>
      <c r="D96" s="316">
        <v>6060</v>
      </c>
      <c r="E96" s="314" t="s">
        <v>491</v>
      </c>
      <c r="F96" s="80">
        <f>12000-5400</f>
        <v>6600</v>
      </c>
      <c r="G96" s="79">
        <v>0</v>
      </c>
    </row>
    <row r="97" spans="1:7" ht="27" customHeight="1">
      <c r="A97" s="308">
        <v>58</v>
      </c>
      <c r="B97" s="71"/>
      <c r="C97" s="84"/>
      <c r="D97" s="316">
        <v>6060</v>
      </c>
      <c r="E97" s="314" t="s">
        <v>533</v>
      </c>
      <c r="F97" s="80">
        <v>5400</v>
      </c>
      <c r="G97" s="79">
        <v>0</v>
      </c>
    </row>
    <row r="98" spans="1:7" ht="27" customHeight="1">
      <c r="A98" s="308">
        <v>59</v>
      </c>
      <c r="B98" s="71"/>
      <c r="C98" s="84"/>
      <c r="D98" s="316">
        <v>6060</v>
      </c>
      <c r="E98" s="314" t="s">
        <v>492</v>
      </c>
      <c r="F98" s="80">
        <f>12000-2442</f>
        <v>9558</v>
      </c>
      <c r="G98" s="79">
        <v>0</v>
      </c>
    </row>
    <row r="99" spans="1:7" ht="27" customHeight="1">
      <c r="A99" s="308">
        <v>60</v>
      </c>
      <c r="B99" s="71"/>
      <c r="C99" s="84"/>
      <c r="D99" s="316">
        <v>6060</v>
      </c>
      <c r="E99" s="314" t="s">
        <v>493</v>
      </c>
      <c r="F99" s="80">
        <v>7000</v>
      </c>
      <c r="G99" s="79">
        <v>0</v>
      </c>
    </row>
    <row r="100" spans="1:7" ht="27.75" customHeight="1">
      <c r="A100" s="308">
        <v>61</v>
      </c>
      <c r="B100" s="71"/>
      <c r="C100" s="63"/>
      <c r="D100" s="316">
        <v>6060</v>
      </c>
      <c r="E100" s="314" t="s">
        <v>494</v>
      </c>
      <c r="F100" s="80">
        <f>6200-550</f>
        <v>5650</v>
      </c>
      <c r="G100" s="119">
        <v>0</v>
      </c>
    </row>
    <row r="101" spans="1:7" ht="27.75" customHeight="1">
      <c r="A101" s="308">
        <v>62</v>
      </c>
      <c r="B101" s="72"/>
      <c r="C101" s="63"/>
      <c r="D101" s="316">
        <v>6060</v>
      </c>
      <c r="E101" s="314" t="s">
        <v>495</v>
      </c>
      <c r="F101" s="80">
        <v>8000</v>
      </c>
      <c r="G101" s="119">
        <v>0</v>
      </c>
    </row>
    <row r="102" spans="1:7" s="259" customFormat="1" ht="27.75" customHeight="1">
      <c r="A102" s="300"/>
      <c r="B102" s="762"/>
      <c r="C102" s="64">
        <v>80195</v>
      </c>
      <c r="D102" s="763"/>
      <c r="E102" s="764" t="s">
        <v>379</v>
      </c>
      <c r="F102" s="106">
        <f>F103</f>
        <v>29999.7</v>
      </c>
      <c r="G102" s="106">
        <f>G103</f>
        <v>0</v>
      </c>
    </row>
    <row r="103" spans="1:7" ht="27.75" customHeight="1">
      <c r="A103" s="308"/>
      <c r="B103" s="317"/>
      <c r="C103" s="63"/>
      <c r="D103" s="759">
        <v>6050</v>
      </c>
      <c r="E103" s="765" t="s">
        <v>217</v>
      </c>
      <c r="F103" s="760">
        <v>29999.7</v>
      </c>
      <c r="G103" s="757">
        <v>0</v>
      </c>
    </row>
    <row r="104" spans="1:7" s="254" customFormat="1" ht="18.75" customHeight="1">
      <c r="A104" s="301"/>
      <c r="B104" s="317">
        <v>851</v>
      </c>
      <c r="C104" s="47"/>
      <c r="D104" s="318"/>
      <c r="E104" s="73" t="s">
        <v>391</v>
      </c>
      <c r="F104" s="108">
        <f>F105</f>
        <v>7500</v>
      </c>
      <c r="G104" s="111">
        <f>G105</f>
        <v>0</v>
      </c>
    </row>
    <row r="105" spans="1:7" s="259" customFormat="1" ht="19.5" customHeight="1">
      <c r="A105" s="257"/>
      <c r="B105" s="319"/>
      <c r="C105" s="64">
        <v>85154</v>
      </c>
      <c r="D105" s="257"/>
      <c r="E105" s="255" t="s">
        <v>496</v>
      </c>
      <c r="F105" s="106">
        <f>F106</f>
        <v>7500</v>
      </c>
      <c r="G105" s="126"/>
    </row>
    <row r="106" spans="1:7" ht="33.75" customHeight="1">
      <c r="A106" s="244">
        <v>63</v>
      </c>
      <c r="B106" s="114"/>
      <c r="C106" s="62"/>
      <c r="D106" s="248">
        <v>6220</v>
      </c>
      <c r="E106" s="53" t="s">
        <v>497</v>
      </c>
      <c r="F106" s="118">
        <v>7500</v>
      </c>
      <c r="G106" s="119">
        <v>0</v>
      </c>
    </row>
    <row r="107" spans="1:7" ht="20.25" customHeight="1">
      <c r="A107" s="244"/>
      <c r="B107" s="48">
        <v>852</v>
      </c>
      <c r="C107" s="47"/>
      <c r="D107" s="318"/>
      <c r="E107" s="73" t="s">
        <v>441</v>
      </c>
      <c r="F107" s="108">
        <f>F108</f>
        <v>55000</v>
      </c>
      <c r="G107" s="111">
        <f>G108</f>
        <v>0</v>
      </c>
    </row>
    <row r="108" spans="1:7" s="259" customFormat="1" ht="25.5" customHeight="1">
      <c r="A108" s="257"/>
      <c r="B108" s="51"/>
      <c r="C108" s="64">
        <v>85219</v>
      </c>
      <c r="D108" s="257"/>
      <c r="E108" s="255" t="s">
        <v>498</v>
      </c>
      <c r="F108" s="106">
        <f>F109+F110</f>
        <v>55000</v>
      </c>
      <c r="G108" s="126"/>
    </row>
    <row r="109" spans="1:7" ht="34.5" customHeight="1">
      <c r="A109" s="244">
        <v>64</v>
      </c>
      <c r="B109" s="114"/>
      <c r="C109" s="62"/>
      <c r="D109" s="248">
        <v>6050</v>
      </c>
      <c r="E109" s="53" t="s">
        <v>499</v>
      </c>
      <c r="F109" s="118">
        <v>15000</v>
      </c>
      <c r="G109" s="119">
        <v>0</v>
      </c>
    </row>
    <row r="110" spans="1:7" ht="34.5" customHeight="1">
      <c r="A110" s="244">
        <v>65</v>
      </c>
      <c r="B110" s="114"/>
      <c r="C110" s="62"/>
      <c r="D110" s="320">
        <v>6060</v>
      </c>
      <c r="E110" s="53" t="s">
        <v>309</v>
      </c>
      <c r="F110" s="118">
        <v>40000</v>
      </c>
      <c r="G110" s="119"/>
    </row>
    <row r="111" spans="1:7" ht="30" customHeight="1">
      <c r="A111" s="244"/>
      <c r="B111" s="46">
        <v>853</v>
      </c>
      <c r="C111" s="60"/>
      <c r="D111" s="320"/>
      <c r="E111" s="107" t="s">
        <v>402</v>
      </c>
      <c r="F111" s="108">
        <f>F112+F115</f>
        <v>908534.88</v>
      </c>
      <c r="G111" s="111">
        <f>G115</f>
        <v>0</v>
      </c>
    </row>
    <row r="112" spans="1:7" s="259" customFormat="1" ht="30" customHeight="1">
      <c r="A112" s="520"/>
      <c r="B112" s="52"/>
      <c r="C112" s="61">
        <v>85305</v>
      </c>
      <c r="D112" s="321"/>
      <c r="E112" s="75" t="s">
        <v>348</v>
      </c>
      <c r="F112" s="106">
        <f>F113+F114</f>
        <v>66553</v>
      </c>
      <c r="G112" s="113"/>
    </row>
    <row r="113" spans="1:7" ht="37.5" customHeight="1">
      <c r="A113" s="124">
        <v>66</v>
      </c>
      <c r="B113" s="46"/>
      <c r="C113" s="57"/>
      <c r="D113" s="320">
        <v>6050</v>
      </c>
      <c r="E113" s="527" t="s">
        <v>350</v>
      </c>
      <c r="F113" s="80">
        <v>2618</v>
      </c>
      <c r="G113" s="111"/>
    </row>
    <row r="114" spans="1:7" ht="38.25" customHeight="1">
      <c r="A114" s="124">
        <v>67</v>
      </c>
      <c r="B114" s="46"/>
      <c r="C114" s="57"/>
      <c r="D114" s="320">
        <v>6050</v>
      </c>
      <c r="E114" s="527" t="s">
        <v>349</v>
      </c>
      <c r="F114" s="80">
        <v>63935</v>
      </c>
      <c r="G114" s="111"/>
    </row>
    <row r="115" spans="1:7" ht="24" customHeight="1">
      <c r="A115" s="124"/>
      <c r="B115" s="46"/>
      <c r="C115" s="61">
        <v>85395</v>
      </c>
      <c r="D115" s="321"/>
      <c r="E115" s="75" t="s">
        <v>403</v>
      </c>
      <c r="F115" s="106">
        <f>SUM(F116:F119)</f>
        <v>841981.88</v>
      </c>
      <c r="G115" s="113">
        <f>SUM(G116:G119)</f>
        <v>0</v>
      </c>
    </row>
    <row r="116" spans="1:10" ht="34.5" customHeight="1">
      <c r="A116" s="938">
        <v>68</v>
      </c>
      <c r="B116" s="379"/>
      <c r="C116" s="84"/>
      <c r="D116" s="244">
        <v>6237</v>
      </c>
      <c r="E116" s="264" t="s">
        <v>354</v>
      </c>
      <c r="F116" s="80">
        <v>35684.6</v>
      </c>
      <c r="G116" s="113">
        <v>0</v>
      </c>
      <c r="J116" s="245"/>
    </row>
    <row r="117" spans="1:7" ht="34.5" customHeight="1">
      <c r="A117" s="939"/>
      <c r="B117" s="379"/>
      <c r="C117" s="84"/>
      <c r="D117" s="244">
        <v>6239</v>
      </c>
      <c r="E117" s="264" t="s">
        <v>354</v>
      </c>
      <c r="F117" s="80">
        <v>6297.28</v>
      </c>
      <c r="G117" s="113">
        <v>0</v>
      </c>
    </row>
    <row r="118" spans="1:7" ht="36.75" customHeight="1">
      <c r="A118" s="380">
        <v>69</v>
      </c>
      <c r="B118" s="71"/>
      <c r="C118" s="372"/>
      <c r="D118" s="320">
        <v>6237</v>
      </c>
      <c r="E118" s="53" t="s">
        <v>500</v>
      </c>
      <c r="F118" s="118">
        <v>680000</v>
      </c>
      <c r="G118" s="119">
        <v>0</v>
      </c>
    </row>
    <row r="119" spans="1:7" ht="31.5" customHeight="1">
      <c r="A119" s="322"/>
      <c r="B119" s="72"/>
      <c r="C119" s="371"/>
      <c r="D119" s="320">
        <v>6239</v>
      </c>
      <c r="E119" s="53" t="s">
        <v>500</v>
      </c>
      <c r="F119" s="118">
        <v>120000</v>
      </c>
      <c r="G119" s="119">
        <v>0</v>
      </c>
    </row>
    <row r="120" spans="1:7" ht="30" customHeight="1">
      <c r="A120" s="301"/>
      <c r="B120" s="72">
        <v>900</v>
      </c>
      <c r="C120" s="47"/>
      <c r="D120" s="296"/>
      <c r="E120" s="107" t="s">
        <v>392</v>
      </c>
      <c r="F120" s="108">
        <f>F121+F124+F126+F135</f>
        <v>25807173.18</v>
      </c>
      <c r="G120" s="111">
        <f>G121+G124+G126+G135</f>
        <v>5668191.52</v>
      </c>
    </row>
    <row r="121" spans="1:7" ht="21" customHeight="1">
      <c r="A121" s="301"/>
      <c r="B121" s="71"/>
      <c r="C121" s="54">
        <v>90002</v>
      </c>
      <c r="D121" s="300"/>
      <c r="E121" s="75" t="s">
        <v>404</v>
      </c>
      <c r="F121" s="106">
        <f>SUM(F122:F123)</f>
        <v>42000</v>
      </c>
      <c r="G121" s="113">
        <f>SUM(G122:G123)</f>
        <v>42000</v>
      </c>
    </row>
    <row r="122" spans="1:7" ht="36" customHeight="1">
      <c r="A122" s="244">
        <v>70</v>
      </c>
      <c r="B122" s="114"/>
      <c r="C122" s="46"/>
      <c r="D122" s="248">
        <v>6220</v>
      </c>
      <c r="E122" s="74" t="s">
        <v>405</v>
      </c>
      <c r="F122" s="275">
        <v>12000</v>
      </c>
      <c r="G122" s="323">
        <v>12000</v>
      </c>
    </row>
    <row r="123" spans="1:7" ht="36" customHeight="1">
      <c r="A123" s="244">
        <v>71</v>
      </c>
      <c r="B123" s="114"/>
      <c r="C123" s="72"/>
      <c r="D123" s="248">
        <v>6230</v>
      </c>
      <c r="E123" s="85" t="s">
        <v>405</v>
      </c>
      <c r="F123" s="275">
        <v>30000</v>
      </c>
      <c r="G123" s="323">
        <v>30000</v>
      </c>
    </row>
    <row r="124" spans="1:7" s="259" customFormat="1" ht="29.25" customHeight="1">
      <c r="A124" s="257"/>
      <c r="B124" s="51"/>
      <c r="C124" s="81">
        <v>90004</v>
      </c>
      <c r="D124" s="298"/>
      <c r="E124" s="332" t="s">
        <v>46</v>
      </c>
      <c r="F124" s="554">
        <f>F125</f>
        <v>25000</v>
      </c>
      <c r="G124" s="555"/>
    </row>
    <row r="125" spans="1:7" ht="36" customHeight="1">
      <c r="A125" s="244">
        <v>72</v>
      </c>
      <c r="B125" s="114"/>
      <c r="C125" s="72"/>
      <c r="D125" s="248">
        <v>6050</v>
      </c>
      <c r="E125" s="53" t="s">
        <v>298</v>
      </c>
      <c r="F125" s="275">
        <v>25000</v>
      </c>
      <c r="G125" s="323"/>
    </row>
    <row r="126" spans="1:7" ht="29.25" customHeight="1">
      <c r="A126" s="244"/>
      <c r="B126" s="54"/>
      <c r="C126" s="64">
        <v>90015</v>
      </c>
      <c r="D126" s="300"/>
      <c r="E126" s="75" t="s">
        <v>393</v>
      </c>
      <c r="F126" s="106">
        <f>SUM(F127:F134)</f>
        <v>3927025.01</v>
      </c>
      <c r="G126" s="113">
        <f>SUM(G127:G132)</f>
        <v>0</v>
      </c>
    </row>
    <row r="127" spans="1:7" ht="33" customHeight="1">
      <c r="A127" s="244">
        <v>73</v>
      </c>
      <c r="B127" s="55"/>
      <c r="C127" s="373"/>
      <c r="D127" s="307">
        <v>6050</v>
      </c>
      <c r="E127" s="324" t="s">
        <v>451</v>
      </c>
      <c r="F127" s="275">
        <v>1149.61</v>
      </c>
      <c r="G127" s="323">
        <v>0</v>
      </c>
    </row>
    <row r="128" spans="1:7" ht="24.75" customHeight="1">
      <c r="A128" s="244">
        <v>74</v>
      </c>
      <c r="B128" s="55"/>
      <c r="C128" s="373"/>
      <c r="D128" s="307">
        <v>6050</v>
      </c>
      <c r="E128" s="85" t="s">
        <v>452</v>
      </c>
      <c r="F128" s="275">
        <v>442.17</v>
      </c>
      <c r="G128" s="323">
        <v>0</v>
      </c>
    </row>
    <row r="129" spans="1:7" ht="28.5" customHeight="1">
      <c r="A129" s="244">
        <v>75</v>
      </c>
      <c r="B129" s="55"/>
      <c r="C129" s="62"/>
      <c r="D129" s="307">
        <v>6050</v>
      </c>
      <c r="E129" s="85" t="s">
        <v>556</v>
      </c>
      <c r="F129" s="275">
        <v>6000</v>
      </c>
      <c r="G129" s="323"/>
    </row>
    <row r="130" spans="1:7" ht="40.5" customHeight="1">
      <c r="A130" s="244">
        <v>76</v>
      </c>
      <c r="B130" s="55"/>
      <c r="C130" s="62"/>
      <c r="D130" s="307">
        <v>6050</v>
      </c>
      <c r="E130" s="85" t="s">
        <v>335</v>
      </c>
      <c r="F130" s="275">
        <v>20000</v>
      </c>
      <c r="G130" s="323"/>
    </row>
    <row r="131" spans="1:7" ht="36.75" customHeight="1">
      <c r="A131" s="244">
        <v>77</v>
      </c>
      <c r="B131" s="55"/>
      <c r="C131" s="62"/>
      <c r="D131" s="307">
        <v>6050</v>
      </c>
      <c r="E131" s="85" t="s">
        <v>305</v>
      </c>
      <c r="F131" s="275">
        <v>10000</v>
      </c>
      <c r="G131" s="323"/>
    </row>
    <row r="132" spans="1:10" ht="33.75" customHeight="1">
      <c r="A132" s="244">
        <v>78</v>
      </c>
      <c r="B132" s="55"/>
      <c r="C132" s="373"/>
      <c r="D132" s="307">
        <v>6050</v>
      </c>
      <c r="E132" s="85" t="s">
        <v>501</v>
      </c>
      <c r="F132" s="766">
        <f>3760327-2+1+10000+45000</f>
        <v>3815326</v>
      </c>
      <c r="G132" s="323">
        <v>0</v>
      </c>
      <c r="J132" s="245"/>
    </row>
    <row r="133" spans="1:10" ht="33.75" customHeight="1">
      <c r="A133" s="244"/>
      <c r="B133" s="55"/>
      <c r="C133" s="373"/>
      <c r="D133" s="754">
        <v>6060</v>
      </c>
      <c r="E133" s="767" t="s">
        <v>240</v>
      </c>
      <c r="F133" s="766">
        <v>55112.23</v>
      </c>
      <c r="G133" s="768"/>
      <c r="J133" s="245"/>
    </row>
    <row r="134" spans="1:10" ht="33.75" customHeight="1">
      <c r="A134" s="244">
        <v>79</v>
      </c>
      <c r="B134" s="55"/>
      <c r="C134" s="62"/>
      <c r="D134" s="248">
        <v>6060</v>
      </c>
      <c r="E134" s="85" t="s">
        <v>341</v>
      </c>
      <c r="F134" s="275">
        <v>18995</v>
      </c>
      <c r="G134" s="323"/>
      <c r="J134" s="245"/>
    </row>
    <row r="135" spans="1:7" ht="30.75" customHeight="1">
      <c r="A135" s="244" t="s">
        <v>358</v>
      </c>
      <c r="B135" s="54"/>
      <c r="C135" s="64">
        <v>90095</v>
      </c>
      <c r="D135" s="300"/>
      <c r="E135" s="75" t="s">
        <v>379</v>
      </c>
      <c r="F135" s="106">
        <f>SUM(F136:F147)</f>
        <v>21813148.17</v>
      </c>
      <c r="G135" s="113">
        <f>SUM(G136:G147)</f>
        <v>5626191.52</v>
      </c>
    </row>
    <row r="136" spans="1:9" s="315" customFormat="1" ht="33" customHeight="1">
      <c r="A136" s="282">
        <v>80</v>
      </c>
      <c r="B136" s="78"/>
      <c r="C136" s="373"/>
      <c r="D136" s="248">
        <v>6010</v>
      </c>
      <c r="E136" s="53" t="s">
        <v>502</v>
      </c>
      <c r="F136" s="80">
        <f>182470-11590</f>
        <v>170880</v>
      </c>
      <c r="G136" s="79">
        <f>175999-11590</f>
        <v>164409</v>
      </c>
      <c r="I136" s="525"/>
    </row>
    <row r="137" spans="1:7" s="315" customFormat="1" ht="32.25" customHeight="1">
      <c r="A137" s="282">
        <v>81</v>
      </c>
      <c r="B137" s="78"/>
      <c r="C137" s="373"/>
      <c r="D137" s="308">
        <v>6010</v>
      </c>
      <c r="E137" s="53" t="s">
        <v>503</v>
      </c>
      <c r="F137" s="80">
        <f>328000+3892000</f>
        <v>4220000</v>
      </c>
      <c r="G137" s="79">
        <v>328000</v>
      </c>
    </row>
    <row r="138" spans="1:7" s="315" customFormat="1" ht="32.25" customHeight="1">
      <c r="A138" s="282">
        <v>82</v>
      </c>
      <c r="B138" s="78"/>
      <c r="C138" s="373"/>
      <c r="D138" s="248">
        <v>6010</v>
      </c>
      <c r="E138" s="65" t="s">
        <v>545</v>
      </c>
      <c r="F138" s="80">
        <v>72254</v>
      </c>
      <c r="G138" s="79"/>
    </row>
    <row r="139" spans="1:7" s="315" customFormat="1" ht="32.25" customHeight="1">
      <c r="A139" s="282">
        <v>83</v>
      </c>
      <c r="B139" s="78"/>
      <c r="C139" s="373"/>
      <c r="D139" s="248">
        <v>6010</v>
      </c>
      <c r="E139" s="65" t="s">
        <v>555</v>
      </c>
      <c r="F139" s="80">
        <v>107746</v>
      </c>
      <c r="G139" s="79"/>
    </row>
    <row r="140" spans="1:7" s="315" customFormat="1" ht="32.25" customHeight="1">
      <c r="A140" s="282">
        <v>84</v>
      </c>
      <c r="B140" s="78"/>
      <c r="C140" s="373"/>
      <c r="D140" s="248">
        <v>6010</v>
      </c>
      <c r="E140" s="512" t="s">
        <v>554</v>
      </c>
      <c r="F140" s="80">
        <v>48000</v>
      </c>
      <c r="G140" s="79">
        <v>11590</v>
      </c>
    </row>
    <row r="141" spans="1:7" s="315" customFormat="1" ht="27" customHeight="1">
      <c r="A141" s="282">
        <v>85</v>
      </c>
      <c r="B141" s="78"/>
      <c r="C141" s="62"/>
      <c r="D141" s="248">
        <v>6050</v>
      </c>
      <c r="E141" s="53" t="s">
        <v>504</v>
      </c>
      <c r="F141" s="80">
        <f>200000-50000</f>
        <v>150000</v>
      </c>
      <c r="G141" s="79">
        <v>0</v>
      </c>
    </row>
    <row r="142" spans="1:7" ht="25.5" customHeight="1">
      <c r="A142" s="282">
        <v>86</v>
      </c>
      <c r="B142" s="122"/>
      <c r="C142" s="374"/>
      <c r="D142" s="248">
        <v>6050</v>
      </c>
      <c r="E142" s="65" t="s">
        <v>453</v>
      </c>
      <c r="F142" s="80">
        <f>500000+1476+3600000</f>
        <v>4101476</v>
      </c>
      <c r="G142" s="79">
        <v>500000</v>
      </c>
    </row>
    <row r="143" spans="1:7" ht="45.75" customHeight="1">
      <c r="A143" s="282">
        <v>87</v>
      </c>
      <c r="B143" s="122"/>
      <c r="C143" s="54"/>
      <c r="D143" s="248">
        <v>6050</v>
      </c>
      <c r="E143" s="53" t="s">
        <v>544</v>
      </c>
      <c r="F143" s="80">
        <v>15000</v>
      </c>
      <c r="G143" s="79">
        <v>15000</v>
      </c>
    </row>
    <row r="144" spans="1:7" ht="36.75" customHeight="1">
      <c r="A144" s="282">
        <v>88</v>
      </c>
      <c r="B144" s="122"/>
      <c r="C144" s="54"/>
      <c r="D144" s="248">
        <v>6050</v>
      </c>
      <c r="E144" s="593" t="s">
        <v>257</v>
      </c>
      <c r="F144" s="80">
        <v>180000</v>
      </c>
      <c r="G144" s="79"/>
    </row>
    <row r="145" spans="1:10" ht="29.25" customHeight="1">
      <c r="A145" s="282">
        <v>89</v>
      </c>
      <c r="B145" s="122"/>
      <c r="C145" s="374"/>
      <c r="D145" s="248">
        <v>6057</v>
      </c>
      <c r="E145" s="85" t="s">
        <v>505</v>
      </c>
      <c r="F145" s="275">
        <v>7482653.84</v>
      </c>
      <c r="G145" s="323"/>
      <c r="I145" s="245"/>
      <c r="J145" s="245"/>
    </row>
    <row r="146" spans="1:9" ht="22.5" customHeight="1">
      <c r="A146" s="282">
        <v>90</v>
      </c>
      <c r="B146" s="123"/>
      <c r="C146" s="375"/>
      <c r="D146" s="248">
        <v>6059</v>
      </c>
      <c r="E146" s="85" t="s">
        <v>505</v>
      </c>
      <c r="F146" s="275">
        <f>1320468.33+3544670</f>
        <v>4865138.33</v>
      </c>
      <c r="G146" s="592">
        <f>784794+3422398.52</f>
        <v>4207192.52</v>
      </c>
      <c r="I146" s="245"/>
    </row>
    <row r="147" spans="1:9" ht="30.75" customHeight="1">
      <c r="A147" s="244">
        <v>91</v>
      </c>
      <c r="B147" s="123"/>
      <c r="C147" s="59"/>
      <c r="D147" s="248">
        <v>6230</v>
      </c>
      <c r="E147" s="85" t="s">
        <v>454</v>
      </c>
      <c r="F147" s="275">
        <f>600000-200000</f>
        <v>400000</v>
      </c>
      <c r="G147" s="323">
        <f>600000-200000</f>
        <v>400000</v>
      </c>
      <c r="I147" s="245"/>
    </row>
    <row r="148" spans="1:7" s="254" customFormat="1" ht="27.75" customHeight="1">
      <c r="A148" s="301"/>
      <c r="B148" s="325">
        <v>921</v>
      </c>
      <c r="C148" s="325"/>
      <c r="D148" s="301"/>
      <c r="E148" s="326" t="s">
        <v>506</v>
      </c>
      <c r="F148" s="327">
        <f>F149</f>
        <v>1438930</v>
      </c>
      <c r="G148" s="328">
        <f>G149</f>
        <v>700000</v>
      </c>
    </row>
    <row r="149" spans="1:7" s="259" customFormat="1" ht="27" customHeight="1">
      <c r="A149" s="247" t="s">
        <v>358</v>
      </c>
      <c r="B149" s="329"/>
      <c r="C149" s="330">
        <v>92109</v>
      </c>
      <c r="D149" s="331"/>
      <c r="E149" s="332" t="s">
        <v>507</v>
      </c>
      <c r="F149" s="333">
        <f>SUM(F150:F152)</f>
        <v>1438930</v>
      </c>
      <c r="G149" s="334">
        <f>SUM(G150:G152)</f>
        <v>700000</v>
      </c>
    </row>
    <row r="150" spans="1:7" ht="35.25" customHeight="1">
      <c r="A150" s="244">
        <v>92</v>
      </c>
      <c r="B150" s="123"/>
      <c r="C150" s="376"/>
      <c r="D150" s="308">
        <v>6050</v>
      </c>
      <c r="E150" s="85" t="s">
        <v>508</v>
      </c>
      <c r="F150" s="275">
        <f>1428930-574386.1</f>
        <v>854543.9</v>
      </c>
      <c r="G150" s="323">
        <f>700000-350000</f>
        <v>350000</v>
      </c>
    </row>
    <row r="151" spans="1:7" ht="34.5" customHeight="1">
      <c r="A151" s="244">
        <v>93</v>
      </c>
      <c r="B151" s="123"/>
      <c r="C151" s="59"/>
      <c r="D151" s="308">
        <v>6220</v>
      </c>
      <c r="E151" s="85" t="s">
        <v>338</v>
      </c>
      <c r="F151" s="275">
        <v>10000</v>
      </c>
      <c r="G151" s="323"/>
    </row>
    <row r="152" spans="1:7" ht="40.5" customHeight="1">
      <c r="A152" s="282">
        <v>94</v>
      </c>
      <c r="B152" s="123"/>
      <c r="C152" s="59"/>
      <c r="D152" s="282">
        <v>6220</v>
      </c>
      <c r="E152" s="74" t="s">
        <v>509</v>
      </c>
      <c r="F152" s="275">
        <v>574386.1</v>
      </c>
      <c r="G152" s="323">
        <v>350000</v>
      </c>
    </row>
    <row r="153" spans="1:7" s="254" customFormat="1" ht="30.75" customHeight="1">
      <c r="A153" s="301"/>
      <c r="B153" s="86">
        <v>926</v>
      </c>
      <c r="C153" s="325"/>
      <c r="D153" s="301"/>
      <c r="E153" s="528" t="s">
        <v>339</v>
      </c>
      <c r="F153" s="529">
        <f>F154+F157</f>
        <v>612000</v>
      </c>
      <c r="G153" s="530"/>
    </row>
    <row r="154" spans="1:7" s="259" customFormat="1" ht="27.75" customHeight="1">
      <c r="A154" s="597"/>
      <c r="B154" s="329"/>
      <c r="C154" s="769">
        <v>92601</v>
      </c>
      <c r="D154" s="257"/>
      <c r="E154" s="75" t="s">
        <v>394</v>
      </c>
      <c r="F154" s="554">
        <f>SUM(F155:F156)</f>
        <v>170000</v>
      </c>
      <c r="G154" s="555"/>
    </row>
    <row r="155" spans="1:7" s="254" customFormat="1" ht="30.75" customHeight="1">
      <c r="A155" s="299"/>
      <c r="B155" s="596"/>
      <c r="C155" s="325"/>
      <c r="D155" s="308">
        <v>6050</v>
      </c>
      <c r="E155" s="74" t="s">
        <v>353</v>
      </c>
      <c r="F155" s="766">
        <v>60000</v>
      </c>
      <c r="G155" s="530"/>
    </row>
    <row r="156" spans="1:7" s="254" customFormat="1" ht="30.75" customHeight="1">
      <c r="A156" s="299"/>
      <c r="B156" s="596"/>
      <c r="C156" s="325"/>
      <c r="D156" s="308">
        <v>6050</v>
      </c>
      <c r="E156" s="74" t="s">
        <v>344</v>
      </c>
      <c r="F156" s="766">
        <v>110000</v>
      </c>
      <c r="G156" s="530"/>
    </row>
    <row r="157" spans="1:7" ht="29.25" customHeight="1">
      <c r="A157" s="288"/>
      <c r="B157" s="123"/>
      <c r="C157" s="770">
        <v>92604</v>
      </c>
      <c r="D157" s="244"/>
      <c r="E157" s="120" t="s">
        <v>340</v>
      </c>
      <c r="F157" s="275">
        <f>SUM(F158:F162)</f>
        <v>442000</v>
      </c>
      <c r="G157" s="323"/>
    </row>
    <row r="158" spans="1:7" ht="29.25" customHeight="1">
      <c r="A158" s="244">
        <v>95</v>
      </c>
      <c r="B158" s="123"/>
      <c r="C158" s="59"/>
      <c r="D158" s="308">
        <v>6050</v>
      </c>
      <c r="E158" s="74" t="s">
        <v>353</v>
      </c>
      <c r="F158" s="766"/>
      <c r="G158" s="323"/>
    </row>
    <row r="159" spans="1:7" ht="26.25" customHeight="1">
      <c r="A159" s="244">
        <v>96</v>
      </c>
      <c r="B159" s="123"/>
      <c r="C159" s="59"/>
      <c r="D159" s="308">
        <v>6050</v>
      </c>
      <c r="E159" s="74" t="s">
        <v>344</v>
      </c>
      <c r="F159" s="766"/>
      <c r="G159" s="323"/>
    </row>
    <row r="160" spans="1:7" ht="23.25" customHeight="1">
      <c r="A160" s="244">
        <v>97</v>
      </c>
      <c r="B160" s="123"/>
      <c r="C160" s="59"/>
      <c r="D160" s="308">
        <v>6050</v>
      </c>
      <c r="E160" s="74" t="s">
        <v>343</v>
      </c>
      <c r="F160" s="275">
        <v>180000</v>
      </c>
      <c r="G160" s="323"/>
    </row>
    <row r="161" spans="1:7" ht="23.25" customHeight="1">
      <c r="A161" s="244">
        <v>98</v>
      </c>
      <c r="B161" s="123"/>
      <c r="C161" s="59"/>
      <c r="D161" s="308">
        <v>6050</v>
      </c>
      <c r="E161" s="74" t="s">
        <v>304</v>
      </c>
      <c r="F161" s="275">
        <v>150000</v>
      </c>
      <c r="G161" s="323"/>
    </row>
    <row r="162" spans="1:7" ht="24" customHeight="1">
      <c r="A162" s="244">
        <v>99</v>
      </c>
      <c r="B162" s="123"/>
      <c r="C162" s="59"/>
      <c r="D162" s="244">
        <v>6060</v>
      </c>
      <c r="E162" s="120" t="s">
        <v>345</v>
      </c>
      <c r="F162" s="275">
        <v>112000</v>
      </c>
      <c r="G162" s="323"/>
    </row>
    <row r="163" spans="1:10" ht="30" customHeight="1">
      <c r="A163" s="244"/>
      <c r="B163" s="82" t="s">
        <v>395</v>
      </c>
      <c r="C163" s="83"/>
      <c r="D163" s="308"/>
      <c r="E163" s="335"/>
      <c r="F163" s="125">
        <f>F164+F177+F185+F188+F191+F181+F201+F205</f>
        <v>15392150</v>
      </c>
      <c r="G163" s="125">
        <f>G164+G177+G185+G188+G191+G181+G201+G205</f>
        <v>0</v>
      </c>
      <c r="J163" s="292"/>
    </row>
    <row r="164" spans="1:10" ht="26.25" customHeight="1">
      <c r="A164" s="301"/>
      <c r="B164" s="46">
        <v>600</v>
      </c>
      <c r="C164" s="47"/>
      <c r="D164" s="296"/>
      <c r="E164" s="107" t="s">
        <v>374</v>
      </c>
      <c r="F164" s="108">
        <f>F165</f>
        <v>12365850</v>
      </c>
      <c r="G164" s="111">
        <f>G165</f>
        <v>0</v>
      </c>
      <c r="J164" s="297"/>
    </row>
    <row r="165" spans="1:7" ht="27" customHeight="1">
      <c r="A165" s="244"/>
      <c r="B165" s="52"/>
      <c r="C165" s="64">
        <v>60015</v>
      </c>
      <c r="D165" s="298"/>
      <c r="E165" s="75" t="s">
        <v>396</v>
      </c>
      <c r="F165" s="106">
        <f>SUM(F166:F176)</f>
        <v>12365850</v>
      </c>
      <c r="G165" s="113">
        <f>SUM(G166:G176)</f>
        <v>0</v>
      </c>
    </row>
    <row r="166" spans="1:10" s="117" customFormat="1" ht="23.25" customHeight="1">
      <c r="A166" s="244">
        <v>100</v>
      </c>
      <c r="B166" s="55"/>
      <c r="C166" s="373"/>
      <c r="D166" s="248">
        <v>6050</v>
      </c>
      <c r="E166" s="74" t="s">
        <v>455</v>
      </c>
      <c r="F166" s="381">
        <f>3700000-3650000</f>
        <v>50000</v>
      </c>
      <c r="G166" s="323">
        <v>0</v>
      </c>
      <c r="J166" s="336"/>
    </row>
    <row r="167" spans="1:7" s="117" customFormat="1" ht="27.75" customHeight="1">
      <c r="A167" s="244">
        <v>101</v>
      </c>
      <c r="B167" s="55"/>
      <c r="C167" s="373"/>
      <c r="D167" s="248">
        <v>6050</v>
      </c>
      <c r="E167" s="53" t="s">
        <v>535</v>
      </c>
      <c r="F167" s="118">
        <f>5000+500000</f>
        <v>505000</v>
      </c>
      <c r="G167" s="119">
        <v>0</v>
      </c>
    </row>
    <row r="168" spans="1:7" s="117" customFormat="1" ht="27.75" customHeight="1">
      <c r="A168" s="244">
        <v>102</v>
      </c>
      <c r="B168" s="55"/>
      <c r="C168" s="378"/>
      <c r="D168" s="248">
        <v>6050</v>
      </c>
      <c r="E168" s="53" t="s">
        <v>550</v>
      </c>
      <c r="F168" s="118">
        <v>64000</v>
      </c>
      <c r="G168" s="119"/>
    </row>
    <row r="169" spans="1:7" s="117" customFormat="1" ht="27.75" customHeight="1">
      <c r="A169" s="244">
        <v>103</v>
      </c>
      <c r="B169" s="55"/>
      <c r="C169" s="378"/>
      <c r="D169" s="248">
        <v>6050</v>
      </c>
      <c r="E169" s="53" t="s">
        <v>310</v>
      </c>
      <c r="F169" s="118">
        <v>18450</v>
      </c>
      <c r="G169" s="119"/>
    </row>
    <row r="170" spans="1:7" s="117" customFormat="1" ht="40.5" customHeight="1">
      <c r="A170" s="244">
        <v>104</v>
      </c>
      <c r="B170" s="55"/>
      <c r="C170" s="378"/>
      <c r="D170" s="248">
        <v>6050</v>
      </c>
      <c r="E170" s="53" t="s">
        <v>324</v>
      </c>
      <c r="F170" s="118">
        <v>3000</v>
      </c>
      <c r="G170" s="119"/>
    </row>
    <row r="171" spans="1:7" s="117" customFormat="1" ht="32.25" customHeight="1">
      <c r="A171" s="244">
        <v>105</v>
      </c>
      <c r="B171" s="55"/>
      <c r="C171" s="378"/>
      <c r="D171" s="248">
        <v>6050</v>
      </c>
      <c r="E171" s="53" t="s">
        <v>553</v>
      </c>
      <c r="F171" s="118">
        <v>103000</v>
      </c>
      <c r="G171" s="119"/>
    </row>
    <row r="172" spans="1:7" s="117" customFormat="1" ht="33.75" customHeight="1">
      <c r="A172" s="244">
        <v>106</v>
      </c>
      <c r="B172" s="55"/>
      <c r="C172" s="378"/>
      <c r="D172" s="248">
        <v>6050</v>
      </c>
      <c r="E172" s="53" t="s">
        <v>331</v>
      </c>
      <c r="F172" s="118">
        <v>25000</v>
      </c>
      <c r="G172" s="119"/>
    </row>
    <row r="173" spans="1:7" s="117" customFormat="1" ht="27" customHeight="1">
      <c r="A173" s="244">
        <v>107</v>
      </c>
      <c r="B173" s="55"/>
      <c r="C173" s="378"/>
      <c r="D173" s="248">
        <v>6050</v>
      </c>
      <c r="E173" s="53" t="s">
        <v>342</v>
      </c>
      <c r="F173" s="118">
        <v>119400</v>
      </c>
      <c r="G173" s="119"/>
    </row>
    <row r="174" spans="1:7" s="117" customFormat="1" ht="24.75" customHeight="1">
      <c r="A174" s="244">
        <v>108</v>
      </c>
      <c r="B174" s="55"/>
      <c r="C174" s="378"/>
      <c r="D174" s="248">
        <v>6050</v>
      </c>
      <c r="E174" s="53" t="s">
        <v>301</v>
      </c>
      <c r="F174" s="118">
        <v>400000</v>
      </c>
      <c r="G174" s="119"/>
    </row>
    <row r="175" spans="1:7" s="117" customFormat="1" ht="24.75" customHeight="1">
      <c r="A175" s="244"/>
      <c r="B175" s="55"/>
      <c r="C175" s="378"/>
      <c r="D175" s="754">
        <v>6050</v>
      </c>
      <c r="E175" s="755" t="s">
        <v>236</v>
      </c>
      <c r="F175" s="756">
        <v>50000</v>
      </c>
      <c r="G175" s="757"/>
    </row>
    <row r="176" spans="1:7" s="117" customFormat="1" ht="23.25" customHeight="1">
      <c r="A176" s="244">
        <v>109</v>
      </c>
      <c r="B176" s="55"/>
      <c r="C176" s="62"/>
      <c r="D176" s="248">
        <v>6050</v>
      </c>
      <c r="E176" s="337" t="s">
        <v>510</v>
      </c>
      <c r="F176" s="323">
        <f>5000000+6528000-500000</f>
        <v>11028000</v>
      </c>
      <c r="G176" s="323"/>
    </row>
    <row r="177" spans="1:7" s="339" customFormat="1" ht="22.5" customHeight="1">
      <c r="A177" s="301"/>
      <c r="B177" s="48">
        <v>630</v>
      </c>
      <c r="C177" s="47"/>
      <c r="D177" s="318"/>
      <c r="E177" s="338" t="s">
        <v>511</v>
      </c>
      <c r="F177" s="328">
        <f>F178</f>
        <v>221000</v>
      </c>
      <c r="G177" s="328">
        <f>G178</f>
        <v>0</v>
      </c>
    </row>
    <row r="178" spans="1:7" s="342" customFormat="1" ht="21" customHeight="1">
      <c r="A178" s="247"/>
      <c r="B178" s="319"/>
      <c r="C178" s="64">
        <v>63095</v>
      </c>
      <c r="D178" s="340"/>
      <c r="E178" s="341" t="s">
        <v>379</v>
      </c>
      <c r="F178" s="334">
        <f>SUM(F179:F180)</f>
        <v>221000</v>
      </c>
      <c r="G178" s="334">
        <f>SUM(G180:G180)</f>
        <v>0</v>
      </c>
    </row>
    <row r="179" spans="1:7" s="533" customFormat="1" ht="30" customHeight="1">
      <c r="A179" s="253">
        <v>110</v>
      </c>
      <c r="B179" s="55"/>
      <c r="C179" s="373"/>
      <c r="D179" s="385">
        <v>6050</v>
      </c>
      <c r="E179" s="74" t="s">
        <v>337</v>
      </c>
      <c r="F179" s="387">
        <v>220000</v>
      </c>
      <c r="G179" s="387"/>
    </row>
    <row r="180" spans="1:9" s="117" customFormat="1" ht="28.5" customHeight="1">
      <c r="A180" s="244">
        <v>111</v>
      </c>
      <c r="B180" s="55"/>
      <c r="C180" s="373"/>
      <c r="D180" s="248">
        <v>6050</v>
      </c>
      <c r="E180" s="74" t="s">
        <v>512</v>
      </c>
      <c r="F180" s="323">
        <v>1000</v>
      </c>
      <c r="G180" s="323">
        <v>0</v>
      </c>
      <c r="I180" s="336"/>
    </row>
    <row r="181" spans="1:9" s="117" customFormat="1" ht="22.5" customHeight="1">
      <c r="A181" s="244"/>
      <c r="B181" s="48">
        <v>710</v>
      </c>
      <c r="C181" s="47"/>
      <c r="D181" s="318"/>
      <c r="E181" s="338" t="s">
        <v>380</v>
      </c>
      <c r="F181" s="328">
        <f>F182</f>
        <v>105000</v>
      </c>
      <c r="G181" s="328">
        <f>G182</f>
        <v>0</v>
      </c>
      <c r="I181" s="336"/>
    </row>
    <row r="182" spans="1:9" s="117" customFormat="1" ht="27" customHeight="1">
      <c r="A182" s="244"/>
      <c r="B182" s="319"/>
      <c r="C182" s="64">
        <v>71012</v>
      </c>
      <c r="D182" s="340"/>
      <c r="E182" s="341" t="s">
        <v>401</v>
      </c>
      <c r="F182" s="334">
        <f>SUM(F183:F184)</f>
        <v>105000</v>
      </c>
      <c r="G182" s="334">
        <f>SUM(G184:G184)</f>
        <v>0</v>
      </c>
      <c r="I182" s="336"/>
    </row>
    <row r="183" spans="1:9" s="533" customFormat="1" ht="36" customHeight="1">
      <c r="A183" s="244">
        <v>112</v>
      </c>
      <c r="B183" s="55"/>
      <c r="C183" s="62"/>
      <c r="D183" s="385">
        <v>6050</v>
      </c>
      <c r="E183" s="386" t="s">
        <v>542</v>
      </c>
      <c r="F183" s="387">
        <v>60000</v>
      </c>
      <c r="G183" s="387"/>
      <c r="I183" s="534"/>
    </row>
    <row r="184" spans="1:9" s="117" customFormat="1" ht="24.75" customHeight="1">
      <c r="A184" s="244">
        <v>113</v>
      </c>
      <c r="B184" s="55"/>
      <c r="C184" s="62"/>
      <c r="D184" s="248">
        <v>6060</v>
      </c>
      <c r="E184" s="74" t="s">
        <v>513</v>
      </c>
      <c r="F184" s="323">
        <v>45000</v>
      </c>
      <c r="G184" s="323">
        <v>0</v>
      </c>
      <c r="I184" s="336"/>
    </row>
    <row r="185" spans="1:12" s="49" customFormat="1" ht="24" customHeight="1">
      <c r="A185" s="301"/>
      <c r="B185" s="47">
        <v>754</v>
      </c>
      <c r="C185" s="47"/>
      <c r="D185" s="301"/>
      <c r="E185" s="77" t="s">
        <v>383</v>
      </c>
      <c r="F185" s="111">
        <f>F186</f>
        <v>400000</v>
      </c>
      <c r="G185" s="111">
        <f>G186</f>
        <v>0</v>
      </c>
      <c r="J185" s="45"/>
      <c r="K185" s="45"/>
      <c r="L185" s="3"/>
    </row>
    <row r="186" spans="1:12" s="49" customFormat="1" ht="24" customHeight="1">
      <c r="A186" s="244"/>
      <c r="B186" s="54"/>
      <c r="C186" s="64">
        <v>75411</v>
      </c>
      <c r="D186" s="331"/>
      <c r="E186" s="76" t="s">
        <v>397</v>
      </c>
      <c r="F186" s="113">
        <f>SUM(F187:F187)</f>
        <v>400000</v>
      </c>
      <c r="G186" s="113">
        <f>SUM(G187:G187)</f>
        <v>0</v>
      </c>
      <c r="I186" s="45"/>
      <c r="J186" s="45"/>
      <c r="K186" s="45"/>
      <c r="L186" s="3"/>
    </row>
    <row r="187" spans="1:12" s="49" customFormat="1" ht="58.5" customHeight="1">
      <c r="A187" s="282">
        <v>114</v>
      </c>
      <c r="B187" s="62"/>
      <c r="C187" s="63"/>
      <c r="D187" s="124">
        <v>6050</v>
      </c>
      <c r="E187" s="53" t="s">
        <v>456</v>
      </c>
      <c r="F187" s="79">
        <v>400000</v>
      </c>
      <c r="G187" s="79">
        <v>0</v>
      </c>
      <c r="I187" s="45"/>
      <c r="J187" s="45"/>
      <c r="K187" s="45"/>
      <c r="L187" s="3"/>
    </row>
    <row r="188" spans="1:7" ht="21" customHeight="1">
      <c r="A188" s="301"/>
      <c r="B188" s="47">
        <v>758</v>
      </c>
      <c r="C188" s="47"/>
      <c r="D188" s="296"/>
      <c r="E188" s="107" t="s">
        <v>385</v>
      </c>
      <c r="F188" s="108">
        <f>F189</f>
        <v>764200</v>
      </c>
      <c r="G188" s="111">
        <f>G189</f>
        <v>0</v>
      </c>
    </row>
    <row r="189" spans="1:7" ht="22.5" customHeight="1">
      <c r="A189" s="253"/>
      <c r="B189" s="50"/>
      <c r="C189" s="58">
        <v>75818</v>
      </c>
      <c r="D189" s="300"/>
      <c r="E189" s="76" t="s">
        <v>386</v>
      </c>
      <c r="F189" s="110">
        <f>F190</f>
        <v>764200</v>
      </c>
      <c r="G189" s="304">
        <f>G190</f>
        <v>0</v>
      </c>
    </row>
    <row r="190" spans="1:9" ht="21.75" customHeight="1">
      <c r="A190" s="253"/>
      <c r="B190" s="71"/>
      <c r="C190" s="63"/>
      <c r="D190" s="308">
        <v>6800</v>
      </c>
      <c r="E190" s="66" t="s">
        <v>387</v>
      </c>
      <c r="F190" s="758">
        <f>658000-500000+80500-16200-8100-50000+600000</f>
        <v>764200</v>
      </c>
      <c r="G190" s="119">
        <f>500000-500000</f>
        <v>0</v>
      </c>
      <c r="I190" s="245"/>
    </row>
    <row r="191" spans="1:7" ht="24.75" customHeight="1">
      <c r="A191" s="282"/>
      <c r="B191" s="46">
        <v>801</v>
      </c>
      <c r="C191" s="47"/>
      <c r="D191" s="301"/>
      <c r="E191" s="90" t="s">
        <v>388</v>
      </c>
      <c r="F191" s="108">
        <f>F192+F197</f>
        <v>126000</v>
      </c>
      <c r="G191" s="111">
        <f>G192+G197</f>
        <v>0</v>
      </c>
    </row>
    <row r="192" spans="1:7" s="259" customFormat="1" ht="25.5" customHeight="1">
      <c r="A192" s="343"/>
      <c r="B192" s="52"/>
      <c r="C192" s="310">
        <v>80120</v>
      </c>
      <c r="D192" s="257"/>
      <c r="E192" s="112" t="s">
        <v>514</v>
      </c>
      <c r="F192" s="106">
        <f>SUM(F193:F196)</f>
        <v>101953</v>
      </c>
      <c r="G192" s="113">
        <f>SUM(G193:G196)</f>
        <v>0</v>
      </c>
    </row>
    <row r="193" spans="1:7" s="315" customFormat="1" ht="24.75" customHeight="1">
      <c r="A193" s="244">
        <v>115</v>
      </c>
      <c r="B193" s="55"/>
      <c r="C193" s="68"/>
      <c r="D193" s="307">
        <v>6050</v>
      </c>
      <c r="E193" s="344" t="s">
        <v>515</v>
      </c>
      <c r="F193" s="80">
        <v>45000</v>
      </c>
      <c r="G193" s="79">
        <v>0</v>
      </c>
    </row>
    <row r="194" spans="1:7" s="315" customFormat="1" ht="24" customHeight="1">
      <c r="A194" s="244">
        <v>116</v>
      </c>
      <c r="B194" s="55"/>
      <c r="C194" s="62"/>
      <c r="D194" s="312">
        <v>6050</v>
      </c>
      <c r="E194" s="314" t="s">
        <v>516</v>
      </c>
      <c r="F194" s="80">
        <v>50000</v>
      </c>
      <c r="G194" s="79">
        <v>0</v>
      </c>
    </row>
    <row r="195" spans="1:7" s="315" customFormat="1" ht="27.75" customHeight="1">
      <c r="A195" s="244">
        <v>117</v>
      </c>
      <c r="B195" s="55"/>
      <c r="C195" s="62"/>
      <c r="D195" s="312">
        <v>6060</v>
      </c>
      <c r="E195" s="314" t="s">
        <v>517</v>
      </c>
      <c r="F195" s="80">
        <v>1953</v>
      </c>
      <c r="G195" s="79">
        <v>0</v>
      </c>
    </row>
    <row r="196" spans="1:7" s="315" customFormat="1" ht="24.75" customHeight="1">
      <c r="A196" s="244">
        <v>118</v>
      </c>
      <c r="B196" s="55"/>
      <c r="C196" s="56"/>
      <c r="D196" s="307">
        <v>6060</v>
      </c>
      <c r="E196" s="344" t="s">
        <v>518</v>
      </c>
      <c r="F196" s="80">
        <v>5000</v>
      </c>
      <c r="G196" s="79">
        <v>0</v>
      </c>
    </row>
    <row r="197" spans="1:7" s="315" customFormat="1" ht="20.25" customHeight="1">
      <c r="A197" s="244"/>
      <c r="B197" s="63"/>
      <c r="C197" s="84">
        <v>80130</v>
      </c>
      <c r="D197" s="257"/>
      <c r="E197" s="112" t="s">
        <v>519</v>
      </c>
      <c r="F197" s="106">
        <f>SUM(F198:F200)</f>
        <v>24047</v>
      </c>
      <c r="G197" s="113">
        <f>SUM(G198:G200)</f>
        <v>0</v>
      </c>
    </row>
    <row r="198" spans="1:7" s="315" customFormat="1" ht="29.25" customHeight="1">
      <c r="A198" s="244">
        <v>119</v>
      </c>
      <c r="B198" s="78"/>
      <c r="C198" s="52"/>
      <c r="D198" s="312">
        <v>6060</v>
      </c>
      <c r="E198" s="314" t="s">
        <v>520</v>
      </c>
      <c r="F198" s="80">
        <v>6000</v>
      </c>
      <c r="G198" s="79">
        <v>0</v>
      </c>
    </row>
    <row r="199" spans="1:7" s="315" customFormat="1" ht="34.5" customHeight="1">
      <c r="A199" s="244">
        <v>120</v>
      </c>
      <c r="B199" s="78"/>
      <c r="C199" s="54"/>
      <c r="D199" s="312">
        <v>6060</v>
      </c>
      <c r="E199" s="314" t="s">
        <v>517</v>
      </c>
      <c r="F199" s="80">
        <v>8047</v>
      </c>
      <c r="G199" s="79">
        <v>0</v>
      </c>
    </row>
    <row r="200" spans="1:7" s="315" customFormat="1" ht="26.25" customHeight="1">
      <c r="A200" s="244">
        <v>121</v>
      </c>
      <c r="B200" s="78"/>
      <c r="C200" s="56"/>
      <c r="D200" s="312">
        <v>6060</v>
      </c>
      <c r="E200" s="314" t="s">
        <v>521</v>
      </c>
      <c r="F200" s="80">
        <v>10000</v>
      </c>
      <c r="G200" s="79">
        <v>0</v>
      </c>
    </row>
    <row r="201" spans="1:7" s="254" customFormat="1" ht="25.5" customHeight="1">
      <c r="A201" s="301"/>
      <c r="B201" s="47">
        <v>854</v>
      </c>
      <c r="C201" s="256"/>
      <c r="D201" s="345"/>
      <c r="E201" s="346" t="s">
        <v>522</v>
      </c>
      <c r="F201" s="108">
        <f>F202</f>
        <v>65300</v>
      </c>
      <c r="G201" s="111">
        <f>G202</f>
        <v>0</v>
      </c>
    </row>
    <row r="202" spans="1:7" s="259" customFormat="1" ht="24.75" customHeight="1">
      <c r="A202" s="257"/>
      <c r="B202" s="84"/>
      <c r="C202" s="61">
        <v>85403</v>
      </c>
      <c r="D202" s="347"/>
      <c r="E202" s="348" t="s">
        <v>523</v>
      </c>
      <c r="F202" s="106">
        <f>F203+F204</f>
        <v>65300</v>
      </c>
      <c r="G202" s="113">
        <f>G204</f>
        <v>0</v>
      </c>
    </row>
    <row r="203" spans="1:7" s="315" customFormat="1" ht="24.75" customHeight="1">
      <c r="A203" s="244">
        <v>122</v>
      </c>
      <c r="B203" s="63"/>
      <c r="C203" s="57"/>
      <c r="D203" s="531">
        <v>6060</v>
      </c>
      <c r="E203" s="532" t="s">
        <v>480</v>
      </c>
      <c r="F203" s="80">
        <v>53000</v>
      </c>
      <c r="G203" s="79"/>
    </row>
    <row r="204" spans="1:7" s="315" customFormat="1" ht="24" customHeight="1">
      <c r="A204" s="244">
        <v>123</v>
      </c>
      <c r="B204" s="63"/>
      <c r="C204" s="57"/>
      <c r="D204" s="316">
        <v>6060</v>
      </c>
      <c r="E204" s="314" t="s">
        <v>524</v>
      </c>
      <c r="F204" s="80">
        <v>12300</v>
      </c>
      <c r="G204" s="79">
        <v>0</v>
      </c>
    </row>
    <row r="205" spans="1:7" ht="20.25" customHeight="1">
      <c r="A205" s="301"/>
      <c r="B205" s="47">
        <v>926</v>
      </c>
      <c r="C205" s="47"/>
      <c r="D205" s="296"/>
      <c r="E205" s="107" t="s">
        <v>400</v>
      </c>
      <c r="F205" s="108">
        <f>F206</f>
        <v>1344800</v>
      </c>
      <c r="G205" s="111">
        <f>G206</f>
        <v>0</v>
      </c>
    </row>
    <row r="206" spans="1:7" ht="24" customHeight="1">
      <c r="A206" s="349"/>
      <c r="B206" s="50"/>
      <c r="C206" s="58">
        <v>92601</v>
      </c>
      <c r="D206" s="300"/>
      <c r="E206" s="75" t="s">
        <v>394</v>
      </c>
      <c r="F206" s="106">
        <f>SUM(F207:F207)</f>
        <v>1344800</v>
      </c>
      <c r="G206" s="113">
        <f>SUM(G207:G207)</f>
        <v>0</v>
      </c>
    </row>
    <row r="207" spans="1:7" ht="29.25" customHeight="1">
      <c r="A207" s="350">
        <v>124</v>
      </c>
      <c r="B207" s="70"/>
      <c r="C207" s="372"/>
      <c r="D207" s="124">
        <v>6050</v>
      </c>
      <c r="E207" s="65" t="s">
        <v>525</v>
      </c>
      <c r="F207" s="80">
        <v>1344800</v>
      </c>
      <c r="G207" s="79">
        <v>0</v>
      </c>
    </row>
    <row r="208" spans="1:10" ht="28.5" customHeight="1">
      <c r="A208" s="301"/>
      <c r="B208" s="115" t="s">
        <v>367</v>
      </c>
      <c r="C208" s="86"/>
      <c r="D208" s="351"/>
      <c r="E208" s="352"/>
      <c r="F208" s="125">
        <f>F14+F163</f>
        <v>60257244.81</v>
      </c>
      <c r="G208" s="125">
        <f>G14+G163</f>
        <v>8868191.52</v>
      </c>
      <c r="I208" s="295"/>
      <c r="J208" s="295"/>
    </row>
    <row r="209" spans="1:10" ht="21.75" customHeight="1">
      <c r="A209" s="276"/>
      <c r="B209" s="35"/>
      <c r="C209" s="35"/>
      <c r="D209" s="276"/>
      <c r="F209" s="260"/>
      <c r="G209" s="260"/>
      <c r="I209" s="297"/>
      <c r="J209" s="297"/>
    </row>
    <row r="210" spans="1:10" ht="22.5" customHeight="1">
      <c r="A210" s="276"/>
      <c r="B210" s="34"/>
      <c r="C210" s="34"/>
      <c r="D210" s="276"/>
      <c r="F210" s="266"/>
      <c r="G210" s="266"/>
      <c r="I210" s="245"/>
      <c r="J210" s="273"/>
    </row>
    <row r="211" spans="1:10" ht="12.75">
      <c r="A211" s="276"/>
      <c r="B211" s="34"/>
      <c r="C211" s="34"/>
      <c r="D211" s="276"/>
      <c r="F211" s="266"/>
      <c r="G211" s="266"/>
      <c r="H211" s="245"/>
      <c r="I211" s="245"/>
      <c r="J211" s="245"/>
    </row>
    <row r="212" spans="6:10" ht="12.75">
      <c r="F212" s="249"/>
      <c r="G212" s="265"/>
      <c r="I212" s="245"/>
      <c r="J212" s="245"/>
    </row>
    <row r="213" spans="6:10" ht="12.75">
      <c r="F213" s="261"/>
      <c r="G213" s="265"/>
      <c r="I213" s="245"/>
      <c r="J213" s="245"/>
    </row>
    <row r="214" spans="6:10" ht="12.75">
      <c r="F214" s="265"/>
      <c r="G214" s="265"/>
      <c r="I214" s="245"/>
      <c r="J214" s="245"/>
    </row>
    <row r="215" spans="6:10" ht="12.75">
      <c r="F215" s="265"/>
      <c r="G215" s="265"/>
      <c r="I215" s="245"/>
      <c r="J215" s="245"/>
    </row>
    <row r="216" spans="6:7" ht="12.75">
      <c r="F216" s="265"/>
      <c r="G216" s="265"/>
    </row>
    <row r="217" spans="6:7" ht="12.75">
      <c r="F217" s="265"/>
      <c r="G217" s="265"/>
    </row>
    <row r="218" spans="6:7" ht="12.75">
      <c r="F218" s="265"/>
      <c r="G218" s="265"/>
    </row>
    <row r="219" spans="6:7" ht="12.75">
      <c r="F219" s="265"/>
      <c r="G219" s="265"/>
    </row>
    <row r="220" spans="6:7" ht="12.75">
      <c r="F220" s="265"/>
      <c r="G220" s="265"/>
    </row>
    <row r="221" spans="6:7" ht="12.75">
      <c r="F221" s="265"/>
      <c r="G221" s="265"/>
    </row>
    <row r="222" spans="6:7" ht="12.75">
      <c r="F222" s="265"/>
      <c r="G222" s="265"/>
    </row>
    <row r="223" spans="6:7" ht="12.75">
      <c r="F223" s="265"/>
      <c r="G223" s="265"/>
    </row>
  </sheetData>
  <sheetProtection/>
  <mergeCells count="1">
    <mergeCell ref="A116:A117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395" customWidth="1"/>
    <col min="8" max="8" width="18.140625" style="395" customWidth="1"/>
    <col min="9" max="9" width="23.00390625" style="395" customWidth="1"/>
    <col min="10" max="10" width="33.140625" style="243" customWidth="1"/>
    <col min="11" max="11" width="18.140625" style="151" customWidth="1"/>
    <col min="12" max="12" width="15.7109375" style="151" customWidth="1"/>
    <col min="13" max="13" width="10.140625" style="151" bestFit="1" customWidth="1"/>
    <col min="14" max="14" width="9.140625" style="151" customWidth="1"/>
    <col min="15" max="16384" width="9.140625" style="2" customWidth="1"/>
  </cols>
  <sheetData>
    <row r="1" spans="3:4" ht="20.25">
      <c r="C1" s="393" t="s">
        <v>557</v>
      </c>
      <c r="D1" s="394"/>
    </row>
    <row r="2" spans="3:4" ht="18.75">
      <c r="C2" s="396" t="s">
        <v>258</v>
      </c>
      <c r="D2" s="394"/>
    </row>
    <row r="3" spans="3:4" ht="18.75">
      <c r="C3" s="396" t="s">
        <v>439</v>
      </c>
      <c r="D3" s="394"/>
    </row>
    <row r="4" spans="3:4" ht="18.75">
      <c r="C4" s="151" t="s">
        <v>259</v>
      </c>
      <c r="D4" s="394"/>
    </row>
    <row r="5" spans="3:4" ht="18.75">
      <c r="C5" s="394"/>
      <c r="D5" s="394"/>
    </row>
    <row r="6" spans="1:13" ht="18.75">
      <c r="A6" s="394"/>
      <c r="B6" s="394"/>
      <c r="C6" s="394"/>
      <c r="D6" s="394"/>
      <c r="E6" s="394"/>
      <c r="F6" s="394"/>
      <c r="G6" s="397"/>
      <c r="H6" s="397"/>
      <c r="I6" s="397"/>
      <c r="J6" s="398"/>
      <c r="K6" s="399"/>
      <c r="L6" s="399"/>
      <c r="M6" s="399"/>
    </row>
    <row r="7" spans="1:13" ht="20.25">
      <c r="A7" s="394"/>
      <c r="B7" s="400" t="s">
        <v>558</v>
      </c>
      <c r="C7" s="394"/>
      <c r="D7" s="394"/>
      <c r="E7" s="394"/>
      <c r="F7" s="394"/>
      <c r="G7" s="397"/>
      <c r="H7" s="397"/>
      <c r="I7" s="397"/>
      <c r="J7" s="398"/>
      <c r="K7" s="399"/>
      <c r="L7" s="399"/>
      <c r="M7" s="399"/>
    </row>
    <row r="8" spans="1:13" ht="20.25">
      <c r="A8" s="401"/>
      <c r="B8" s="400" t="s">
        <v>559</v>
      </c>
      <c r="C8" s="5"/>
      <c r="D8" s="6"/>
      <c r="E8" s="5"/>
      <c r="F8" s="5"/>
      <c r="G8" s="402"/>
      <c r="H8" s="402"/>
      <c r="I8" s="402"/>
      <c r="J8" s="403"/>
      <c r="K8" s="7"/>
      <c r="L8" s="399"/>
      <c r="M8" s="399"/>
    </row>
    <row r="9" spans="1:13" ht="20.25">
      <c r="A9" s="401"/>
      <c r="B9" s="400" t="s">
        <v>560</v>
      </c>
      <c r="C9" s="5"/>
      <c r="D9" s="6"/>
      <c r="E9" s="5"/>
      <c r="F9" s="5"/>
      <c r="G9" s="402"/>
      <c r="H9" s="402"/>
      <c r="I9" s="402"/>
      <c r="J9" s="403"/>
      <c r="K9" s="7"/>
      <c r="L9" s="399"/>
      <c r="M9" s="399"/>
    </row>
    <row r="10" spans="1:13" ht="18.75">
      <c r="A10" s="401"/>
      <c r="B10" s="23"/>
      <c r="C10" s="23"/>
      <c r="D10" s="404"/>
      <c r="E10" s="5"/>
      <c r="F10" s="5"/>
      <c r="G10" s="402"/>
      <c r="H10" s="402"/>
      <c r="I10" s="402"/>
      <c r="J10" s="403"/>
      <c r="K10" s="7"/>
      <c r="L10" s="399"/>
      <c r="M10" s="399"/>
    </row>
    <row r="11" spans="1:13" ht="18.75">
      <c r="A11" s="401"/>
      <c r="B11" s="5"/>
      <c r="C11" s="5"/>
      <c r="D11" s="6"/>
      <c r="E11" s="5"/>
      <c r="F11" s="405" t="s">
        <v>368</v>
      </c>
      <c r="G11" s="402"/>
      <c r="H11" s="402"/>
      <c r="I11" s="402"/>
      <c r="J11" s="403"/>
      <c r="K11" s="7"/>
      <c r="L11" s="399"/>
      <c r="M11" s="399"/>
    </row>
    <row r="12" spans="1:13" ht="29.25" customHeight="1">
      <c r="A12" s="406"/>
      <c r="B12" s="407"/>
      <c r="C12" s="407"/>
      <c r="D12" s="408"/>
      <c r="E12" s="409" t="s">
        <v>561</v>
      </c>
      <c r="F12" s="410"/>
      <c r="G12" s="402"/>
      <c r="H12" s="402"/>
      <c r="I12" s="402"/>
      <c r="J12" s="403"/>
      <c r="K12" s="7"/>
      <c r="L12" s="399"/>
      <c r="M12" s="399"/>
    </row>
    <row r="13" spans="1:14" s="420" customFormat="1" ht="41.25" customHeight="1">
      <c r="A13" s="411" t="s">
        <v>562</v>
      </c>
      <c r="B13" s="412" t="s">
        <v>563</v>
      </c>
      <c r="C13" s="413" t="s">
        <v>564</v>
      </c>
      <c r="D13" s="413" t="s">
        <v>565</v>
      </c>
      <c r="E13" s="414" t="s">
        <v>566</v>
      </c>
      <c r="F13" s="389" t="s">
        <v>567</v>
      </c>
      <c r="G13" s="415"/>
      <c r="H13" s="416"/>
      <c r="I13" s="417"/>
      <c r="J13" s="425"/>
      <c r="K13" s="7"/>
      <c r="L13" s="418"/>
      <c r="M13" s="418"/>
      <c r="N13" s="419"/>
    </row>
    <row r="14" spans="1:14" s="420" customFormat="1" ht="27.75" customHeight="1">
      <c r="A14" s="421" t="s">
        <v>568</v>
      </c>
      <c r="B14" s="422"/>
      <c r="C14" s="423"/>
      <c r="D14" s="423"/>
      <c r="E14" s="424">
        <f>E17+E23+E26+E29+E32+E35+E38+E44+E53+E56+E59+E62</f>
        <v>457931.41000000003</v>
      </c>
      <c r="F14" s="424">
        <f>F17+F20+F23+F26+F29+F32+F35+F38+F41+F44+F47+F50+F53+F56+F59+F62</f>
        <v>3557513.16</v>
      </c>
      <c r="G14" s="415"/>
      <c r="H14" s="416">
        <f>E14+F14</f>
        <v>4015444.5700000003</v>
      </c>
      <c r="I14" s="416"/>
      <c r="J14" s="425"/>
      <c r="K14" s="7"/>
      <c r="L14" s="418"/>
      <c r="M14" s="418"/>
      <c r="N14" s="419"/>
    </row>
    <row r="15" spans="1:13" s="49" customFormat="1" ht="39" customHeight="1">
      <c r="A15" s="426">
        <v>1</v>
      </c>
      <c r="B15" s="427" t="s">
        <v>569</v>
      </c>
      <c r="C15" s="428" t="s">
        <v>570</v>
      </c>
      <c r="D15" s="429"/>
      <c r="E15" s="430"/>
      <c r="F15" s="431"/>
      <c r="G15" s="432"/>
      <c r="H15" s="416"/>
      <c r="I15" s="433">
        <f>E14+E63</f>
        <v>474386.23000000004</v>
      </c>
      <c r="J15" s="425"/>
      <c r="K15" s="434"/>
      <c r="L15" s="435"/>
      <c r="M15" s="435"/>
    </row>
    <row r="16" spans="1:13" s="49" customFormat="1" ht="54.75" customHeight="1">
      <c r="A16" s="436"/>
      <c r="B16" s="264" t="s">
        <v>571</v>
      </c>
      <c r="C16" s="437"/>
      <c r="D16" s="438"/>
      <c r="E16" s="439"/>
      <c r="F16" s="440"/>
      <c r="G16" s="432"/>
      <c r="H16" s="416"/>
      <c r="I16" s="433">
        <v>4991435.61</v>
      </c>
      <c r="J16" s="425"/>
      <c r="K16" s="434"/>
      <c r="L16" s="435"/>
      <c r="M16" s="435"/>
    </row>
    <row r="17" spans="1:13" s="49" customFormat="1" ht="50.25" customHeight="1">
      <c r="A17" s="441"/>
      <c r="B17" s="264" t="s">
        <v>572</v>
      </c>
      <c r="C17" s="442"/>
      <c r="D17" s="443" t="s">
        <v>573</v>
      </c>
      <c r="E17" s="444">
        <f>39150.99+2631+4824.79</f>
        <v>46606.78</v>
      </c>
      <c r="F17" s="445">
        <f>221855.51+14909+27340.47</f>
        <v>264104.98</v>
      </c>
      <c r="G17" s="432"/>
      <c r="H17" s="416"/>
      <c r="I17" s="416">
        <f>SUM(I15:I16)</f>
        <v>5465821.840000001</v>
      </c>
      <c r="J17" s="425"/>
      <c r="K17" s="434"/>
      <c r="L17" s="435"/>
      <c r="M17" s="435"/>
    </row>
    <row r="18" spans="1:13" s="49" customFormat="1" ht="50.25" customHeight="1">
      <c r="A18" s="446">
        <v>2</v>
      </c>
      <c r="B18" s="427" t="s">
        <v>569</v>
      </c>
      <c r="C18" s="447" t="s">
        <v>574</v>
      </c>
      <c r="D18" s="448"/>
      <c r="E18" s="431"/>
      <c r="F18" s="431"/>
      <c r="G18" s="432"/>
      <c r="H18" s="416"/>
      <c r="I18" s="433"/>
      <c r="J18" s="425"/>
      <c r="K18" s="434"/>
      <c r="L18" s="435"/>
      <c r="M18" s="435"/>
    </row>
    <row r="19" spans="1:13" s="49" customFormat="1" ht="42.75" customHeight="1">
      <c r="A19" s="436"/>
      <c r="B19" s="449" t="s">
        <v>575</v>
      </c>
      <c r="C19" s="450"/>
      <c r="D19" s="451"/>
      <c r="E19" s="440"/>
      <c r="F19" s="440"/>
      <c r="G19" s="432"/>
      <c r="H19" s="416"/>
      <c r="I19" s="433"/>
      <c r="J19" s="425"/>
      <c r="K19" s="434"/>
      <c r="L19" s="435"/>
      <c r="M19" s="435"/>
    </row>
    <row r="20" spans="1:13" s="49" customFormat="1" ht="57" customHeight="1">
      <c r="A20" s="441"/>
      <c r="B20" s="449" t="s">
        <v>576</v>
      </c>
      <c r="C20" s="452"/>
      <c r="D20" s="443" t="s">
        <v>577</v>
      </c>
      <c r="E20" s="445" t="s">
        <v>578</v>
      </c>
      <c r="F20" s="445">
        <v>9180</v>
      </c>
      <c r="G20" s="432"/>
      <c r="H20" s="416"/>
      <c r="I20" s="433"/>
      <c r="J20" s="425"/>
      <c r="K20" s="434"/>
      <c r="L20" s="435"/>
      <c r="M20" s="435"/>
    </row>
    <row r="21" spans="1:13" s="49" customFormat="1" ht="44.25" customHeight="1">
      <c r="A21" s="446">
        <v>3</v>
      </c>
      <c r="B21" s="427" t="s">
        <v>569</v>
      </c>
      <c r="C21" s="447" t="s">
        <v>579</v>
      </c>
      <c r="D21" s="448"/>
      <c r="E21" s="431"/>
      <c r="F21" s="431"/>
      <c r="G21" s="432"/>
      <c r="H21" s="416"/>
      <c r="I21" s="433"/>
      <c r="J21" s="425"/>
      <c r="K21" s="434"/>
      <c r="L21" s="435"/>
      <c r="M21" s="435"/>
    </row>
    <row r="22" spans="1:13" s="49" customFormat="1" ht="35.25" customHeight="1">
      <c r="A22" s="436"/>
      <c r="B22" s="449" t="s">
        <v>580</v>
      </c>
      <c r="C22" s="450"/>
      <c r="D22" s="451"/>
      <c r="E22" s="440"/>
      <c r="F22" s="440"/>
      <c r="G22" s="432"/>
      <c r="H22" s="416"/>
      <c r="I22" s="433"/>
      <c r="J22" s="425"/>
      <c r="K22" s="434"/>
      <c r="L22" s="435"/>
      <c r="M22" s="435"/>
    </row>
    <row r="23" spans="1:13" s="49" customFormat="1" ht="48" customHeight="1">
      <c r="A23" s="441"/>
      <c r="B23" s="449" t="s">
        <v>581</v>
      </c>
      <c r="C23" s="452"/>
      <c r="D23" s="438" t="s">
        <v>577</v>
      </c>
      <c r="E23" s="453">
        <v>100</v>
      </c>
      <c r="F23" s="440">
        <f>11200+1636.6</f>
        <v>12836.6</v>
      </c>
      <c r="G23" s="432"/>
      <c r="H23" s="416"/>
      <c r="I23" s="433"/>
      <c r="J23" s="425"/>
      <c r="K23" s="434"/>
      <c r="L23" s="435"/>
      <c r="M23" s="435"/>
    </row>
    <row r="24" spans="1:13" s="49" customFormat="1" ht="45" customHeight="1">
      <c r="A24" s="426">
        <v>4</v>
      </c>
      <c r="B24" s="427" t="s">
        <v>569</v>
      </c>
      <c r="C24" s="428" t="s">
        <v>570</v>
      </c>
      <c r="D24" s="454"/>
      <c r="E24" s="431"/>
      <c r="F24" s="431"/>
      <c r="G24" s="432"/>
      <c r="H24" s="416"/>
      <c r="I24" s="433"/>
      <c r="J24" s="425"/>
      <c r="K24" s="434"/>
      <c r="L24" s="435"/>
      <c r="M24" s="435"/>
    </row>
    <row r="25" spans="1:13" s="49" customFormat="1" ht="51" customHeight="1">
      <c r="A25" s="436"/>
      <c r="B25" s="264" t="s">
        <v>582</v>
      </c>
      <c r="C25" s="437"/>
      <c r="D25" s="455"/>
      <c r="E25" s="440"/>
      <c r="F25" s="440"/>
      <c r="G25" s="432"/>
      <c r="H25" s="416"/>
      <c r="I25" s="433"/>
      <c r="J25" s="425"/>
      <c r="K25" s="434"/>
      <c r="L25" s="435"/>
      <c r="M25" s="435"/>
    </row>
    <row r="26" spans="1:13" s="49" customFormat="1" ht="42" customHeight="1">
      <c r="A26" s="436"/>
      <c r="B26" s="264" t="s">
        <v>583</v>
      </c>
      <c r="C26" s="442"/>
      <c r="D26" s="456" t="s">
        <v>577</v>
      </c>
      <c r="E26" s="445">
        <f>33849.9+12291.56+4869.12</f>
        <v>51010.58</v>
      </c>
      <c r="F26" s="445">
        <f>191816.1+69652.08+27591.79</f>
        <v>289059.97</v>
      </c>
      <c r="G26" s="432"/>
      <c r="H26" s="416"/>
      <c r="I26" s="433"/>
      <c r="J26" s="425"/>
      <c r="K26" s="434"/>
      <c r="L26" s="435"/>
      <c r="M26" s="435"/>
    </row>
    <row r="27" spans="1:13" s="49" customFormat="1" ht="41.25" customHeight="1">
      <c r="A27" s="426">
        <v>5</v>
      </c>
      <c r="B27" s="427" t="s">
        <v>569</v>
      </c>
      <c r="C27" s="428" t="s">
        <v>570</v>
      </c>
      <c r="D27" s="454"/>
      <c r="E27" s="431"/>
      <c r="F27" s="431"/>
      <c r="G27" s="432"/>
      <c r="H27" s="416"/>
      <c r="I27" s="433"/>
      <c r="J27" s="425"/>
      <c r="K27" s="434"/>
      <c r="L27" s="435"/>
      <c r="M27" s="435"/>
    </row>
    <row r="28" spans="1:13" s="49" customFormat="1" ht="74.25" customHeight="1">
      <c r="A28" s="436"/>
      <c r="B28" s="264" t="s">
        <v>584</v>
      </c>
      <c r="C28" s="437"/>
      <c r="D28" s="455"/>
      <c r="E28" s="440"/>
      <c r="F28" s="440"/>
      <c r="G28" s="432"/>
      <c r="H28" s="416"/>
      <c r="I28" s="433"/>
      <c r="J28" s="425"/>
      <c r="K28" s="434"/>
      <c r="L28" s="435"/>
      <c r="M28" s="435"/>
    </row>
    <row r="29" spans="1:13" s="49" customFormat="1" ht="42" customHeight="1">
      <c r="A29" s="436"/>
      <c r="B29" s="264" t="s">
        <v>585</v>
      </c>
      <c r="C29" s="442"/>
      <c r="D29" s="456" t="s">
        <v>577</v>
      </c>
      <c r="E29" s="445">
        <f>26352.02-105+7828.32</f>
        <v>34075.34</v>
      </c>
      <c r="F29" s="445">
        <f>149328.08-595+44360.45</f>
        <v>193093.52999999997</v>
      </c>
      <c r="G29" s="432"/>
      <c r="H29" s="416"/>
      <c r="I29" s="433"/>
      <c r="J29" s="425"/>
      <c r="K29" s="434"/>
      <c r="L29" s="435"/>
      <c r="M29" s="435"/>
    </row>
    <row r="30" spans="1:13" s="49" customFormat="1" ht="39" customHeight="1">
      <c r="A30" s="426">
        <v>6</v>
      </c>
      <c r="B30" s="427" t="s">
        <v>569</v>
      </c>
      <c r="C30" s="457" t="s">
        <v>570</v>
      </c>
      <c r="D30" s="455"/>
      <c r="E30" s="440"/>
      <c r="F30" s="440"/>
      <c r="G30" s="432"/>
      <c r="H30" s="416"/>
      <c r="I30" s="433"/>
      <c r="J30" s="425"/>
      <c r="K30" s="434"/>
      <c r="L30" s="435"/>
      <c r="M30" s="435"/>
    </row>
    <row r="31" spans="1:13" s="49" customFormat="1" ht="42" customHeight="1">
      <c r="A31" s="436"/>
      <c r="B31" s="264" t="s">
        <v>586</v>
      </c>
      <c r="C31" s="458"/>
      <c r="D31" s="455"/>
      <c r="E31" s="440"/>
      <c r="F31" s="440"/>
      <c r="G31" s="432"/>
      <c r="H31" s="416"/>
      <c r="I31" s="433"/>
      <c r="J31" s="425"/>
      <c r="K31" s="434"/>
      <c r="L31" s="435"/>
      <c r="M31" s="435"/>
    </row>
    <row r="32" spans="1:13" s="49" customFormat="1" ht="39" customHeight="1">
      <c r="A32" s="436"/>
      <c r="B32" s="459" t="s">
        <v>587</v>
      </c>
      <c r="C32" s="458"/>
      <c r="D32" s="456" t="s">
        <v>588</v>
      </c>
      <c r="E32" s="440">
        <f>65500.65+2325+1126.08</f>
        <v>68951.73</v>
      </c>
      <c r="F32" s="440">
        <f>371170.35+13175+6381.08</f>
        <v>390726.43</v>
      </c>
      <c r="G32" s="432"/>
      <c r="H32" s="416">
        <f>E32+F32</f>
        <v>459678.16</v>
      </c>
      <c r="I32" s="433"/>
      <c r="J32" s="425"/>
      <c r="K32" s="434"/>
      <c r="L32" s="435"/>
      <c r="M32" s="435"/>
    </row>
    <row r="33" spans="1:13" s="49" customFormat="1" ht="42" customHeight="1">
      <c r="A33" s="426">
        <v>7</v>
      </c>
      <c r="B33" s="427" t="s">
        <v>569</v>
      </c>
      <c r="C33" s="460" t="s">
        <v>570</v>
      </c>
      <c r="D33" s="429"/>
      <c r="E33" s="431"/>
      <c r="F33" s="461"/>
      <c r="G33" s="432"/>
      <c r="H33" s="416"/>
      <c r="I33" s="433"/>
      <c r="J33" s="425"/>
      <c r="K33" s="434"/>
      <c r="L33" s="435"/>
      <c r="M33" s="435"/>
    </row>
    <row r="34" spans="1:13" s="49" customFormat="1" ht="42" customHeight="1">
      <c r="A34" s="436"/>
      <c r="B34" s="264" t="s">
        <v>589</v>
      </c>
      <c r="C34" s="437"/>
      <c r="D34" s="438"/>
      <c r="E34" s="440"/>
      <c r="F34" s="462"/>
      <c r="G34" s="432"/>
      <c r="H34" s="416"/>
      <c r="I34" s="433"/>
      <c r="J34" s="425"/>
      <c r="K34" s="434"/>
      <c r="L34" s="435"/>
      <c r="M34" s="435"/>
    </row>
    <row r="35" spans="1:13" s="49" customFormat="1" ht="42" customHeight="1">
      <c r="A35" s="441"/>
      <c r="B35" s="264" t="s">
        <v>591</v>
      </c>
      <c r="C35" s="442"/>
      <c r="D35" s="456" t="s">
        <v>577</v>
      </c>
      <c r="E35" s="445">
        <f>89821.42+17767.11+6515.9</f>
        <v>114104.43</v>
      </c>
      <c r="F35" s="535">
        <f>508988.03+116185.96+21417.76</f>
        <v>646591.75</v>
      </c>
      <c r="G35" s="432"/>
      <c r="H35" s="416"/>
      <c r="I35" s="433"/>
      <c r="J35" s="425"/>
      <c r="K35" s="434"/>
      <c r="L35" s="435"/>
      <c r="M35" s="435"/>
    </row>
    <row r="36" spans="1:13" s="49" customFormat="1" ht="42.75" customHeight="1">
      <c r="A36" s="446">
        <v>8</v>
      </c>
      <c r="B36" s="427" t="s">
        <v>569</v>
      </c>
      <c r="C36" s="463" t="s">
        <v>592</v>
      </c>
      <c r="D36" s="455"/>
      <c r="E36" s="440"/>
      <c r="F36" s="440"/>
      <c r="G36" s="432"/>
      <c r="H36" s="416"/>
      <c r="I36" s="433"/>
      <c r="J36" s="425"/>
      <c r="K36" s="434"/>
      <c r="L36" s="435"/>
      <c r="M36" s="435"/>
    </row>
    <row r="37" spans="1:13" s="49" customFormat="1" ht="35.25" customHeight="1">
      <c r="A37" s="436"/>
      <c r="B37" s="464" t="s">
        <v>593</v>
      </c>
      <c r="C37" s="450"/>
      <c r="D37" s="465"/>
      <c r="E37" s="440"/>
      <c r="F37" s="440"/>
      <c r="G37" s="432"/>
      <c r="H37" s="416"/>
      <c r="I37" s="433"/>
      <c r="J37" s="425"/>
      <c r="K37" s="434"/>
      <c r="L37" s="435"/>
      <c r="M37" s="435"/>
    </row>
    <row r="38" spans="1:13" s="49" customFormat="1" ht="86.25" customHeight="1">
      <c r="A38" s="441"/>
      <c r="B38" s="464" t="s">
        <v>594</v>
      </c>
      <c r="C38" s="452"/>
      <c r="D38" s="466" t="s">
        <v>577</v>
      </c>
      <c r="E38" s="445">
        <v>495.24</v>
      </c>
      <c r="F38" s="445">
        <f>158591.88+7209.46</f>
        <v>165801.34</v>
      </c>
      <c r="G38" s="432"/>
      <c r="H38" s="416"/>
      <c r="I38" s="433"/>
      <c r="J38" s="425"/>
      <c r="K38" s="434"/>
      <c r="L38" s="435"/>
      <c r="M38" s="435"/>
    </row>
    <row r="39" spans="1:13" s="49" customFormat="1" ht="54" customHeight="1">
      <c r="A39" s="426">
        <v>9</v>
      </c>
      <c r="B39" s="467" t="s">
        <v>595</v>
      </c>
      <c r="C39" s="447" t="s">
        <v>579</v>
      </c>
      <c r="D39" s="454"/>
      <c r="E39" s="431"/>
      <c r="F39" s="431"/>
      <c r="G39" s="432"/>
      <c r="H39" s="416"/>
      <c r="I39" s="433"/>
      <c r="J39" s="425"/>
      <c r="K39" s="434"/>
      <c r="L39" s="435"/>
      <c r="M39" s="435"/>
    </row>
    <row r="40" spans="1:13" s="49" customFormat="1" ht="52.5" customHeight="1">
      <c r="A40" s="436"/>
      <c r="B40" s="464" t="s">
        <v>596</v>
      </c>
      <c r="C40" s="450"/>
      <c r="D40" s="465"/>
      <c r="E40" s="440"/>
      <c r="F40" s="440"/>
      <c r="G40" s="432"/>
      <c r="H40" s="416"/>
      <c r="I40" s="433"/>
      <c r="J40" s="425"/>
      <c r="K40" s="434"/>
      <c r="L40" s="435"/>
      <c r="M40" s="435"/>
    </row>
    <row r="41" spans="1:13" s="49" customFormat="1" ht="58.5" customHeight="1">
      <c r="A41" s="441"/>
      <c r="B41" s="464" t="s">
        <v>597</v>
      </c>
      <c r="C41" s="452"/>
      <c r="D41" s="466" t="s">
        <v>577</v>
      </c>
      <c r="E41" s="445"/>
      <c r="F41" s="445">
        <f>6768+13243.58</f>
        <v>20011.58</v>
      </c>
      <c r="G41" s="432"/>
      <c r="H41" s="416"/>
      <c r="I41" s="468"/>
      <c r="J41" s="425"/>
      <c r="K41" s="434"/>
      <c r="L41" s="435"/>
      <c r="M41" s="435"/>
    </row>
    <row r="42" spans="1:13" s="49" customFormat="1" ht="39" customHeight="1">
      <c r="A42" s="446">
        <v>10</v>
      </c>
      <c r="B42" s="427" t="s">
        <v>569</v>
      </c>
      <c r="C42" s="447" t="s">
        <v>579</v>
      </c>
      <c r="D42" s="448"/>
      <c r="E42" s="431"/>
      <c r="F42" s="431"/>
      <c r="G42" s="432"/>
      <c r="H42" s="416"/>
      <c r="I42" s="468"/>
      <c r="J42" s="425"/>
      <c r="K42" s="434"/>
      <c r="L42" s="435"/>
      <c r="M42" s="435"/>
    </row>
    <row r="43" spans="1:13" s="49" customFormat="1" ht="75" customHeight="1">
      <c r="A43" s="436"/>
      <c r="B43" s="449" t="s">
        <v>0</v>
      </c>
      <c r="C43" s="450"/>
      <c r="D43" s="451"/>
      <c r="E43" s="440"/>
      <c r="F43" s="440"/>
      <c r="G43" s="432"/>
      <c r="H43" s="416"/>
      <c r="I43" s="468"/>
      <c r="J43" s="425"/>
      <c r="K43" s="434"/>
      <c r="L43" s="435"/>
      <c r="M43" s="435"/>
    </row>
    <row r="44" spans="1:13" s="49" customFormat="1" ht="42" customHeight="1">
      <c r="A44" s="441"/>
      <c r="B44" s="449" t="s">
        <v>1</v>
      </c>
      <c r="C44" s="452"/>
      <c r="D44" s="443" t="s">
        <v>577</v>
      </c>
      <c r="E44" s="445">
        <f>22000+53.28</f>
        <v>22053.28</v>
      </c>
      <c r="F44" s="445">
        <f>54580+6699.28</f>
        <v>61279.28</v>
      </c>
      <c r="G44" s="432"/>
      <c r="H44" s="416"/>
      <c r="I44" s="468"/>
      <c r="J44" s="425"/>
      <c r="K44" s="434"/>
      <c r="L44" s="435"/>
      <c r="M44" s="435"/>
    </row>
    <row r="45" spans="1:13" s="49" customFormat="1" ht="56.25" customHeight="1">
      <c r="A45" s="426">
        <v>11</v>
      </c>
      <c r="B45" s="427" t="s">
        <v>569</v>
      </c>
      <c r="C45" s="469" t="s">
        <v>3</v>
      </c>
      <c r="D45" s="429"/>
      <c r="E45" s="431"/>
      <c r="F45" s="431"/>
      <c r="G45" s="432"/>
      <c r="H45" s="416"/>
      <c r="I45" s="468"/>
      <c r="J45" s="425"/>
      <c r="K45" s="434"/>
      <c r="L45" s="435"/>
      <c r="M45" s="435"/>
    </row>
    <row r="46" spans="1:13" s="49" customFormat="1" ht="60.75" customHeight="1">
      <c r="A46" s="436"/>
      <c r="B46" s="449" t="s">
        <v>4</v>
      </c>
      <c r="C46" s="437"/>
      <c r="D46" s="438"/>
      <c r="E46" s="440"/>
      <c r="F46" s="440"/>
      <c r="G46" s="432"/>
      <c r="H46" s="416"/>
      <c r="I46" s="468"/>
      <c r="J46" s="425"/>
      <c r="K46" s="434"/>
      <c r="L46" s="435"/>
      <c r="M46" s="435"/>
    </row>
    <row r="47" spans="1:13" s="49" customFormat="1" ht="38.25" customHeight="1">
      <c r="A47" s="441"/>
      <c r="B47" s="449" t="s">
        <v>5</v>
      </c>
      <c r="C47" s="442"/>
      <c r="D47" s="438" t="s">
        <v>6</v>
      </c>
      <c r="E47" s="440" t="s">
        <v>578</v>
      </c>
      <c r="F47" s="440">
        <f>422070+15020.34</f>
        <v>437090.34</v>
      </c>
      <c r="G47" s="432"/>
      <c r="H47" s="416"/>
      <c r="I47" s="468"/>
      <c r="J47" s="425"/>
      <c r="K47" s="434"/>
      <c r="L47" s="435"/>
      <c r="M47" s="435"/>
    </row>
    <row r="48" spans="1:13" s="49" customFormat="1" ht="38.25" customHeight="1">
      <c r="A48" s="426">
        <v>12</v>
      </c>
      <c r="B48" s="427" t="s">
        <v>569</v>
      </c>
      <c r="C48" s="469" t="s">
        <v>7</v>
      </c>
      <c r="D48" s="429"/>
      <c r="E48" s="430"/>
      <c r="F48" s="431"/>
      <c r="G48" s="432"/>
      <c r="H48" s="416"/>
      <c r="I48" s="468"/>
      <c r="J48" s="425"/>
      <c r="K48" s="434"/>
      <c r="L48" s="435"/>
      <c r="M48" s="435"/>
    </row>
    <row r="49" spans="1:13" s="49" customFormat="1" ht="91.5" customHeight="1">
      <c r="A49" s="436"/>
      <c r="B49" s="449" t="s">
        <v>8</v>
      </c>
      <c r="C49" s="437"/>
      <c r="D49" s="438"/>
      <c r="E49" s="439"/>
      <c r="F49" s="440"/>
      <c r="G49" s="432"/>
      <c r="H49" s="416"/>
      <c r="I49" s="468"/>
      <c r="J49" s="425"/>
      <c r="K49" s="434"/>
      <c r="L49" s="435"/>
      <c r="M49" s="435"/>
    </row>
    <row r="50" spans="1:13" s="49" customFormat="1" ht="42.75" customHeight="1">
      <c r="A50" s="441"/>
      <c r="B50" s="449" t="s">
        <v>9</v>
      </c>
      <c r="C50" s="442"/>
      <c r="D50" s="443" t="s">
        <v>10</v>
      </c>
      <c r="E50" s="445" t="s">
        <v>578</v>
      </c>
      <c r="F50" s="771">
        <f>192024+17733.92-10684</f>
        <v>199073.91999999998</v>
      </c>
      <c r="G50" s="432"/>
      <c r="H50" s="416"/>
      <c r="I50" s="468"/>
      <c r="J50" s="425"/>
      <c r="K50" s="434"/>
      <c r="L50" s="435"/>
      <c r="M50" s="435"/>
    </row>
    <row r="51" spans="1:13" s="49" customFormat="1" ht="56.25" customHeight="1">
      <c r="A51" s="426">
        <v>13</v>
      </c>
      <c r="B51" s="470" t="s">
        <v>569</v>
      </c>
      <c r="C51" s="447" t="s">
        <v>579</v>
      </c>
      <c r="D51" s="429"/>
      <c r="E51" s="430"/>
      <c r="F51" s="431"/>
      <c r="G51" s="432"/>
      <c r="H51" s="416"/>
      <c r="I51" s="433"/>
      <c r="J51" s="425"/>
      <c r="K51" s="434"/>
      <c r="L51" s="435"/>
      <c r="M51" s="435"/>
    </row>
    <row r="52" spans="1:13" s="49" customFormat="1" ht="112.5" customHeight="1">
      <c r="A52" s="436"/>
      <c r="B52" s="449" t="s">
        <v>11</v>
      </c>
      <c r="C52" s="437"/>
      <c r="D52" s="438"/>
      <c r="E52" s="439"/>
      <c r="F52" s="440"/>
      <c r="G52" s="432"/>
      <c r="H52" s="416"/>
      <c r="I52" s="433"/>
      <c r="J52" s="425"/>
      <c r="K52" s="434"/>
      <c r="L52" s="435"/>
      <c r="M52" s="435"/>
    </row>
    <row r="53" spans="1:13" s="49" customFormat="1" ht="30" customHeight="1">
      <c r="A53" s="436"/>
      <c r="B53" s="471" t="s">
        <v>12</v>
      </c>
      <c r="C53" s="458"/>
      <c r="D53" s="438">
        <v>2014</v>
      </c>
      <c r="E53" s="439"/>
      <c r="F53" s="440">
        <v>67969.54</v>
      </c>
      <c r="G53" s="432"/>
      <c r="H53" s="416"/>
      <c r="I53" s="433"/>
      <c r="J53" s="425"/>
      <c r="K53" s="434"/>
      <c r="L53" s="435"/>
      <c r="M53" s="435"/>
    </row>
    <row r="54" spans="1:13" s="49" customFormat="1" ht="55.5" customHeight="1">
      <c r="A54" s="426">
        <v>14</v>
      </c>
      <c r="B54" s="472" t="s">
        <v>595</v>
      </c>
      <c r="C54" s="457" t="s">
        <v>13</v>
      </c>
      <c r="D54" s="429"/>
      <c r="E54" s="431"/>
      <c r="F54" s="431"/>
      <c r="G54" s="432"/>
      <c r="H54" s="416"/>
      <c r="I54" s="433"/>
      <c r="J54" s="425"/>
      <c r="K54" s="434"/>
      <c r="L54" s="435"/>
      <c r="M54" s="435"/>
    </row>
    <row r="55" spans="1:13" s="49" customFormat="1" ht="39.75" customHeight="1">
      <c r="A55" s="436"/>
      <c r="B55" s="449" t="s">
        <v>14</v>
      </c>
      <c r="C55" s="458"/>
      <c r="D55" s="438"/>
      <c r="E55" s="440"/>
      <c r="F55" s="440"/>
      <c r="G55" s="432"/>
      <c r="H55" s="416"/>
      <c r="I55" s="433"/>
      <c r="J55" s="425"/>
      <c r="K55" s="434"/>
      <c r="L55" s="435"/>
      <c r="M55" s="435"/>
    </row>
    <row r="56" spans="1:13" s="49" customFormat="1" ht="45.75" customHeight="1">
      <c r="A56" s="441"/>
      <c r="B56" s="449" t="s">
        <v>15</v>
      </c>
      <c r="C56" s="442"/>
      <c r="D56" s="438" t="s">
        <v>10</v>
      </c>
      <c r="E56" s="440">
        <v>0</v>
      </c>
      <c r="F56" s="440">
        <f>42742.4+13182.16</f>
        <v>55924.56</v>
      </c>
      <c r="G56" s="432"/>
      <c r="H56" s="416"/>
      <c r="I56" s="433"/>
      <c r="J56" s="425"/>
      <c r="K56" s="434"/>
      <c r="L56" s="435"/>
      <c r="M56" s="435"/>
    </row>
    <row r="57" spans="1:13" s="49" customFormat="1" ht="42" customHeight="1">
      <c r="A57" s="426">
        <v>15</v>
      </c>
      <c r="B57" s="427" t="s">
        <v>569</v>
      </c>
      <c r="C57" s="473" t="s">
        <v>570</v>
      </c>
      <c r="D57" s="429"/>
      <c r="E57" s="430"/>
      <c r="F57" s="431"/>
      <c r="G57" s="432"/>
      <c r="H57" s="416"/>
      <c r="I57" s="433"/>
      <c r="J57" s="425"/>
      <c r="K57" s="434"/>
      <c r="L57" s="435"/>
      <c r="M57" s="435"/>
    </row>
    <row r="58" spans="1:13" s="49" customFormat="1" ht="54.75" customHeight="1">
      <c r="A58" s="436"/>
      <c r="B58" s="264" t="s">
        <v>16</v>
      </c>
      <c r="C58" s="437"/>
      <c r="D58" s="438"/>
      <c r="E58" s="439"/>
      <c r="F58" s="440"/>
      <c r="G58" s="432"/>
      <c r="H58" s="416"/>
      <c r="I58" s="433"/>
      <c r="J58" s="425"/>
      <c r="K58" s="434"/>
      <c r="L58" s="435"/>
      <c r="M58" s="435"/>
    </row>
    <row r="59" spans="1:13" s="49" customFormat="1" ht="45.75" customHeight="1">
      <c r="A59" s="441"/>
      <c r="B59" s="264" t="s">
        <v>318</v>
      </c>
      <c r="C59" s="442"/>
      <c r="D59" s="443" t="s">
        <v>17</v>
      </c>
      <c r="E59" s="444">
        <f>125690.25-5156.22</f>
        <v>120534.03</v>
      </c>
      <c r="F59" s="445">
        <f>712244.78-29218.6</f>
        <v>683026.18</v>
      </c>
      <c r="G59" s="432"/>
      <c r="H59" s="416"/>
      <c r="I59" s="433"/>
      <c r="J59" s="425"/>
      <c r="K59" s="434"/>
      <c r="L59" s="435"/>
      <c r="M59" s="435"/>
    </row>
    <row r="60" spans="1:13" s="49" customFormat="1" ht="45.75" customHeight="1">
      <c r="A60" s="426">
        <v>16</v>
      </c>
      <c r="B60" s="427" t="s">
        <v>569</v>
      </c>
      <c r="C60" s="447" t="s">
        <v>579</v>
      </c>
      <c r="D60" s="454"/>
      <c r="E60" s="431"/>
      <c r="F60" s="431"/>
      <c r="G60" s="432"/>
      <c r="H60" s="416"/>
      <c r="I60" s="433"/>
      <c r="J60" s="425"/>
      <c r="K60" s="434"/>
      <c r="L60" s="435"/>
      <c r="M60" s="435"/>
    </row>
    <row r="61" spans="1:13" s="49" customFormat="1" ht="98.25" customHeight="1">
      <c r="A61" s="436"/>
      <c r="B61" s="264" t="s">
        <v>18</v>
      </c>
      <c r="C61" s="450"/>
      <c r="D61" s="465"/>
      <c r="E61" s="440"/>
      <c r="F61" s="440"/>
      <c r="G61" s="432"/>
      <c r="H61" s="416"/>
      <c r="I61" s="433"/>
      <c r="J61" s="425"/>
      <c r="K61" s="434"/>
      <c r="L61" s="435"/>
      <c r="M61" s="435"/>
    </row>
    <row r="62" spans="1:13" s="49" customFormat="1" ht="45.75" customHeight="1">
      <c r="A62" s="441"/>
      <c r="B62" s="264" t="s">
        <v>19</v>
      </c>
      <c r="C62" s="452"/>
      <c r="D62" s="474">
        <v>2014</v>
      </c>
      <c r="E62" s="445"/>
      <c r="F62" s="445">
        <v>61743.16</v>
      </c>
      <c r="G62" s="432"/>
      <c r="H62" s="416"/>
      <c r="I62" s="433"/>
      <c r="J62" s="425"/>
      <c r="K62" s="434"/>
      <c r="L62" s="435"/>
      <c r="M62" s="435"/>
    </row>
    <row r="63" spans="1:11" ht="36.75" customHeight="1">
      <c r="A63" s="475" t="s">
        <v>20</v>
      </c>
      <c r="B63" s="476"/>
      <c r="C63" s="477"/>
      <c r="D63" s="478"/>
      <c r="E63" s="479">
        <f>E66+E69+E72+E75</f>
        <v>16454.82</v>
      </c>
      <c r="F63" s="479">
        <f>F66+F69+F72+F75</f>
        <v>462679.64</v>
      </c>
      <c r="H63" s="416"/>
      <c r="I63" s="480"/>
      <c r="J63" s="260"/>
      <c r="K63" s="481"/>
    </row>
    <row r="64" spans="1:9" ht="45" customHeight="1">
      <c r="A64" s="446">
        <v>1</v>
      </c>
      <c r="B64" s="472" t="s">
        <v>595</v>
      </c>
      <c r="C64" s="482" t="s">
        <v>21</v>
      </c>
      <c r="D64" s="454"/>
      <c r="E64" s="483"/>
      <c r="F64" s="484"/>
      <c r="H64" s="416"/>
      <c r="I64" s="433"/>
    </row>
    <row r="65" spans="1:9" ht="45.75" customHeight="1">
      <c r="A65" s="436"/>
      <c r="B65" s="449" t="s">
        <v>22</v>
      </c>
      <c r="C65" s="450"/>
      <c r="D65" s="455"/>
      <c r="E65" s="485"/>
      <c r="F65" s="486"/>
      <c r="H65" s="416"/>
      <c r="I65" s="433"/>
    </row>
    <row r="66" spans="1:10" ht="41.25" customHeight="1">
      <c r="A66" s="441"/>
      <c r="B66" s="449" t="s">
        <v>23</v>
      </c>
      <c r="C66" s="452"/>
      <c r="D66" s="456" t="s">
        <v>24</v>
      </c>
      <c r="E66" s="487"/>
      <c r="F66" s="488">
        <f>16777.6+5554.49</f>
        <v>22332.089999999997</v>
      </c>
      <c r="H66" s="416"/>
      <c r="I66" s="433"/>
      <c r="J66" s="266"/>
    </row>
    <row r="67" spans="1:8" ht="42" customHeight="1">
      <c r="A67" s="446">
        <v>2</v>
      </c>
      <c r="B67" s="427" t="s">
        <v>25</v>
      </c>
      <c r="C67" s="489" t="s">
        <v>26</v>
      </c>
      <c r="D67" s="490"/>
      <c r="E67" s="491"/>
      <c r="F67" s="492"/>
      <c r="H67" s="416"/>
    </row>
    <row r="68" spans="1:9" ht="36.75" customHeight="1">
      <c r="A68" s="436"/>
      <c r="B68" s="493" t="s">
        <v>27</v>
      </c>
      <c r="C68" s="267"/>
      <c r="D68" s="494"/>
      <c r="E68" s="495"/>
      <c r="F68" s="496"/>
      <c r="H68" s="416"/>
      <c r="I68" s="497"/>
    </row>
    <row r="69" spans="1:9" ht="36" customHeight="1">
      <c r="A69" s="441"/>
      <c r="B69" s="498" t="s">
        <v>28</v>
      </c>
      <c r="C69" s="499"/>
      <c r="D69" s="456" t="s">
        <v>24</v>
      </c>
      <c r="E69" s="268">
        <f>1200+254.82</f>
        <v>1454.82</v>
      </c>
      <c r="F69" s="268">
        <f>165580+1612.13</f>
        <v>167192.13</v>
      </c>
      <c r="H69" s="416"/>
      <c r="I69" s="497"/>
    </row>
    <row r="70" spans="1:10" ht="44.25" customHeight="1">
      <c r="A70" s="446">
        <v>3</v>
      </c>
      <c r="B70" s="427" t="s">
        <v>29</v>
      </c>
      <c r="C70" s="457" t="s">
        <v>570</v>
      </c>
      <c r="D70" s="490"/>
      <c r="E70" s="491"/>
      <c r="F70" s="492"/>
      <c r="H70" s="416"/>
      <c r="I70" s="497"/>
      <c r="J70" s="266"/>
    </row>
    <row r="71" spans="1:8" ht="60.75" customHeight="1">
      <c r="A71" s="436"/>
      <c r="B71" s="493" t="s">
        <v>30</v>
      </c>
      <c r="C71" s="267"/>
      <c r="D71" s="494"/>
      <c r="E71" s="495"/>
      <c r="F71" s="496"/>
      <c r="H71" s="416"/>
    </row>
    <row r="72" spans="1:8" ht="51.75" customHeight="1">
      <c r="A72" s="441"/>
      <c r="B72" s="493" t="s">
        <v>31</v>
      </c>
      <c r="C72" s="499"/>
      <c r="D72" s="456" t="s">
        <v>24</v>
      </c>
      <c r="E72" s="268">
        <v>15000</v>
      </c>
      <c r="F72" s="268"/>
      <c r="H72" s="416"/>
    </row>
    <row r="73" spans="1:8" ht="40.5" customHeight="1">
      <c r="A73" s="446">
        <v>4</v>
      </c>
      <c r="B73" s="500" t="s">
        <v>32</v>
      </c>
      <c r="C73" s="501" t="s">
        <v>33</v>
      </c>
      <c r="D73" s="490" t="s">
        <v>34</v>
      </c>
      <c r="E73" s="491"/>
      <c r="F73" s="492"/>
      <c r="H73" s="416"/>
    </row>
    <row r="74" spans="1:11" ht="34.5" customHeight="1">
      <c r="A74" s="436"/>
      <c r="B74" s="498" t="s">
        <v>35</v>
      </c>
      <c r="C74" s="267"/>
      <c r="D74" s="494"/>
      <c r="E74" s="495"/>
      <c r="F74" s="496"/>
      <c r="H74" s="416"/>
      <c r="K74" s="502"/>
    </row>
    <row r="75" spans="1:8" ht="35.25" customHeight="1">
      <c r="A75" s="441"/>
      <c r="B75" s="498" t="s">
        <v>36</v>
      </c>
      <c r="C75" s="499"/>
      <c r="D75" s="503"/>
      <c r="E75" s="268"/>
      <c r="F75" s="268">
        <f>268374+4781.42</f>
        <v>273155.42</v>
      </c>
      <c r="H75" s="416"/>
    </row>
    <row r="76" spans="4:8" ht="18.75">
      <c r="D76" s="504"/>
      <c r="E76" s="28"/>
      <c r="F76" s="1"/>
      <c r="H76" s="416"/>
    </row>
    <row r="77" spans="4:6" ht="18.75">
      <c r="D77" s="504"/>
      <c r="E77" s="1"/>
      <c r="F77" s="1"/>
    </row>
    <row r="78" spans="4:6" ht="18.75">
      <c r="D78" s="504"/>
      <c r="E78" s="1"/>
      <c r="F78" s="1"/>
    </row>
    <row r="79" spans="4:6" ht="18.75">
      <c r="D79" s="504"/>
      <c r="E79" s="1"/>
      <c r="F79" s="1"/>
    </row>
    <row r="80" spans="4:6" ht="18.75">
      <c r="D80" s="504"/>
      <c r="E80" s="1"/>
      <c r="F80" s="1"/>
    </row>
    <row r="81" spans="4:6" ht="18.75">
      <c r="D81" s="504"/>
      <c r="E81" s="1"/>
      <c r="F81" s="1"/>
    </row>
    <row r="82" spans="4:11" ht="18.75">
      <c r="D82" s="504"/>
      <c r="E82" s="28"/>
      <c r="F82" s="1"/>
      <c r="K82" s="502"/>
    </row>
    <row r="83" spans="4:6" ht="18.75">
      <c r="D83" s="504"/>
      <c r="E83" s="28"/>
      <c r="F83" s="1"/>
    </row>
    <row r="84" spans="4:6" ht="18.75">
      <c r="D84" s="504"/>
      <c r="E84" s="28"/>
      <c r="F84" s="1"/>
    </row>
    <row r="85" spans="4:6" ht="18.75">
      <c r="D85" s="504"/>
      <c r="E85" s="28"/>
      <c r="F85" s="1"/>
    </row>
    <row r="86" spans="5:6" ht="18.75">
      <c r="E86" s="505"/>
      <c r="F86" s="1"/>
    </row>
    <row r="87" spans="4:6" ht="18.75">
      <c r="D87" s="506"/>
      <c r="E87" s="1"/>
      <c r="F87" s="28"/>
    </row>
    <row r="88" spans="5:6" ht="18.75">
      <c r="E88" s="1"/>
      <c r="F88" s="28"/>
    </row>
    <row r="89" spans="3:6" ht="18.75">
      <c r="C89" s="4"/>
      <c r="D89" s="4"/>
      <c r="E89" s="505"/>
      <c r="F89" s="28"/>
    </row>
    <row r="90" spans="3:6" ht="18.75">
      <c r="C90" s="4"/>
      <c r="D90" s="4"/>
      <c r="E90" s="505"/>
      <c r="F90" s="28"/>
    </row>
    <row r="91" spans="3:11" ht="18.75">
      <c r="C91" s="4"/>
      <c r="D91" s="4"/>
      <c r="E91" s="505"/>
      <c r="F91" s="28"/>
      <c r="K91" s="502"/>
    </row>
    <row r="92" spans="3:6" ht="18.75">
      <c r="C92" s="4"/>
      <c r="D92" s="4"/>
      <c r="E92" s="135"/>
      <c r="F92" s="507"/>
    </row>
    <row r="93" spans="3:6" ht="18.75">
      <c r="C93" s="4"/>
      <c r="D93" s="4"/>
      <c r="E93" s="135"/>
      <c r="F93" s="507"/>
    </row>
    <row r="94" spans="3:6" ht="18.75">
      <c r="C94" s="4"/>
      <c r="D94" s="4"/>
      <c r="E94" s="28"/>
      <c r="F94" s="28"/>
    </row>
    <row r="95" spans="3:6" ht="18.75">
      <c r="C95" s="4"/>
      <c r="D95" s="4"/>
      <c r="E95" s="135"/>
      <c r="F95" s="507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3:6" ht="18.75">
      <c r="C101" s="4"/>
      <c r="D101" s="4"/>
      <c r="E101" s="28"/>
      <c r="F101" s="28"/>
    </row>
    <row r="102" spans="3:6" ht="18.75">
      <c r="C102" s="4"/>
      <c r="D102" s="4"/>
      <c r="E102" s="28"/>
      <c r="F102" s="28"/>
    </row>
    <row r="103" spans="3:6" ht="18.75">
      <c r="C103" s="4"/>
      <c r="D103" s="4"/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4.57421875" style="537" customWidth="1"/>
    <col min="2" max="2" width="23.8515625" style="537" customWidth="1"/>
    <col min="3" max="3" width="47.28125" style="787" customWidth="1"/>
    <col min="4" max="4" width="18.57421875" style="537" customWidth="1"/>
    <col min="5" max="5" width="12.7109375" style="538" customWidth="1"/>
    <col min="6" max="6" width="19.00390625" style="537" customWidth="1"/>
    <col min="7" max="7" width="15.8515625" style="537" customWidth="1"/>
    <col min="8" max="16384" width="9.140625" style="537" customWidth="1"/>
  </cols>
  <sheetData>
    <row r="1" ht="19.5" customHeight="1">
      <c r="C1" s="782" t="s">
        <v>124</v>
      </c>
    </row>
    <row r="2" ht="19.5" customHeight="1">
      <c r="C2" s="602" t="s">
        <v>177</v>
      </c>
    </row>
    <row r="3" ht="15" customHeight="1">
      <c r="C3" s="602" t="s">
        <v>439</v>
      </c>
    </row>
    <row r="4" ht="17.25" customHeight="1">
      <c r="C4" s="151" t="s">
        <v>110</v>
      </c>
    </row>
    <row r="5" ht="14.25" customHeight="1">
      <c r="C5" s="602"/>
    </row>
    <row r="6" ht="14.25" customHeight="1">
      <c r="C6" s="602"/>
    </row>
    <row r="7" spans="1:5" s="604" customFormat="1" ht="19.5" customHeight="1">
      <c r="A7" s="603" t="s">
        <v>125</v>
      </c>
      <c r="B7" s="783"/>
      <c r="C7" s="784"/>
      <c r="D7" s="537"/>
      <c r="E7" s="538"/>
    </row>
    <row r="8" spans="1:5" s="604" customFormat="1" ht="19.5" customHeight="1">
      <c r="A8" s="603" t="s">
        <v>126</v>
      </c>
      <c r="B8" s="783"/>
      <c r="C8" s="784"/>
      <c r="D8" s="537"/>
      <c r="E8" s="538"/>
    </row>
    <row r="9" spans="1:3" ht="18.75" customHeight="1">
      <c r="A9" s="603" t="s">
        <v>127</v>
      </c>
      <c r="B9" s="785"/>
      <c r="C9" s="784"/>
    </row>
    <row r="10" spans="1:2" ht="13.5">
      <c r="A10" s="786" t="s">
        <v>358</v>
      </c>
      <c r="B10" s="605"/>
    </row>
    <row r="11" spans="3:4" ht="11.25" customHeight="1">
      <c r="C11" s="788"/>
      <c r="D11" s="789" t="s">
        <v>368</v>
      </c>
    </row>
    <row r="12" spans="1:4" ht="33" customHeight="1">
      <c r="A12" s="606" t="s">
        <v>369</v>
      </c>
      <c r="B12" s="606" t="s">
        <v>102</v>
      </c>
      <c r="C12" s="316" t="s">
        <v>103</v>
      </c>
      <c r="D12" s="607" t="s">
        <v>128</v>
      </c>
    </row>
    <row r="13" spans="1:5" s="785" customFormat="1" ht="22.5" customHeight="1">
      <c r="A13" s="790" t="s">
        <v>104</v>
      </c>
      <c r="B13" s="791"/>
      <c r="C13" s="792"/>
      <c r="D13" s="608">
        <f>D14+D18</f>
        <v>8901912.379999999</v>
      </c>
      <c r="E13" s="793"/>
    </row>
    <row r="14" spans="1:5" s="785" customFormat="1" ht="24.75" customHeight="1">
      <c r="A14" s="609" t="s">
        <v>129</v>
      </c>
      <c r="B14" s="794"/>
      <c r="C14" s="795"/>
      <c r="D14" s="608">
        <f>D15</f>
        <v>2536226</v>
      </c>
      <c r="E14" s="796"/>
    </row>
    <row r="15" spans="1:5" s="785" customFormat="1" ht="30" customHeight="1">
      <c r="A15" s="797">
        <v>801</v>
      </c>
      <c r="B15" s="798" t="s">
        <v>388</v>
      </c>
      <c r="C15" s="799"/>
      <c r="D15" s="800">
        <f>SUM(D16:D17)</f>
        <v>2536226</v>
      </c>
      <c r="E15" s="801"/>
    </row>
    <row r="16" spans="1:5" s="785" customFormat="1" ht="29.25" customHeight="1">
      <c r="A16" s="802"/>
      <c r="B16" s="803"/>
      <c r="C16" s="314" t="s">
        <v>130</v>
      </c>
      <c r="D16" s="610">
        <f>1982426-264000</f>
        <v>1718426</v>
      </c>
      <c r="E16" s="793"/>
    </row>
    <row r="17" spans="1:5" s="785" customFormat="1" ht="33" customHeight="1">
      <c r="A17" s="802"/>
      <c r="B17" s="803"/>
      <c r="C17" s="314" t="s">
        <v>131</v>
      </c>
      <c r="D17" s="610">
        <v>817800</v>
      </c>
      <c r="E17" s="793"/>
    </row>
    <row r="18" spans="1:5" s="785" customFormat="1" ht="24.75" customHeight="1">
      <c r="A18" s="609" t="s">
        <v>105</v>
      </c>
      <c r="B18" s="794"/>
      <c r="C18" s="795"/>
      <c r="D18" s="804">
        <f>D19+D30+D35+D43+D47+D53</f>
        <v>6365686.38</v>
      </c>
      <c r="E18" s="793"/>
    </row>
    <row r="19" spans="1:5" s="785" customFormat="1" ht="21.75" customHeight="1">
      <c r="A19" s="805">
        <v>851</v>
      </c>
      <c r="B19" s="806" t="s">
        <v>391</v>
      </c>
      <c r="C19" s="807"/>
      <c r="D19" s="808">
        <f>SUM(D20:D29)</f>
        <v>996500</v>
      </c>
      <c r="E19" s="801"/>
    </row>
    <row r="20" spans="1:5" s="785" customFormat="1" ht="38.25" customHeight="1">
      <c r="A20" s="611"/>
      <c r="B20" s="809"/>
      <c r="C20" s="314" t="s">
        <v>132</v>
      </c>
      <c r="D20" s="610">
        <v>95000</v>
      </c>
      <c r="E20" s="793"/>
    </row>
    <row r="21" spans="1:5" s="785" customFormat="1" ht="27.75" customHeight="1">
      <c r="A21" s="810"/>
      <c r="B21" s="811"/>
      <c r="C21" s="314" t="s">
        <v>133</v>
      </c>
      <c r="D21" s="610">
        <v>440000</v>
      </c>
      <c r="E21" s="793"/>
    </row>
    <row r="22" spans="1:5" s="785" customFormat="1" ht="47.25" customHeight="1">
      <c r="A22" s="810"/>
      <c r="B22" s="812"/>
      <c r="C22" s="314" t="s">
        <v>134</v>
      </c>
      <c r="D22" s="610">
        <v>50000</v>
      </c>
      <c r="E22" s="793"/>
    </row>
    <row r="23" spans="1:5" s="785" customFormat="1" ht="27" customHeight="1">
      <c r="A23" s="810"/>
      <c r="B23" s="812"/>
      <c r="C23" s="314" t="s">
        <v>135</v>
      </c>
      <c r="D23" s="610">
        <v>10000</v>
      </c>
      <c r="E23" s="793"/>
    </row>
    <row r="24" spans="1:5" s="785" customFormat="1" ht="42" customHeight="1">
      <c r="A24" s="810"/>
      <c r="B24" s="812"/>
      <c r="C24" s="314" t="s">
        <v>136</v>
      </c>
      <c r="D24" s="610">
        <f>49500+70000</f>
        <v>119500</v>
      </c>
      <c r="E24" s="793"/>
    </row>
    <row r="25" spans="1:5" s="785" customFormat="1" ht="36" customHeight="1">
      <c r="A25" s="810"/>
      <c r="B25" s="812"/>
      <c r="C25" s="314" t="s">
        <v>137</v>
      </c>
      <c r="D25" s="610">
        <v>60000</v>
      </c>
      <c r="E25" s="793"/>
    </row>
    <row r="26" spans="1:5" s="785" customFormat="1" ht="27.75" customHeight="1">
      <c r="A26" s="810"/>
      <c r="B26" s="812"/>
      <c r="C26" s="314" t="s">
        <v>138</v>
      </c>
      <c r="D26" s="610">
        <v>101000</v>
      </c>
      <c r="E26" s="793"/>
    </row>
    <row r="27" spans="1:5" s="785" customFormat="1" ht="31.5" customHeight="1">
      <c r="A27" s="810"/>
      <c r="B27" s="812"/>
      <c r="C27" s="314" t="s">
        <v>139</v>
      </c>
      <c r="D27" s="610">
        <v>90000</v>
      </c>
      <c r="E27" s="793"/>
    </row>
    <row r="28" spans="1:5" s="785" customFormat="1" ht="33.75" customHeight="1">
      <c r="A28" s="810"/>
      <c r="B28" s="812"/>
      <c r="C28" s="314" t="s">
        <v>140</v>
      </c>
      <c r="D28" s="610">
        <v>25000</v>
      </c>
      <c r="E28" s="793"/>
    </row>
    <row r="29" spans="1:5" s="785" customFormat="1" ht="25.5" customHeight="1">
      <c r="A29" s="810"/>
      <c r="B29" s="812"/>
      <c r="C29" s="813" t="s">
        <v>141</v>
      </c>
      <c r="D29" s="268">
        <v>6000</v>
      </c>
      <c r="E29" s="793"/>
    </row>
    <row r="30" spans="1:5" s="785" customFormat="1" ht="21" customHeight="1">
      <c r="A30" s="611">
        <v>852</v>
      </c>
      <c r="B30" s="612" t="s">
        <v>441</v>
      </c>
      <c r="C30" s="807"/>
      <c r="D30" s="613">
        <f>SUM(D31:D34)</f>
        <v>1421000</v>
      </c>
      <c r="E30" s="793"/>
    </row>
    <row r="31" spans="1:5" s="785" customFormat="1" ht="37.5" customHeight="1">
      <c r="A31" s="814"/>
      <c r="B31" s="815"/>
      <c r="C31" s="816" t="s">
        <v>142</v>
      </c>
      <c r="D31" s="610">
        <f>950000+156000</f>
        <v>1106000</v>
      </c>
      <c r="E31" s="793"/>
    </row>
    <row r="32" spans="1:5" s="785" customFormat="1" ht="27" customHeight="1">
      <c r="A32" s="817"/>
      <c r="B32" s="614"/>
      <c r="C32" s="818" t="s">
        <v>143</v>
      </c>
      <c r="D32" s="610">
        <v>200000</v>
      </c>
      <c r="E32" s="793"/>
    </row>
    <row r="33" spans="1:5" s="785" customFormat="1" ht="38.25" customHeight="1">
      <c r="A33" s="817"/>
      <c r="B33" s="614"/>
      <c r="C33" s="818" t="s">
        <v>144</v>
      </c>
      <c r="D33" s="610">
        <v>85000</v>
      </c>
      <c r="E33" s="793"/>
    </row>
    <row r="34" spans="1:5" s="785" customFormat="1" ht="38.25" customHeight="1">
      <c r="A34" s="817"/>
      <c r="B34" s="614"/>
      <c r="C34" s="818" t="s">
        <v>145</v>
      </c>
      <c r="D34" s="610">
        <v>30000</v>
      </c>
      <c r="E34" s="793"/>
    </row>
    <row r="35" spans="1:5" s="785" customFormat="1" ht="39" customHeight="1">
      <c r="A35" s="615">
        <v>853</v>
      </c>
      <c r="B35" s="616" t="s">
        <v>402</v>
      </c>
      <c r="C35" s="819"/>
      <c r="D35" s="800">
        <f>SUM(D36:D42)</f>
        <v>1065193.38</v>
      </c>
      <c r="E35" s="793"/>
    </row>
    <row r="36" spans="1:5" s="785" customFormat="1" ht="30" customHeight="1">
      <c r="A36" s="817"/>
      <c r="B36" s="614"/>
      <c r="C36" s="819" t="s">
        <v>146</v>
      </c>
      <c r="D36" s="610">
        <f>177600-129600</f>
        <v>48000</v>
      </c>
      <c r="E36" s="793"/>
    </row>
    <row r="37" spans="1:5" s="785" customFormat="1" ht="30" customHeight="1">
      <c r="A37" s="817"/>
      <c r="B37" s="614"/>
      <c r="C37" s="820" t="s">
        <v>147</v>
      </c>
      <c r="D37" s="610">
        <v>54000</v>
      </c>
      <c r="E37" s="793"/>
    </row>
    <row r="38" spans="1:5" s="785" customFormat="1" ht="30" customHeight="1">
      <c r="A38" s="817"/>
      <c r="B38" s="614"/>
      <c r="C38" s="820" t="s">
        <v>148</v>
      </c>
      <c r="D38" s="610">
        <v>19800</v>
      </c>
      <c r="E38" s="793"/>
    </row>
    <row r="39" spans="1:5" s="785" customFormat="1" ht="30.75" customHeight="1">
      <c r="A39" s="817"/>
      <c r="B39" s="614"/>
      <c r="C39" s="820" t="s">
        <v>149</v>
      </c>
      <c r="D39" s="610">
        <v>9000</v>
      </c>
      <c r="E39" s="793"/>
    </row>
    <row r="40" spans="1:5" s="785" customFormat="1" ht="46.5" customHeight="1">
      <c r="A40" s="817"/>
      <c r="B40" s="821"/>
      <c r="C40" s="818" t="s">
        <v>150</v>
      </c>
      <c r="D40" s="610">
        <f>78549.77+13861.73</f>
        <v>92411.5</v>
      </c>
      <c r="E40" s="793"/>
    </row>
    <row r="41" spans="1:5" s="785" customFormat="1" ht="37.5" customHeight="1">
      <c r="A41" s="817"/>
      <c r="B41" s="821"/>
      <c r="C41" s="264" t="s">
        <v>151</v>
      </c>
      <c r="D41" s="610">
        <f>35684.6+6297.28</f>
        <v>41981.88</v>
      </c>
      <c r="E41" s="793"/>
    </row>
    <row r="42" spans="1:5" s="785" customFormat="1" ht="39.75" customHeight="1">
      <c r="A42" s="817"/>
      <c r="B42" s="821"/>
      <c r="C42" s="818" t="s">
        <v>500</v>
      </c>
      <c r="D42" s="610">
        <f>680000+120000</f>
        <v>800000</v>
      </c>
      <c r="E42" s="793"/>
    </row>
    <row r="43" spans="1:5" s="785" customFormat="1" ht="38.25" customHeight="1">
      <c r="A43" s="611">
        <v>900</v>
      </c>
      <c r="B43" s="617" t="s">
        <v>152</v>
      </c>
      <c r="C43" s="618"/>
      <c r="D43" s="608">
        <f>SUM(D44:D46)</f>
        <v>708000</v>
      </c>
      <c r="E43" s="793"/>
    </row>
    <row r="44" spans="1:5" s="785" customFormat="1" ht="53.25" customHeight="1">
      <c r="A44" s="822"/>
      <c r="B44" s="823"/>
      <c r="C44" s="619" t="s">
        <v>153</v>
      </c>
      <c r="D44" s="610">
        <f>271000+7000</f>
        <v>278000</v>
      </c>
      <c r="E44" s="793"/>
    </row>
    <row r="45" spans="1:5" s="827" customFormat="1" ht="34.5" customHeight="1">
      <c r="A45" s="824"/>
      <c r="B45" s="825"/>
      <c r="C45" s="620" t="s">
        <v>106</v>
      </c>
      <c r="D45" s="826">
        <v>30000</v>
      </c>
      <c r="E45" s="801"/>
    </row>
    <row r="46" spans="1:5" s="785" customFormat="1" ht="32.25" customHeight="1">
      <c r="A46" s="828"/>
      <c r="B46" s="829"/>
      <c r="C46" s="620" t="s">
        <v>154</v>
      </c>
      <c r="D46" s="610">
        <f>600000-200000</f>
        <v>400000</v>
      </c>
      <c r="E46" s="793"/>
    </row>
    <row r="47" spans="1:5" s="785" customFormat="1" ht="39" customHeight="1">
      <c r="A47" s="611">
        <v>921</v>
      </c>
      <c r="B47" s="830" t="s">
        <v>506</v>
      </c>
      <c r="C47" s="616"/>
      <c r="D47" s="608">
        <f>SUM(D48:D52)</f>
        <v>153000</v>
      </c>
      <c r="E47" s="793"/>
    </row>
    <row r="48" spans="1:5" s="785" customFormat="1" ht="35.25" customHeight="1">
      <c r="A48" s="822"/>
      <c r="B48" s="823"/>
      <c r="C48" s="831" t="s">
        <v>155</v>
      </c>
      <c r="D48" s="610">
        <v>25000</v>
      </c>
      <c r="E48" s="793"/>
    </row>
    <row r="49" spans="1:5" s="785" customFormat="1" ht="35.25" customHeight="1">
      <c r="A49" s="824"/>
      <c r="B49" s="825"/>
      <c r="C49" s="314" t="s">
        <v>156</v>
      </c>
      <c r="D49" s="610">
        <v>25000</v>
      </c>
      <c r="E49" s="793"/>
    </row>
    <row r="50" spans="1:5" s="785" customFormat="1" ht="35.25" customHeight="1">
      <c r="A50" s="824"/>
      <c r="B50" s="825"/>
      <c r="C50" s="816" t="s">
        <v>157</v>
      </c>
      <c r="D50" s="610">
        <v>30000</v>
      </c>
      <c r="E50" s="793"/>
    </row>
    <row r="51" spans="1:5" s="785" customFormat="1" ht="27" customHeight="1">
      <c r="A51" s="824"/>
      <c r="B51" s="825"/>
      <c r="C51" s="621" t="s">
        <v>158</v>
      </c>
      <c r="D51" s="610">
        <v>28000</v>
      </c>
      <c r="E51" s="793"/>
    </row>
    <row r="52" spans="1:5" s="785" customFormat="1" ht="32.25" customHeight="1">
      <c r="A52" s="828"/>
      <c r="B52" s="829"/>
      <c r="C52" s="621" t="s">
        <v>159</v>
      </c>
      <c r="D52" s="610">
        <v>45000</v>
      </c>
      <c r="E52" s="793"/>
    </row>
    <row r="53" spans="1:5" s="785" customFormat="1" ht="34.5" customHeight="1">
      <c r="A53" s="805">
        <v>926</v>
      </c>
      <c r="B53" s="832" t="s">
        <v>160</v>
      </c>
      <c r="C53" s="618"/>
      <c r="D53" s="608">
        <f>SUM(D54:D57)</f>
        <v>2021993</v>
      </c>
      <c r="E53" s="793"/>
    </row>
    <row r="54" spans="1:5" s="835" customFormat="1" ht="61.5" customHeight="1">
      <c r="A54" s="822"/>
      <c r="B54" s="833"/>
      <c r="C54" s="834" t="s">
        <v>161</v>
      </c>
      <c r="D54" s="859">
        <f>150000+1732000-10007</f>
        <v>1871993</v>
      </c>
      <c r="E54" s="793"/>
    </row>
    <row r="55" spans="1:5" s="835" customFormat="1" ht="34.5" customHeight="1">
      <c r="A55" s="824"/>
      <c r="B55" s="836"/>
      <c r="C55" s="834" t="s">
        <v>162</v>
      </c>
      <c r="D55" s="622">
        <v>10000</v>
      </c>
      <c r="E55" s="793"/>
    </row>
    <row r="56" spans="1:5" s="835" customFormat="1" ht="33" customHeight="1">
      <c r="A56" s="837"/>
      <c r="B56" s="267"/>
      <c r="C56" s="838" t="s">
        <v>163</v>
      </c>
      <c r="D56" s="622">
        <v>115000</v>
      </c>
      <c r="E56" s="793"/>
    </row>
    <row r="57" spans="1:5" s="785" customFormat="1" ht="30" customHeight="1">
      <c r="A57" s="837"/>
      <c r="B57" s="267"/>
      <c r="C57" s="839" t="s">
        <v>164</v>
      </c>
      <c r="D57" s="610">
        <v>25000</v>
      </c>
      <c r="E57" s="793"/>
    </row>
    <row r="58" spans="1:5" s="785" customFormat="1" ht="30" customHeight="1">
      <c r="A58" s="623" t="s">
        <v>107</v>
      </c>
      <c r="B58" s="840"/>
      <c r="C58" s="624"/>
      <c r="D58" s="613">
        <f>D59+D69</f>
        <v>8527872.89</v>
      </c>
      <c r="E58" s="793"/>
    </row>
    <row r="59" spans="1:5" s="785" customFormat="1" ht="27" customHeight="1">
      <c r="A59" s="625" t="s">
        <v>129</v>
      </c>
      <c r="B59" s="841"/>
      <c r="C59" s="842"/>
      <c r="D59" s="843">
        <f>D60+D65+D67</f>
        <v>7555105</v>
      </c>
      <c r="E59" s="793"/>
    </row>
    <row r="60" spans="1:5" s="785" customFormat="1" ht="23.25" customHeight="1">
      <c r="A60" s="797">
        <v>801</v>
      </c>
      <c r="B60" s="798" t="s">
        <v>388</v>
      </c>
      <c r="C60" s="314"/>
      <c r="D60" s="800">
        <f>SUM(D61:D64)</f>
        <v>5797000</v>
      </c>
      <c r="E60" s="793"/>
    </row>
    <row r="61" spans="1:5" s="785" customFormat="1" ht="30" customHeight="1">
      <c r="A61" s="844"/>
      <c r="B61" s="845"/>
      <c r="C61" s="314" t="s">
        <v>165</v>
      </c>
      <c r="D61" s="610">
        <f>2000000-86000+200000</f>
        <v>2114000</v>
      </c>
      <c r="E61" s="793"/>
    </row>
    <row r="62" spans="1:5" s="785" customFormat="1" ht="30" customHeight="1">
      <c r="A62" s="844"/>
      <c r="B62" s="845"/>
      <c r="C62" s="314" t="s">
        <v>166</v>
      </c>
      <c r="D62" s="610">
        <v>350000</v>
      </c>
      <c r="E62" s="793"/>
    </row>
    <row r="63" spans="1:5" s="785" customFormat="1" ht="30" customHeight="1">
      <c r="A63" s="844"/>
      <c r="B63" s="845"/>
      <c r="C63" s="314" t="s">
        <v>167</v>
      </c>
      <c r="D63" s="610">
        <v>48000</v>
      </c>
      <c r="E63" s="793"/>
    </row>
    <row r="64" spans="1:5" s="785" customFormat="1" ht="24.75" customHeight="1">
      <c r="A64" s="844"/>
      <c r="B64" s="845"/>
      <c r="C64" s="314" t="s">
        <v>168</v>
      </c>
      <c r="D64" s="610">
        <f>3185000-150000+250000</f>
        <v>3285000</v>
      </c>
      <c r="E64" s="793"/>
    </row>
    <row r="65" spans="1:5" s="785" customFormat="1" ht="39" customHeight="1">
      <c r="A65" s="611">
        <v>853</v>
      </c>
      <c r="B65" s="846" t="s">
        <v>402</v>
      </c>
      <c r="C65" s="313"/>
      <c r="D65" s="608">
        <f>SUM(D66:D66)</f>
        <v>308105</v>
      </c>
      <c r="E65" s="793"/>
    </row>
    <row r="66" spans="1:5" s="848" customFormat="1" ht="37.5" customHeight="1">
      <c r="A66" s="814"/>
      <c r="B66" s="847"/>
      <c r="C66" s="621" t="s">
        <v>169</v>
      </c>
      <c r="D66" s="826">
        <v>308105</v>
      </c>
      <c r="E66" s="793"/>
    </row>
    <row r="67" spans="1:5" s="785" customFormat="1" ht="31.5" customHeight="1">
      <c r="A67" s="615">
        <v>854</v>
      </c>
      <c r="B67" s="798" t="s">
        <v>522</v>
      </c>
      <c r="C67" s="314"/>
      <c r="D67" s="849">
        <f>D68</f>
        <v>1450000</v>
      </c>
      <c r="E67" s="801"/>
    </row>
    <row r="68" spans="1:5" s="785" customFormat="1" ht="43.5" customHeight="1">
      <c r="A68" s="850"/>
      <c r="B68" s="851"/>
      <c r="C68" s="314" t="s">
        <v>170</v>
      </c>
      <c r="D68" s="610">
        <v>1450000</v>
      </c>
      <c r="E68" s="793"/>
    </row>
    <row r="69" spans="1:5" s="785" customFormat="1" ht="29.25" customHeight="1">
      <c r="A69" s="609" t="s">
        <v>105</v>
      </c>
      <c r="B69" s="852"/>
      <c r="C69" s="853"/>
      <c r="D69" s="626">
        <f>D70+D74+D77</f>
        <v>972767.89</v>
      </c>
      <c r="E69" s="793"/>
    </row>
    <row r="70" spans="1:5" s="785" customFormat="1" ht="34.5" customHeight="1">
      <c r="A70" s="810">
        <v>630</v>
      </c>
      <c r="B70" s="854" t="s">
        <v>511</v>
      </c>
      <c r="C70" s="855" t="s">
        <v>358</v>
      </c>
      <c r="D70" s="608">
        <f>SUM(D71:D73)</f>
        <v>95000</v>
      </c>
      <c r="E70" s="793"/>
    </row>
    <row r="71" spans="1:5" s="785" customFormat="1" ht="36.75" customHeight="1">
      <c r="A71" s="814"/>
      <c r="B71" s="856"/>
      <c r="C71" s="627" t="s">
        <v>171</v>
      </c>
      <c r="D71" s="826">
        <v>60000</v>
      </c>
      <c r="E71" s="793"/>
    </row>
    <row r="72" spans="1:5" s="785" customFormat="1" ht="30" customHeight="1">
      <c r="A72" s="824"/>
      <c r="B72" s="857"/>
      <c r="C72" s="619" t="s">
        <v>172</v>
      </c>
      <c r="D72" s="610">
        <v>30000</v>
      </c>
      <c r="E72" s="793"/>
    </row>
    <row r="73" spans="1:5" s="785" customFormat="1" ht="30" customHeight="1">
      <c r="A73" s="824"/>
      <c r="B73" s="857"/>
      <c r="C73" s="619" t="s">
        <v>173</v>
      </c>
      <c r="D73" s="610">
        <v>5000</v>
      </c>
      <c r="E73" s="793"/>
    </row>
    <row r="74" spans="1:5" s="785" customFormat="1" ht="26.25" customHeight="1">
      <c r="A74" s="615">
        <v>852</v>
      </c>
      <c r="B74" s="628" t="s">
        <v>441</v>
      </c>
      <c r="C74" s="313"/>
      <c r="D74" s="608">
        <f>SUM(D75:D76)</f>
        <v>207000</v>
      </c>
      <c r="E74" s="793"/>
    </row>
    <row r="75" spans="1:5" s="785" customFormat="1" ht="40.5" customHeight="1">
      <c r="A75" s="267"/>
      <c r="B75" s="267"/>
      <c r="C75" s="313" t="s">
        <v>174</v>
      </c>
      <c r="D75" s="610">
        <v>200000</v>
      </c>
      <c r="E75" s="793"/>
    </row>
    <row r="76" spans="1:5" s="785" customFormat="1" ht="40.5" customHeight="1">
      <c r="A76" s="267"/>
      <c r="B76" s="267"/>
      <c r="C76" s="313" t="s">
        <v>175</v>
      </c>
      <c r="D76" s="268">
        <v>7000</v>
      </c>
      <c r="E76" s="793"/>
    </row>
    <row r="77" spans="1:5" s="785" customFormat="1" ht="38.25" customHeight="1">
      <c r="A77" s="611">
        <v>853</v>
      </c>
      <c r="B77" s="846" t="s">
        <v>402</v>
      </c>
      <c r="C77" s="313"/>
      <c r="D77" s="629">
        <f>SUM(D78)</f>
        <v>670767.89</v>
      </c>
      <c r="E77" s="796"/>
    </row>
    <row r="78" spans="1:5" s="785" customFormat="1" ht="37.5" customHeight="1">
      <c r="A78" s="858"/>
      <c r="B78" s="858"/>
      <c r="C78" s="313" t="s">
        <v>176</v>
      </c>
      <c r="D78" s="610">
        <f>524915+145852.89</f>
        <v>670767.89</v>
      </c>
      <c r="E78" s="793"/>
    </row>
    <row r="79" spans="1:5" s="785" customFormat="1" ht="24.75" customHeight="1">
      <c r="A79" s="940" t="s">
        <v>108</v>
      </c>
      <c r="B79" s="941"/>
      <c r="C79" s="942"/>
      <c r="D79" s="630">
        <f>D13+D58</f>
        <v>17429785.27</v>
      </c>
      <c r="E79" s="796"/>
    </row>
    <row r="80" spans="3:7" s="785" customFormat="1" ht="12.75">
      <c r="C80" s="784"/>
      <c r="E80" s="796"/>
      <c r="F80" s="793"/>
      <c r="G80" s="793"/>
    </row>
    <row r="87" ht="12.75">
      <c r="G87" s="538"/>
    </row>
    <row r="88" ht="12.75">
      <c r="G88" s="538"/>
    </row>
  </sheetData>
  <sheetProtection/>
  <mergeCells count="1">
    <mergeCell ref="A79:C79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421875" style="537" customWidth="1"/>
    <col min="2" max="2" width="23.8515625" style="537" customWidth="1"/>
    <col min="3" max="3" width="41.57421875" style="537" customWidth="1"/>
    <col min="4" max="4" width="18.00390625" style="537" customWidth="1"/>
    <col min="5" max="5" width="24.7109375" style="537" customWidth="1"/>
    <col min="6" max="6" width="23.00390625" style="537" customWidth="1"/>
    <col min="7" max="7" width="8.8515625" style="537" customWidth="1"/>
    <col min="8" max="16384" width="9.140625" style="537" customWidth="1"/>
  </cols>
  <sheetData>
    <row r="1" ht="19.5" customHeight="1">
      <c r="C1" s="631" t="s">
        <v>179</v>
      </c>
    </row>
    <row r="2" ht="19.5" customHeight="1">
      <c r="C2" s="602" t="s">
        <v>109</v>
      </c>
    </row>
    <row r="3" ht="17.25" customHeight="1">
      <c r="C3" s="602" t="s">
        <v>439</v>
      </c>
    </row>
    <row r="4" ht="18" customHeight="1">
      <c r="C4" s="151" t="s">
        <v>110</v>
      </c>
    </row>
    <row r="5" ht="16.5" customHeight="1">
      <c r="C5" s="632"/>
    </row>
    <row r="6" ht="18" customHeight="1">
      <c r="C6" s="632"/>
    </row>
    <row r="7" spans="1:4" s="604" customFormat="1" ht="17.25" customHeight="1">
      <c r="A7" s="603" t="s">
        <v>111</v>
      </c>
      <c r="B7" s="603"/>
      <c r="C7" s="633"/>
      <c r="D7" s="537"/>
    </row>
    <row r="8" spans="1:4" s="604" customFormat="1" ht="17.25" customHeight="1">
      <c r="A8" s="603" t="s">
        <v>112</v>
      </c>
      <c r="B8" s="603"/>
      <c r="C8" s="633"/>
      <c r="D8" s="537"/>
    </row>
    <row r="9" spans="1:2" ht="15.75">
      <c r="A9" s="634" t="s">
        <v>113</v>
      </c>
      <c r="B9" s="605"/>
    </row>
    <row r="10" spans="3:4" ht="11.25" customHeight="1">
      <c r="C10" s="635"/>
      <c r="D10" s="636" t="s">
        <v>368</v>
      </c>
    </row>
    <row r="11" spans="1:4" ht="29.25" customHeight="1">
      <c r="A11" s="606" t="s">
        <v>369</v>
      </c>
      <c r="B11" s="606" t="s">
        <v>102</v>
      </c>
      <c r="C11" s="606" t="s">
        <v>103</v>
      </c>
      <c r="D11" s="607" t="s">
        <v>114</v>
      </c>
    </row>
    <row r="12" spans="1:4" ht="24" customHeight="1">
      <c r="A12" s="623" t="s">
        <v>104</v>
      </c>
      <c r="B12" s="637"/>
      <c r="C12" s="638"/>
      <c r="D12" s="639">
        <f>D13+D17+D20</f>
        <v>16805323.59</v>
      </c>
    </row>
    <row r="13" spans="1:4" s="643" customFormat="1" ht="24" customHeight="1">
      <c r="A13" s="625" t="s">
        <v>115</v>
      </c>
      <c r="B13" s="640"/>
      <c r="C13" s="641"/>
      <c r="D13" s="642">
        <f>D14</f>
        <v>5050000</v>
      </c>
    </row>
    <row r="14" spans="1:5" ht="31.5" customHeight="1">
      <c r="A14" s="644">
        <v>921</v>
      </c>
      <c r="B14" s="617" t="s">
        <v>506</v>
      </c>
      <c r="C14" s="645"/>
      <c r="D14" s="639">
        <f>D15+D16</f>
        <v>5050000</v>
      </c>
      <c r="E14" s="646"/>
    </row>
    <row r="15" spans="1:5" ht="27.75" customHeight="1">
      <c r="A15" s="647"/>
      <c r="B15" s="648"/>
      <c r="C15" s="649" t="s">
        <v>116</v>
      </c>
      <c r="D15" s="743">
        <f>3472000+158000+60000</f>
        <v>3690000</v>
      </c>
      <c r="E15" s="646"/>
    </row>
    <row r="16" spans="1:5" ht="27.75" customHeight="1">
      <c r="A16" s="650"/>
      <c r="B16" s="651"/>
      <c r="C16" s="649" t="s">
        <v>117</v>
      </c>
      <c r="D16" s="268">
        <f>1240000+100000+20000</f>
        <v>1360000</v>
      </c>
      <c r="E16" s="646"/>
    </row>
    <row r="17" spans="1:5" ht="26.25" customHeight="1">
      <c r="A17" s="625" t="s">
        <v>118</v>
      </c>
      <c r="B17" s="652"/>
      <c r="C17" s="649"/>
      <c r="D17" s="642">
        <f>D18</f>
        <v>11013485.389999999</v>
      </c>
      <c r="E17" s="646"/>
    </row>
    <row r="18" spans="1:5" ht="26.25" customHeight="1">
      <c r="A18" s="345">
        <v>600</v>
      </c>
      <c r="B18" s="628" t="s">
        <v>374</v>
      </c>
      <c r="C18" s="649"/>
      <c r="D18" s="639">
        <f>D19</f>
        <v>11013485.389999999</v>
      </c>
      <c r="E18" s="646"/>
    </row>
    <row r="19" spans="1:5" ht="29.25" customHeight="1">
      <c r="A19" s="653"/>
      <c r="B19" s="654"/>
      <c r="C19" s="619" t="s">
        <v>119</v>
      </c>
      <c r="D19" s="743">
        <f>11000184.75+1427.95+11872.69</f>
        <v>11013485.389999999</v>
      </c>
      <c r="E19" s="646"/>
    </row>
    <row r="20" spans="1:5" ht="28.5" customHeight="1">
      <c r="A20" s="609" t="s">
        <v>105</v>
      </c>
      <c r="B20" s="655"/>
      <c r="C20" s="645"/>
      <c r="D20" s="642">
        <f>D21+D23+D25+D27+D29+D31</f>
        <v>741838.2</v>
      </c>
      <c r="E20" s="646"/>
    </row>
    <row r="21" spans="1:5" ht="28.5" customHeight="1">
      <c r="A21" s="656">
        <v>750</v>
      </c>
      <c r="B21" s="657" t="s">
        <v>381</v>
      </c>
      <c r="C21" s="313"/>
      <c r="D21" s="639">
        <f>SUM(D22)</f>
        <v>22566.1</v>
      </c>
      <c r="E21" s="646"/>
    </row>
    <row r="22" spans="1:5" ht="42.75" customHeight="1">
      <c r="A22" s="658"/>
      <c r="B22" s="618"/>
      <c r="C22" s="313" t="s">
        <v>120</v>
      </c>
      <c r="D22" s="772">
        <f>32287.5-10400+678.6</f>
        <v>22566.1</v>
      </c>
      <c r="E22" s="646"/>
    </row>
    <row r="23" spans="1:5" ht="31.5" customHeight="1">
      <c r="A23" s="660">
        <v>801</v>
      </c>
      <c r="B23" s="612" t="s">
        <v>121</v>
      </c>
      <c r="C23" s="621"/>
      <c r="D23" s="639">
        <f>D24</f>
        <v>30000</v>
      </c>
      <c r="E23" s="646"/>
    </row>
    <row r="24" spans="1:5" ht="33" customHeight="1">
      <c r="A24" s="660"/>
      <c r="B24" s="612"/>
      <c r="C24" s="621" t="s">
        <v>183</v>
      </c>
      <c r="D24" s="659">
        <v>30000</v>
      </c>
      <c r="E24" s="646"/>
    </row>
    <row r="25" spans="1:5" ht="28.5" customHeight="1">
      <c r="A25" s="611">
        <v>851</v>
      </c>
      <c r="B25" s="612" t="s">
        <v>391</v>
      </c>
      <c r="C25" s="645"/>
      <c r="D25" s="661">
        <f>SUM(D26:D26)</f>
        <v>7500</v>
      </c>
      <c r="E25" s="646"/>
    </row>
    <row r="26" spans="1:5" ht="57" customHeight="1">
      <c r="A26" s="662"/>
      <c r="B26" s="663"/>
      <c r="C26" s="619" t="s">
        <v>184</v>
      </c>
      <c r="D26" s="659">
        <v>7500</v>
      </c>
      <c r="E26" s="646"/>
    </row>
    <row r="27" spans="1:5" ht="34.5" customHeight="1">
      <c r="A27" s="345">
        <v>853</v>
      </c>
      <c r="B27" s="657" t="s">
        <v>402</v>
      </c>
      <c r="C27" s="619"/>
      <c r="D27" s="661">
        <f>D28</f>
        <v>85386</v>
      </c>
      <c r="E27" s="646"/>
    </row>
    <row r="28" spans="1:5" ht="31.5" customHeight="1">
      <c r="A28" s="625"/>
      <c r="B28" s="614"/>
      <c r="C28" s="627" t="s">
        <v>185</v>
      </c>
      <c r="D28" s="659">
        <f>76943.7+13578.3-4365.6-770.4</f>
        <v>85386</v>
      </c>
      <c r="E28" s="646"/>
    </row>
    <row r="29" spans="1:5" ht="30" customHeight="1">
      <c r="A29" s="615">
        <v>900</v>
      </c>
      <c r="B29" s="616" t="s">
        <v>186</v>
      </c>
      <c r="C29" s="664"/>
      <c r="D29" s="629">
        <f>D30</f>
        <v>12000</v>
      </c>
      <c r="E29" s="646"/>
    </row>
    <row r="30" spans="1:9" ht="30" customHeight="1">
      <c r="A30" s="647"/>
      <c r="B30" s="665"/>
      <c r="C30" s="666" t="s">
        <v>106</v>
      </c>
      <c r="D30" s="622">
        <v>12000</v>
      </c>
      <c r="E30" s="667"/>
      <c r="F30" s="667"/>
      <c r="G30" s="667"/>
      <c r="H30" s="667"/>
      <c r="I30" s="667"/>
    </row>
    <row r="31" spans="1:9" ht="30.75" customHeight="1">
      <c r="A31" s="345">
        <v>921</v>
      </c>
      <c r="B31" s="616" t="s">
        <v>506</v>
      </c>
      <c r="C31" s="620"/>
      <c r="D31" s="608">
        <f>SUM(D32:D33)</f>
        <v>584386.1</v>
      </c>
      <c r="E31" s="667"/>
      <c r="F31" s="667"/>
      <c r="G31" s="667"/>
      <c r="H31" s="667"/>
      <c r="I31" s="667"/>
    </row>
    <row r="32" spans="1:9" ht="30.75" customHeight="1">
      <c r="A32" s="644"/>
      <c r="B32" s="616"/>
      <c r="C32" s="620" t="s">
        <v>187</v>
      </c>
      <c r="D32" s="622">
        <v>10000</v>
      </c>
      <c r="E32" s="667"/>
      <c r="F32" s="667"/>
      <c r="G32" s="667"/>
      <c r="H32" s="667"/>
      <c r="I32" s="667"/>
    </row>
    <row r="33" spans="1:9" ht="64.5" customHeight="1">
      <c r="A33" s="647"/>
      <c r="B33" s="618"/>
      <c r="C33" s="620" t="s">
        <v>188</v>
      </c>
      <c r="D33" s="622">
        <v>574386.1</v>
      </c>
      <c r="E33" s="667"/>
      <c r="F33" s="667"/>
      <c r="G33" s="667"/>
      <c r="H33" s="667"/>
      <c r="I33" s="667"/>
    </row>
    <row r="34" spans="1:9" ht="30.75" customHeight="1">
      <c r="A34" s="623" t="s">
        <v>107</v>
      </c>
      <c r="B34" s="668"/>
      <c r="C34" s="669"/>
      <c r="D34" s="613">
        <f>D35+D38</f>
        <v>3743348</v>
      </c>
      <c r="E34" s="667"/>
      <c r="F34" s="667"/>
      <c r="G34" s="667"/>
      <c r="H34" s="667"/>
      <c r="I34" s="667"/>
    </row>
    <row r="35" spans="1:9" ht="33" customHeight="1">
      <c r="A35" s="662" t="s">
        <v>115</v>
      </c>
      <c r="B35" s="670"/>
      <c r="C35" s="671"/>
      <c r="D35" s="672">
        <f>D36</f>
        <v>2610903</v>
      </c>
      <c r="E35" s="667"/>
      <c r="F35" s="667"/>
      <c r="G35" s="667"/>
      <c r="H35" s="667"/>
      <c r="I35" s="667"/>
    </row>
    <row r="36" spans="1:4" ht="33" customHeight="1">
      <c r="A36" s="345">
        <v>921</v>
      </c>
      <c r="B36" s="617" t="s">
        <v>506</v>
      </c>
      <c r="C36" s="624"/>
      <c r="D36" s="673">
        <f>D37</f>
        <v>2610903</v>
      </c>
    </row>
    <row r="37" spans="1:4" ht="24.75" customHeight="1">
      <c r="A37" s="674"/>
      <c r="B37" s="618"/>
      <c r="C37" s="619" t="s">
        <v>189</v>
      </c>
      <c r="D37" s="610">
        <f>2574000+16903+20000</f>
        <v>2610903</v>
      </c>
    </row>
    <row r="38" spans="1:4" ht="27.75" customHeight="1">
      <c r="A38" s="609" t="s">
        <v>105</v>
      </c>
      <c r="B38" s="675"/>
      <c r="C38" s="619"/>
      <c r="D38" s="626">
        <f>D39+D41</f>
        <v>1132445</v>
      </c>
    </row>
    <row r="39" spans="1:4" ht="27" customHeight="1">
      <c r="A39" s="665">
        <v>852</v>
      </c>
      <c r="B39" s="676" t="s">
        <v>441</v>
      </c>
      <c r="C39" s="313"/>
      <c r="D39" s="608">
        <f>D40</f>
        <v>52445</v>
      </c>
    </row>
    <row r="40" spans="1:4" ht="42.75" customHeight="1">
      <c r="A40" s="648"/>
      <c r="B40" s="677"/>
      <c r="C40" s="621" t="s">
        <v>190</v>
      </c>
      <c r="D40" s="610">
        <f>608600-556155</f>
        <v>52445</v>
      </c>
    </row>
    <row r="41" spans="1:4" ht="36" customHeight="1">
      <c r="A41" s="345">
        <v>853</v>
      </c>
      <c r="B41" s="657" t="s">
        <v>402</v>
      </c>
      <c r="C41" s="621"/>
      <c r="D41" s="608">
        <f>D42</f>
        <v>1080000</v>
      </c>
    </row>
    <row r="42" spans="1:4" ht="30.75" customHeight="1">
      <c r="A42" s="656"/>
      <c r="B42" s="657"/>
      <c r="C42" s="621" t="s">
        <v>191</v>
      </c>
      <c r="D42" s="610">
        <v>1080000</v>
      </c>
    </row>
    <row r="43" spans="1:4" ht="25.5" customHeight="1">
      <c r="A43" s="943" t="s">
        <v>108</v>
      </c>
      <c r="B43" s="944"/>
      <c r="C43" s="942"/>
      <c r="D43" s="630">
        <f>D12+D34</f>
        <v>20548671.59</v>
      </c>
    </row>
    <row r="44" spans="4:6" ht="15.75">
      <c r="D44" s="678"/>
      <c r="F44" s="538"/>
    </row>
    <row r="45" ht="15.75">
      <c r="D45" s="678"/>
    </row>
    <row r="46" ht="12.75">
      <c r="D46" s="538"/>
    </row>
    <row r="47" ht="12.75">
      <c r="D47" s="538"/>
    </row>
    <row r="48" ht="12.75">
      <c r="D48" s="538"/>
    </row>
    <row r="49" ht="12.75">
      <c r="D49" s="538"/>
    </row>
    <row r="50" ht="12.75">
      <c r="D50" s="538"/>
    </row>
    <row r="51" ht="12.75">
      <c r="D51" s="538"/>
    </row>
    <row r="52" ht="12.75">
      <c r="D52" s="538"/>
    </row>
    <row r="53" ht="12.75">
      <c r="D53" s="538"/>
    </row>
  </sheetData>
  <sheetProtection/>
  <mergeCells count="1">
    <mergeCell ref="A43:C43"/>
  </mergeCells>
  <printOptions/>
  <pageMargins left="0.1968503937007874" right="0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24"/>
  <sheetViews>
    <sheetView zoomScalePageLayoutView="0" workbookViewId="0" topLeftCell="A4">
      <selection activeCell="K6" sqref="K6"/>
    </sheetView>
  </sheetViews>
  <sheetFormatPr defaultColWidth="9.140625" defaultRowHeight="12.75"/>
  <cols>
    <col min="1" max="1" width="4.28125" style="116" customWidth="1"/>
    <col min="2" max="2" width="31.28125" style="116" customWidth="1"/>
    <col min="3" max="3" width="7.28125" style="116" customWidth="1"/>
    <col min="4" max="4" width="12.28125" style="116" customWidth="1"/>
    <col min="5" max="5" width="14.57421875" style="116" customWidth="1"/>
    <col min="6" max="6" width="14.421875" style="116" customWidth="1"/>
    <col min="7" max="7" width="11.140625" style="116" customWidth="1"/>
    <col min="8" max="8" width="15.7109375" style="116" customWidth="1"/>
    <col min="9" max="9" width="8.57421875" style="116" customWidth="1"/>
    <col min="10" max="10" width="12.140625" style="116" customWidth="1"/>
    <col min="11" max="11" width="12.8515625" style="116" customWidth="1"/>
    <col min="12" max="12" width="14.57421875" style="116" customWidth="1"/>
    <col min="13" max="16384" width="9.140625" style="116" customWidth="1"/>
  </cols>
  <sheetData>
    <row r="2" ht="20.25">
      <c r="H2" s="631" t="s">
        <v>180</v>
      </c>
    </row>
    <row r="3" ht="18.75">
      <c r="H3" s="602" t="s">
        <v>109</v>
      </c>
    </row>
    <row r="4" ht="18.75">
      <c r="H4" s="602" t="s">
        <v>439</v>
      </c>
    </row>
    <row r="5" spans="1:24" ht="21" customHeight="1">
      <c r="A5" s="141"/>
      <c r="B5" s="26"/>
      <c r="C5" s="2"/>
      <c r="D5" s="2"/>
      <c r="E5" s="2"/>
      <c r="F5" s="2"/>
      <c r="G5" s="262"/>
      <c r="H5" s="151" t="s">
        <v>259</v>
      </c>
      <c r="I5" s="679"/>
      <c r="J5" s="680"/>
      <c r="K5" s="34"/>
      <c r="L5" s="34"/>
      <c r="M5" s="34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141"/>
      <c r="B6" s="26"/>
      <c r="C6" s="2"/>
      <c r="D6" s="2"/>
      <c r="E6" s="2"/>
      <c r="F6" s="2"/>
      <c r="G6" s="151"/>
      <c r="H6" s="151"/>
      <c r="I6" s="679"/>
      <c r="J6" s="680"/>
      <c r="K6" s="34"/>
      <c r="L6" s="34"/>
      <c r="M6" s="34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 customHeight="1">
      <c r="A7" s="141"/>
      <c r="B7" s="26"/>
      <c r="C7" s="2"/>
      <c r="D7" s="2"/>
      <c r="E7" s="2"/>
      <c r="F7" s="2"/>
      <c r="G7" s="2"/>
      <c r="H7" s="681"/>
      <c r="I7" s="679"/>
      <c r="J7" s="680"/>
      <c r="K7" s="34"/>
      <c r="L7" s="34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683" customFormat="1" ht="18.75">
      <c r="A8" s="180" t="s">
        <v>192</v>
      </c>
      <c r="B8" s="24"/>
      <c r="C8" s="24"/>
      <c r="D8" s="24"/>
      <c r="E8" s="24"/>
      <c r="F8" s="24"/>
      <c r="G8" s="24"/>
      <c r="H8" s="24"/>
      <c r="I8" s="24"/>
      <c r="J8" s="68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683" customFormat="1" ht="18.75">
      <c r="A9" s="180" t="s">
        <v>193</v>
      </c>
      <c r="B9" s="180"/>
      <c r="C9" s="24"/>
      <c r="D9" s="24"/>
      <c r="E9" s="24"/>
      <c r="F9" s="24"/>
      <c r="G9" s="24"/>
      <c r="H9" s="24"/>
      <c r="I9" s="24"/>
      <c r="J9" s="682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683" customFormat="1" ht="18.75">
      <c r="A10" s="180"/>
      <c r="B10" s="24"/>
      <c r="C10" s="24"/>
      <c r="D10" s="24"/>
      <c r="E10" s="24"/>
      <c r="F10" s="24"/>
      <c r="G10" s="24"/>
      <c r="H10" s="24"/>
      <c r="I10" s="684" t="s">
        <v>368</v>
      </c>
      <c r="J10" s="682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9.5" customHeight="1">
      <c r="A11" s="685"/>
      <c r="B11" s="686"/>
      <c r="C11" s="686"/>
      <c r="D11" s="687"/>
      <c r="E11" s="86" t="s">
        <v>194</v>
      </c>
      <c r="F11" s="688"/>
      <c r="G11" s="689"/>
      <c r="H11" s="86" t="s">
        <v>195</v>
      </c>
      <c r="I11" s="690"/>
      <c r="J11" s="691"/>
      <c r="K11" s="692"/>
      <c r="L11" s="34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1.75" customHeight="1">
      <c r="A12" s="687"/>
      <c r="B12" s="687"/>
      <c r="C12" s="693"/>
      <c r="D12" s="946" t="s">
        <v>196</v>
      </c>
      <c r="E12" s="395"/>
      <c r="F12" s="694" t="s">
        <v>197</v>
      </c>
      <c r="G12" s="695"/>
      <c r="H12" s="696"/>
      <c r="I12" s="697" t="s">
        <v>357</v>
      </c>
      <c r="J12" s="946" t="s">
        <v>198</v>
      </c>
      <c r="K12" s="34"/>
      <c r="L12" s="34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>
      <c r="A13" s="698" t="s">
        <v>562</v>
      </c>
      <c r="B13" s="699" t="s">
        <v>199</v>
      </c>
      <c r="C13" s="700" t="s">
        <v>369</v>
      </c>
      <c r="D13" s="946"/>
      <c r="E13" s="701" t="s">
        <v>200</v>
      </c>
      <c r="F13" s="948" t="s">
        <v>201</v>
      </c>
      <c r="G13" s="950" t="s">
        <v>202</v>
      </c>
      <c r="H13" s="699" t="s">
        <v>203</v>
      </c>
      <c r="I13" s="952" t="s">
        <v>204</v>
      </c>
      <c r="J13" s="946"/>
      <c r="K13" s="34"/>
      <c r="L13" s="34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9.5" customHeight="1">
      <c r="A14" s="702"/>
      <c r="B14" s="702"/>
      <c r="C14" s="703" t="s">
        <v>205</v>
      </c>
      <c r="D14" s="947"/>
      <c r="E14" s="704"/>
      <c r="F14" s="949"/>
      <c r="G14" s="951"/>
      <c r="H14" s="306"/>
      <c r="I14" s="953"/>
      <c r="J14" s="947"/>
      <c r="K14" s="34"/>
      <c r="L14" s="34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705">
        <v>1</v>
      </c>
      <c r="B15" s="705">
        <v>2</v>
      </c>
      <c r="C15" s="705">
        <v>3</v>
      </c>
      <c r="D15" s="706"/>
      <c r="E15" s="705">
        <v>4</v>
      </c>
      <c r="F15" s="705">
        <v>5</v>
      </c>
      <c r="G15" s="705">
        <v>6</v>
      </c>
      <c r="H15" s="705">
        <v>7</v>
      </c>
      <c r="I15" s="705">
        <v>8</v>
      </c>
      <c r="J15" s="680"/>
      <c r="K15" s="34"/>
      <c r="L15" s="34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>
      <c r="A16" s="707"/>
      <c r="B16" s="708" t="s">
        <v>108</v>
      </c>
      <c r="C16" s="702"/>
      <c r="D16" s="709">
        <f>D18</f>
        <v>-1289504.01</v>
      </c>
      <c r="E16" s="776">
        <f>SUM(E18:E22)</f>
        <v>27198764.62</v>
      </c>
      <c r="F16" s="777">
        <f>SUM(F18,)</f>
        <v>11013485.389999999</v>
      </c>
      <c r="G16" s="777"/>
      <c r="H16" s="778">
        <f>SUM(H18:H22)</f>
        <v>27198764.62</v>
      </c>
      <c r="I16" s="710">
        <f>SUM(I18:I22)</f>
        <v>0</v>
      </c>
      <c r="J16" s="711">
        <f>J18</f>
        <v>-1289504.01</v>
      </c>
      <c r="K16" s="712"/>
      <c r="L16" s="712">
        <f>E16-H16</f>
        <v>0</v>
      </c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7.25" customHeight="1">
      <c r="A17" s="707"/>
      <c r="B17" s="713" t="s">
        <v>206</v>
      </c>
      <c r="C17" s="714"/>
      <c r="D17" s="714"/>
      <c r="E17" s="715"/>
      <c r="F17" s="716"/>
      <c r="G17" s="707"/>
      <c r="H17" s="717"/>
      <c r="I17" s="718"/>
      <c r="J17" s="719"/>
      <c r="K17" s="712"/>
      <c r="L17" s="712">
        <f>D16-J16</f>
        <v>0</v>
      </c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customHeight="1">
      <c r="A18" s="720" t="s">
        <v>207</v>
      </c>
      <c r="B18" s="721" t="s">
        <v>208</v>
      </c>
      <c r="C18" s="722">
        <v>600</v>
      </c>
      <c r="D18" s="723">
        <v>-1289504.01</v>
      </c>
      <c r="E18" s="774">
        <f>11872.69+27186891.93</f>
        <v>27198764.62</v>
      </c>
      <c r="F18" s="775">
        <f>SUM(F20,)</f>
        <v>11013485.389999999</v>
      </c>
      <c r="G18" s="724"/>
      <c r="H18" s="774">
        <f>11872.69+27186891.93</f>
        <v>27198764.62</v>
      </c>
      <c r="I18" s="725"/>
      <c r="J18" s="723">
        <v>-1289504.01</v>
      </c>
      <c r="K18" s="726"/>
      <c r="L18" s="726"/>
      <c r="M18" s="727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</row>
    <row r="19" spans="1:24" ht="12.75">
      <c r="A19" s="728"/>
      <c r="B19" s="696" t="s">
        <v>357</v>
      </c>
      <c r="C19" s="729">
        <v>60004</v>
      </c>
      <c r="D19" s="729"/>
      <c r="E19" s="730"/>
      <c r="F19" s="381"/>
      <c r="G19" s="731"/>
      <c r="H19" s="730"/>
      <c r="I19" s="732"/>
      <c r="J19" s="733"/>
      <c r="K19" s="734"/>
      <c r="L19" s="734"/>
      <c r="M19" s="727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79.5" customHeight="1">
      <c r="A20" s="728"/>
      <c r="B20" s="696" t="s">
        <v>209</v>
      </c>
      <c r="C20" s="729"/>
      <c r="D20" s="729"/>
      <c r="E20" s="730"/>
      <c r="F20" s="779">
        <f>11000184.75+1427.95+11872.69</f>
        <v>11013485.389999999</v>
      </c>
      <c r="G20" s="735" t="s">
        <v>210</v>
      </c>
      <c r="H20" s="730"/>
      <c r="I20" s="732"/>
      <c r="J20" s="733"/>
      <c r="K20" s="734"/>
      <c r="L20" s="734"/>
      <c r="M20" s="35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" customHeight="1">
      <c r="A21" s="728"/>
      <c r="B21" s="696" t="s">
        <v>211</v>
      </c>
      <c r="C21" s="729"/>
      <c r="D21" s="729"/>
      <c r="E21" s="730"/>
      <c r="F21" s="381"/>
      <c r="G21" s="731"/>
      <c r="H21" s="730"/>
      <c r="I21" s="732"/>
      <c r="J21" s="733"/>
      <c r="K21" s="734"/>
      <c r="L21" s="734"/>
      <c r="M21" s="3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21" customHeight="1">
      <c r="A22" s="736"/>
      <c r="B22" s="737" t="s">
        <v>212</v>
      </c>
      <c r="C22" s="738"/>
      <c r="D22" s="738"/>
      <c r="E22" s="739"/>
      <c r="F22" s="773">
        <f>1188634.75+1427.95+11872.69</f>
        <v>1201935.39</v>
      </c>
      <c r="G22" s="740"/>
      <c r="H22" s="739"/>
      <c r="I22" s="741"/>
      <c r="J22" s="742"/>
      <c r="K22" s="734"/>
      <c r="L22" s="734"/>
      <c r="M22" s="35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680"/>
      <c r="K23" s="34"/>
      <c r="L23" s="34"/>
      <c r="M23" s="3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680"/>
      <c r="K24" s="34"/>
      <c r="L24" s="34"/>
      <c r="M24" s="3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680"/>
      <c r="K25" s="34"/>
      <c r="L25" s="34"/>
      <c r="M25" s="3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945"/>
      <c r="E26" s="497"/>
      <c r="F26" s="395"/>
      <c r="G26" s="395"/>
      <c r="H26" s="497"/>
      <c r="I26" s="2"/>
      <c r="J26" s="680"/>
      <c r="K26" s="34"/>
      <c r="L26" s="34"/>
      <c r="M26" s="3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945"/>
      <c r="E27" s="395"/>
      <c r="F27" s="395"/>
      <c r="G27" s="395"/>
      <c r="H27" s="395"/>
      <c r="I27" s="2"/>
      <c r="J27" s="680"/>
      <c r="K27" s="34"/>
      <c r="L27" s="34"/>
      <c r="M27" s="3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945"/>
      <c r="E28" s="497"/>
      <c r="F28" s="497"/>
      <c r="G28" s="497"/>
      <c r="H28" s="945"/>
      <c r="I28" s="2"/>
      <c r="J28" s="680"/>
      <c r="K28" s="34"/>
      <c r="L28" s="34"/>
      <c r="M28" s="3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395"/>
      <c r="E29" s="395"/>
      <c r="F29" s="395"/>
      <c r="G29" s="395"/>
      <c r="H29" s="945"/>
      <c r="I29" s="2"/>
      <c r="J29" s="680"/>
      <c r="K29" s="34"/>
      <c r="L29" s="34"/>
      <c r="M29" s="3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4"/>
      <c r="D30" s="497"/>
      <c r="E30" s="497"/>
      <c r="F30" s="497"/>
      <c r="G30" s="497"/>
      <c r="H30" s="945"/>
      <c r="I30" s="2"/>
      <c r="J30" s="680"/>
      <c r="K30" s="34"/>
      <c r="L30" s="34"/>
      <c r="M30" s="3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4"/>
      <c r="D31" s="4"/>
      <c r="E31" s="4"/>
      <c r="F31" s="4"/>
      <c r="G31" s="4"/>
      <c r="H31" s="2"/>
      <c r="I31" s="2"/>
      <c r="J31" s="680"/>
      <c r="K31" s="34"/>
      <c r="L31" s="34"/>
      <c r="M31" s="3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4"/>
      <c r="D32" s="4"/>
      <c r="E32" s="4"/>
      <c r="F32" s="4"/>
      <c r="G32" s="4"/>
      <c r="H32" s="2"/>
      <c r="I32" s="2"/>
      <c r="J32" s="680"/>
      <c r="K32" s="34"/>
      <c r="L32" s="34"/>
      <c r="M32" s="3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4"/>
      <c r="D33" s="4"/>
      <c r="E33" s="4"/>
      <c r="F33" s="4"/>
      <c r="G33" s="4"/>
      <c r="H33" s="2"/>
      <c r="I33" s="2"/>
      <c r="J33" s="680"/>
      <c r="K33" s="34"/>
      <c r="L33" s="34"/>
      <c r="M33" s="3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4"/>
      <c r="D34" s="4"/>
      <c r="E34" s="4"/>
      <c r="F34" s="4"/>
      <c r="G34" s="4"/>
      <c r="H34" s="2"/>
      <c r="I34" s="2"/>
      <c r="J34" s="680"/>
      <c r="K34" s="34"/>
      <c r="L34" s="34"/>
      <c r="M34" s="3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4"/>
      <c r="D35" s="4"/>
      <c r="E35" s="4"/>
      <c r="F35" s="4"/>
      <c r="G35" s="4"/>
      <c r="H35" s="2"/>
      <c r="I35" s="2"/>
      <c r="J35" s="680"/>
      <c r="K35" s="34"/>
      <c r="L35" s="34"/>
      <c r="M35" s="3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4"/>
      <c r="D36" s="4"/>
      <c r="E36" s="4"/>
      <c r="F36" s="4"/>
      <c r="G36" s="4"/>
      <c r="H36" s="2"/>
      <c r="I36" s="2"/>
      <c r="J36" s="680"/>
      <c r="K36" s="34"/>
      <c r="L36" s="34"/>
      <c r="M36" s="3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680"/>
      <c r="K37" s="34"/>
      <c r="L37" s="34"/>
      <c r="M37" s="3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680"/>
      <c r="K38" s="34"/>
      <c r="L38" s="34"/>
      <c r="M38" s="3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680"/>
      <c r="K39" s="34"/>
      <c r="L39" s="34"/>
      <c r="M39" s="3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680"/>
      <c r="K40" s="34"/>
      <c r="L40" s="34"/>
      <c r="M40" s="3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680"/>
      <c r="K41" s="34"/>
      <c r="L41" s="34"/>
      <c r="M41" s="3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680"/>
      <c r="K42" s="34"/>
      <c r="L42" s="34"/>
      <c r="M42" s="3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680"/>
      <c r="K43" s="34"/>
      <c r="L43" s="34"/>
      <c r="M43" s="3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680"/>
      <c r="K44" s="34"/>
      <c r="L44" s="34"/>
      <c r="M44" s="3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680"/>
      <c r="K45" s="34"/>
      <c r="L45" s="34"/>
      <c r="M45" s="3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680"/>
      <c r="K46" s="34"/>
      <c r="L46" s="34"/>
      <c r="M46" s="3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680"/>
      <c r="K47" s="34"/>
      <c r="L47" s="34"/>
      <c r="M47" s="3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680"/>
      <c r="K48" s="34"/>
      <c r="L48" s="34"/>
      <c r="M48" s="3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680"/>
      <c r="K49" s="34"/>
      <c r="L49" s="34"/>
      <c r="M49" s="3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680"/>
      <c r="K50" s="34"/>
      <c r="L50" s="34"/>
      <c r="M50" s="3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680"/>
      <c r="K51" s="34"/>
      <c r="L51" s="34"/>
      <c r="M51" s="3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680"/>
      <c r="K52" s="34"/>
      <c r="L52" s="34"/>
      <c r="M52" s="3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680"/>
      <c r="K53" s="34"/>
      <c r="L53" s="34"/>
      <c r="M53" s="3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680"/>
      <c r="K54" s="34"/>
      <c r="L54" s="34"/>
      <c r="M54" s="3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680"/>
      <c r="K55" s="34"/>
      <c r="L55" s="34"/>
      <c r="M55" s="3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680"/>
      <c r="K56" s="34"/>
      <c r="L56" s="34"/>
      <c r="M56" s="3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680"/>
      <c r="K57" s="34"/>
      <c r="L57" s="34"/>
      <c r="M57" s="3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680"/>
      <c r="K58" s="34"/>
      <c r="L58" s="34"/>
      <c r="M58" s="3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680"/>
      <c r="K59" s="34"/>
      <c r="L59" s="34"/>
      <c r="M59" s="3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680"/>
      <c r="K60" s="34"/>
      <c r="L60" s="34"/>
      <c r="M60" s="3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680"/>
      <c r="K61" s="34"/>
      <c r="L61" s="34"/>
      <c r="M61" s="3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680"/>
      <c r="K62" s="34"/>
      <c r="L62" s="34"/>
      <c r="M62" s="3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680"/>
      <c r="K63" s="34"/>
      <c r="L63" s="34"/>
      <c r="M63" s="3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680"/>
      <c r="K64" s="34"/>
      <c r="L64" s="34"/>
      <c r="M64" s="3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680"/>
      <c r="K65" s="34"/>
      <c r="L65" s="34"/>
      <c r="M65" s="3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680"/>
      <c r="K66" s="34"/>
      <c r="L66" s="34"/>
      <c r="M66" s="3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680"/>
      <c r="K67" s="34"/>
      <c r="L67" s="34"/>
      <c r="M67" s="3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680"/>
      <c r="K68" s="34"/>
      <c r="L68" s="34"/>
      <c r="M68" s="3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680"/>
      <c r="K69" s="34"/>
      <c r="L69" s="34"/>
      <c r="M69" s="3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680"/>
      <c r="K70" s="34"/>
      <c r="L70" s="34"/>
      <c r="M70" s="3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680"/>
      <c r="K71" s="34"/>
      <c r="L71" s="34"/>
      <c r="M71" s="3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680"/>
      <c r="K72" s="34"/>
      <c r="L72" s="34"/>
      <c r="M72" s="3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680"/>
      <c r="K73" s="34"/>
      <c r="L73" s="34"/>
      <c r="M73" s="3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680"/>
      <c r="K74" s="34"/>
      <c r="L74" s="34"/>
      <c r="M74" s="3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680"/>
      <c r="K75" s="34"/>
      <c r="L75" s="34"/>
      <c r="M75" s="3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680"/>
      <c r="K76" s="34"/>
      <c r="L76" s="34"/>
      <c r="M76" s="3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680"/>
      <c r="K77" s="34"/>
      <c r="L77" s="34"/>
      <c r="M77" s="3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680"/>
      <c r="K78" s="34"/>
      <c r="L78" s="34"/>
      <c r="M78" s="3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680"/>
      <c r="K79" s="34"/>
      <c r="L79" s="34"/>
      <c r="M79" s="3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680"/>
      <c r="K80" s="34"/>
      <c r="L80" s="34"/>
      <c r="M80" s="3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680"/>
      <c r="K81" s="34"/>
      <c r="L81" s="34"/>
      <c r="M81" s="3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680"/>
      <c r="K82" s="34"/>
      <c r="L82" s="34"/>
      <c r="M82" s="3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680"/>
      <c r="K83" s="34"/>
      <c r="L83" s="34"/>
      <c r="M83" s="3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680"/>
      <c r="K84" s="34"/>
      <c r="L84" s="34"/>
      <c r="M84" s="3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680"/>
      <c r="K85" s="34"/>
      <c r="L85" s="34"/>
      <c r="M85" s="3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680"/>
      <c r="K86" s="34"/>
      <c r="L86" s="34"/>
      <c r="M86" s="3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680"/>
      <c r="K87" s="34"/>
      <c r="L87" s="34"/>
      <c r="M87" s="3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680"/>
      <c r="K88" s="34"/>
      <c r="L88" s="34"/>
      <c r="M88" s="3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680"/>
      <c r="K89" s="34"/>
      <c r="L89" s="34"/>
      <c r="M89" s="3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680"/>
      <c r="K90" s="34"/>
      <c r="L90" s="34"/>
      <c r="M90" s="3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680"/>
      <c r="K91" s="34"/>
      <c r="L91" s="34"/>
      <c r="M91" s="3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680"/>
      <c r="K92" s="34"/>
      <c r="L92" s="34"/>
      <c r="M92" s="3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680"/>
      <c r="K93" s="34"/>
      <c r="L93" s="34"/>
      <c r="M93" s="3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680"/>
      <c r="K94" s="34"/>
      <c r="L94" s="34"/>
      <c r="M94" s="3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680"/>
      <c r="K95" s="34"/>
      <c r="L95" s="34"/>
      <c r="M95" s="3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680"/>
      <c r="K96" s="34"/>
      <c r="L96" s="34"/>
      <c r="M96" s="3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680"/>
      <c r="K97" s="34"/>
      <c r="L97" s="34"/>
      <c r="M97" s="3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680"/>
      <c r="K98" s="34"/>
      <c r="L98" s="34"/>
      <c r="M98" s="3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680"/>
      <c r="K99" s="34"/>
      <c r="L99" s="34"/>
      <c r="M99" s="3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680"/>
      <c r="K100" s="34"/>
      <c r="L100" s="34"/>
      <c r="M100" s="3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680"/>
      <c r="K101" s="34"/>
      <c r="L101" s="34"/>
      <c r="M101" s="3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680"/>
      <c r="K102" s="34"/>
      <c r="L102" s="34"/>
      <c r="M102" s="3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680"/>
      <c r="K103" s="34"/>
      <c r="L103" s="34"/>
      <c r="M103" s="3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680"/>
      <c r="K104" s="34"/>
      <c r="L104" s="34"/>
      <c r="M104" s="3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680"/>
      <c r="K105" s="34"/>
      <c r="L105" s="34"/>
      <c r="M105" s="3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680"/>
      <c r="K106" s="34"/>
      <c r="L106" s="34"/>
      <c r="M106" s="3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680"/>
      <c r="K107" s="34"/>
      <c r="L107" s="34"/>
      <c r="M107" s="3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680"/>
      <c r="K108" s="34"/>
      <c r="L108" s="34"/>
      <c r="M108" s="3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680"/>
      <c r="K109" s="34"/>
      <c r="L109" s="34"/>
      <c r="M109" s="3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680"/>
      <c r="K110" s="34"/>
      <c r="L110" s="34"/>
      <c r="M110" s="3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680"/>
      <c r="K111" s="34"/>
      <c r="L111" s="34"/>
      <c r="M111" s="3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680"/>
      <c r="K112" s="34"/>
      <c r="L112" s="34"/>
      <c r="M112" s="3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680"/>
      <c r="K113" s="34"/>
      <c r="L113" s="34"/>
      <c r="M113" s="3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680"/>
      <c r="K114" s="34"/>
      <c r="L114" s="34"/>
      <c r="M114" s="3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680"/>
      <c r="K115" s="34"/>
      <c r="L115" s="34"/>
      <c r="M115" s="3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680"/>
      <c r="K116" s="34"/>
      <c r="L116" s="34"/>
      <c r="M116" s="3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680"/>
      <c r="K117" s="34"/>
      <c r="L117" s="34"/>
      <c r="M117" s="3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680"/>
      <c r="K118" s="34"/>
      <c r="L118" s="34"/>
      <c r="M118" s="3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680"/>
      <c r="K119" s="34"/>
      <c r="L119" s="34"/>
      <c r="M119" s="3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680"/>
      <c r="K120" s="34"/>
      <c r="L120" s="34"/>
      <c r="M120" s="3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680"/>
      <c r="K121" s="34"/>
      <c r="L121" s="34"/>
      <c r="M121" s="3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680"/>
      <c r="K122" s="34"/>
      <c r="L122" s="34"/>
      <c r="M122" s="3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680"/>
      <c r="K123" s="34"/>
      <c r="L123" s="34"/>
      <c r="M123" s="3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680"/>
      <c r="K124" s="34"/>
      <c r="L124" s="34"/>
      <c r="M124" s="3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680"/>
      <c r="K125" s="34"/>
      <c r="L125" s="34"/>
      <c r="M125" s="3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680"/>
      <c r="K126" s="34"/>
      <c r="L126" s="34"/>
      <c r="M126" s="3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680"/>
      <c r="K127" s="34"/>
      <c r="L127" s="34"/>
      <c r="M127" s="3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680"/>
      <c r="K128" s="34"/>
      <c r="L128" s="34"/>
      <c r="M128" s="3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680"/>
      <c r="K129" s="34"/>
      <c r="L129" s="34"/>
      <c r="M129" s="3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680"/>
      <c r="K130" s="34"/>
      <c r="L130" s="34"/>
      <c r="M130" s="3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680"/>
      <c r="K131" s="34"/>
      <c r="L131" s="34"/>
      <c r="M131" s="3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680"/>
      <c r="K132" s="34"/>
      <c r="L132" s="34"/>
      <c r="M132" s="3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680"/>
      <c r="K133" s="34"/>
      <c r="L133" s="34"/>
      <c r="M133" s="3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680"/>
      <c r="K134" s="34"/>
      <c r="L134" s="34"/>
      <c r="M134" s="3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680"/>
      <c r="K135" s="34"/>
      <c r="L135" s="34"/>
      <c r="M135" s="3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680"/>
      <c r="K136" s="34"/>
      <c r="L136" s="34"/>
      <c r="M136" s="3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680"/>
      <c r="K137" s="34"/>
      <c r="L137" s="34"/>
      <c r="M137" s="3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680"/>
      <c r="K138" s="34"/>
      <c r="L138" s="34"/>
      <c r="M138" s="3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680"/>
      <c r="K139" s="34"/>
      <c r="L139" s="34"/>
      <c r="M139" s="3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680"/>
      <c r="K140" s="34"/>
      <c r="L140" s="34"/>
      <c r="M140" s="3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680"/>
      <c r="K141" s="34"/>
      <c r="L141" s="34"/>
      <c r="M141" s="3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680"/>
      <c r="K142" s="34"/>
      <c r="L142" s="34"/>
      <c r="M142" s="3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680"/>
      <c r="K143" s="34"/>
      <c r="L143" s="34"/>
      <c r="M143" s="3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680"/>
      <c r="K144" s="34"/>
      <c r="L144" s="34"/>
      <c r="M144" s="3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680"/>
      <c r="K145" s="34"/>
      <c r="L145" s="34"/>
      <c r="M145" s="3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680"/>
      <c r="K146" s="34"/>
      <c r="L146" s="34"/>
      <c r="M146" s="3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680"/>
      <c r="K147" s="34"/>
      <c r="L147" s="34"/>
      <c r="M147" s="3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680"/>
      <c r="K148" s="34"/>
      <c r="L148" s="34"/>
      <c r="M148" s="3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680"/>
      <c r="K149" s="34"/>
      <c r="L149" s="34"/>
      <c r="M149" s="3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680"/>
      <c r="K150" s="34"/>
      <c r="L150" s="34"/>
      <c r="M150" s="3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680"/>
      <c r="K151" s="34"/>
      <c r="L151" s="34"/>
      <c r="M151" s="3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680"/>
      <c r="K152" s="34"/>
      <c r="L152" s="34"/>
      <c r="M152" s="3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680"/>
      <c r="K153" s="34"/>
      <c r="L153" s="34"/>
      <c r="M153" s="3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680"/>
      <c r="K154" s="34"/>
      <c r="L154" s="34"/>
      <c r="M154" s="3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680"/>
      <c r="K155" s="34"/>
      <c r="L155" s="34"/>
      <c r="M155" s="3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680"/>
      <c r="K156" s="34"/>
      <c r="L156" s="34"/>
      <c r="M156" s="3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680"/>
      <c r="K157" s="34"/>
      <c r="L157" s="34"/>
      <c r="M157" s="3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680"/>
      <c r="K158" s="34"/>
      <c r="L158" s="34"/>
      <c r="M158" s="3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680"/>
      <c r="K159" s="34"/>
      <c r="L159" s="34"/>
      <c r="M159" s="3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680"/>
      <c r="K160" s="34"/>
      <c r="L160" s="34"/>
      <c r="M160" s="3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680"/>
      <c r="K161" s="34"/>
      <c r="L161" s="34"/>
      <c r="M161" s="3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680"/>
      <c r="K162" s="34"/>
      <c r="L162" s="34"/>
      <c r="M162" s="3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680"/>
      <c r="K163" s="34"/>
      <c r="L163" s="34"/>
      <c r="M163" s="3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680"/>
      <c r="K164" s="34"/>
      <c r="L164" s="34"/>
      <c r="M164" s="3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680"/>
      <c r="K165" s="34"/>
      <c r="L165" s="34"/>
      <c r="M165" s="3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680"/>
      <c r="K166" s="34"/>
      <c r="L166" s="34"/>
      <c r="M166" s="3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680"/>
      <c r="K167" s="34"/>
      <c r="L167" s="34"/>
      <c r="M167" s="3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680"/>
      <c r="K168" s="34"/>
      <c r="L168" s="34"/>
      <c r="M168" s="3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680"/>
      <c r="K169" s="34"/>
      <c r="L169" s="34"/>
      <c r="M169" s="3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680"/>
      <c r="K170" s="34"/>
      <c r="L170" s="34"/>
      <c r="M170" s="3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680"/>
      <c r="K171" s="34"/>
      <c r="L171" s="34"/>
      <c r="M171" s="3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680"/>
      <c r="K172" s="34"/>
      <c r="L172" s="34"/>
      <c r="M172" s="3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680"/>
      <c r="K173" s="34"/>
      <c r="L173" s="34"/>
      <c r="M173" s="3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680"/>
      <c r="K174" s="34"/>
      <c r="L174" s="34"/>
      <c r="M174" s="3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680"/>
      <c r="K175" s="34"/>
      <c r="L175" s="34"/>
      <c r="M175" s="3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680"/>
      <c r="K176" s="34"/>
      <c r="L176" s="34"/>
      <c r="M176" s="3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680"/>
      <c r="K177" s="34"/>
      <c r="L177" s="34"/>
      <c r="M177" s="3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680"/>
      <c r="K178" s="34"/>
      <c r="L178" s="34"/>
      <c r="M178" s="3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680"/>
      <c r="K179" s="34"/>
      <c r="L179" s="34"/>
      <c r="M179" s="3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680"/>
      <c r="K180" s="34"/>
      <c r="L180" s="34"/>
      <c r="M180" s="3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680"/>
      <c r="K181" s="34"/>
      <c r="L181" s="34"/>
      <c r="M181" s="3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680"/>
      <c r="K182" s="34"/>
      <c r="L182" s="34"/>
      <c r="M182" s="3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680"/>
      <c r="K183" s="34"/>
      <c r="L183" s="34"/>
      <c r="M183" s="3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680"/>
      <c r="K184" s="34"/>
      <c r="L184" s="34"/>
      <c r="M184" s="3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680"/>
      <c r="K185" s="34"/>
      <c r="L185" s="34"/>
      <c r="M185" s="3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680"/>
      <c r="K186" s="34"/>
      <c r="L186" s="34"/>
      <c r="M186" s="3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680"/>
      <c r="K187" s="34"/>
      <c r="L187" s="34"/>
      <c r="M187" s="3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680"/>
      <c r="K188" s="34"/>
      <c r="L188" s="34"/>
      <c r="M188" s="3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680"/>
      <c r="K189" s="34"/>
      <c r="L189" s="34"/>
      <c r="M189" s="3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680"/>
      <c r="K190" s="34"/>
      <c r="L190" s="34"/>
      <c r="M190" s="3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680"/>
      <c r="K191" s="34"/>
      <c r="L191" s="34"/>
      <c r="M191" s="3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680"/>
      <c r="K192" s="34"/>
      <c r="L192" s="34"/>
      <c r="M192" s="3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680"/>
      <c r="K193" s="34"/>
      <c r="L193" s="34"/>
      <c r="M193" s="3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680"/>
      <c r="K194" s="34"/>
      <c r="L194" s="34"/>
      <c r="M194" s="3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680"/>
      <c r="K195" s="34"/>
      <c r="L195" s="34"/>
      <c r="M195" s="3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680"/>
      <c r="K196" s="34"/>
      <c r="L196" s="34"/>
      <c r="M196" s="3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680"/>
      <c r="K197" s="34"/>
      <c r="L197" s="34"/>
      <c r="M197" s="3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680"/>
      <c r="K198" s="34"/>
      <c r="L198" s="34"/>
      <c r="M198" s="3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680"/>
      <c r="K199" s="34"/>
      <c r="L199" s="34"/>
      <c r="M199" s="3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680"/>
      <c r="K200" s="34"/>
      <c r="L200" s="34"/>
      <c r="M200" s="3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680"/>
      <c r="K201" s="34"/>
      <c r="L201" s="34"/>
      <c r="M201" s="3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680"/>
      <c r="K202" s="34"/>
      <c r="L202" s="34"/>
      <c r="M202" s="3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680"/>
      <c r="K203" s="34"/>
      <c r="L203" s="34"/>
      <c r="M203" s="3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680"/>
      <c r="K204" s="34"/>
      <c r="L204" s="34"/>
      <c r="M204" s="3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680"/>
      <c r="K205" s="34"/>
      <c r="L205" s="34"/>
      <c r="M205" s="3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680"/>
      <c r="K206" s="34"/>
      <c r="L206" s="34"/>
      <c r="M206" s="3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680"/>
      <c r="K207" s="34"/>
      <c r="L207" s="34"/>
      <c r="M207" s="3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680"/>
      <c r="K208" s="34"/>
      <c r="L208" s="34"/>
      <c r="M208" s="3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680"/>
      <c r="K209" s="34"/>
      <c r="L209" s="34"/>
      <c r="M209" s="3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680"/>
      <c r="K210" s="34"/>
      <c r="L210" s="34"/>
      <c r="M210" s="3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680"/>
      <c r="K211" s="34"/>
      <c r="L211" s="34"/>
      <c r="M211" s="3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680"/>
      <c r="K212" s="34"/>
      <c r="L212" s="34"/>
      <c r="M212" s="3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680"/>
      <c r="K213" s="34"/>
      <c r="L213" s="34"/>
      <c r="M213" s="3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680"/>
      <c r="K214" s="34"/>
      <c r="L214" s="34"/>
      <c r="M214" s="3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680"/>
      <c r="K215" s="34"/>
      <c r="L215" s="34"/>
      <c r="M215" s="3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680"/>
      <c r="K216" s="34"/>
      <c r="L216" s="34"/>
      <c r="M216" s="3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680"/>
      <c r="K217" s="34"/>
      <c r="L217" s="34"/>
      <c r="M217" s="3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680"/>
      <c r="K218" s="34"/>
      <c r="L218" s="34"/>
      <c r="M218" s="3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680"/>
      <c r="K219" s="34"/>
      <c r="L219" s="34"/>
      <c r="M219" s="3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680"/>
      <c r="K220" s="34"/>
      <c r="L220" s="34"/>
      <c r="M220" s="3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2"/>
      <c r="J221" s="680"/>
      <c r="K221" s="34"/>
      <c r="L221" s="34"/>
      <c r="M221" s="3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2"/>
      <c r="B222" s="2"/>
      <c r="C222" s="2"/>
      <c r="D222" s="2"/>
      <c r="E222" s="2"/>
      <c r="F222" s="2"/>
      <c r="G222" s="2"/>
      <c r="H222" s="2"/>
      <c r="I222" s="2"/>
      <c r="J222" s="680"/>
      <c r="K222" s="34"/>
      <c r="L222" s="34"/>
      <c r="M222" s="3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2"/>
      <c r="B223" s="2"/>
      <c r="C223" s="2"/>
      <c r="D223" s="2"/>
      <c r="E223" s="2"/>
      <c r="F223" s="2"/>
      <c r="G223" s="2"/>
      <c r="H223" s="2"/>
      <c r="I223" s="2"/>
      <c r="J223" s="680"/>
      <c r="K223" s="34"/>
      <c r="L223" s="34"/>
      <c r="M223" s="3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2"/>
      <c r="B224" s="2"/>
      <c r="C224" s="2"/>
      <c r="D224" s="2"/>
      <c r="E224" s="2"/>
      <c r="F224" s="2"/>
      <c r="G224" s="2"/>
      <c r="H224" s="2"/>
      <c r="I224" s="2"/>
      <c r="J224" s="680"/>
      <c r="K224" s="34"/>
      <c r="L224" s="34"/>
      <c r="M224" s="3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</sheetData>
  <sheetProtection/>
  <mergeCells count="7">
    <mergeCell ref="D26:D28"/>
    <mergeCell ref="H28:H30"/>
    <mergeCell ref="D12:D14"/>
    <mergeCell ref="J12:J14"/>
    <mergeCell ref="F13:F14"/>
    <mergeCell ref="G13:G14"/>
    <mergeCell ref="I13:I14"/>
  </mergeCells>
  <printOptions/>
  <pageMargins left="0.1968503937007874" right="0" top="0.7874015748031497" bottom="0.787401574803149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3" max="3" width="18.140625" style="0" customWidth="1"/>
    <col min="4" max="4" width="23.57421875" style="514" customWidth="1"/>
    <col min="5" max="5" width="23.7109375" style="357" customWidth="1"/>
    <col min="6" max="6" width="28.140625" style="357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mmichnicka</cp:lastModifiedBy>
  <cp:lastPrinted>2014-06-17T09:06:44Z</cp:lastPrinted>
  <dcterms:created xsi:type="dcterms:W3CDTF">2009-03-04T08:33:11Z</dcterms:created>
  <dcterms:modified xsi:type="dcterms:W3CDTF">2014-06-17T11:40:56Z</dcterms:modified>
  <cp:category/>
  <cp:version/>
  <cp:contentType/>
  <cp:contentStatus/>
</cp:coreProperties>
</file>