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Proj Uch. RM nr    .07. 2014." sheetId="1" r:id="rId1"/>
    <sheet name="Zał. nr 1" sheetId="2" r:id="rId2"/>
    <sheet name="Zał. nr 2" sheetId="3" r:id="rId3"/>
    <sheet name="Zał. nr 3" sheetId="4" r:id="rId4"/>
    <sheet name="zał. nr 4" sheetId="5" r:id="rId5"/>
    <sheet name="Wolny" sheetId="6" r:id="rId6"/>
  </sheets>
  <definedNames>
    <definedName name="_xlnm.Print_Titles" localSheetId="1">'Zał. nr 1'!$11:$13</definedName>
    <definedName name="_xlnm.Print_Titles" localSheetId="2">'Zał. nr 2'!$12:$12</definedName>
    <definedName name="_xlnm.Print_Titles" localSheetId="3">'Zał. nr 3'!$11:$11</definedName>
  </definedNames>
  <calcPr fullCalcOnLoad="1"/>
</workbook>
</file>

<file path=xl/sharedStrings.xml><?xml version="1.0" encoding="utf-8"?>
<sst xmlns="http://schemas.openxmlformats.org/spreadsheetml/2006/main" count="555" uniqueCount="418">
  <si>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</si>
  <si>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</si>
  <si>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</si>
  <si>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</si>
  <si>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</si>
  <si>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</si>
  <si>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</si>
  <si>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</si>
  <si>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</si>
  <si>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</si>
  <si>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</si>
  <si>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</si>
  <si>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</si>
  <si>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</si>
  <si>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</si>
  <si>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</si>
  <si>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</si>
  <si>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</si>
  <si>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</si>
  <si>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"Jesteś przedsiębiorczy! Zacznij działać już dziś w Koninie"w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</si>
  <si>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</si>
  <si>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</si>
  <si>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</si>
  <si>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</si>
  <si>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</si>
  <si>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 xml:space="preserve">prace konserwatorskie obrazu Św. Rocha z wyposażenia kościoła parafii Rzymskokatolickiej p.w. św.Wojciecha w Koninie 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</si>
  <si>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</si>
  <si>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</si>
  <si>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</si>
  <si>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</si>
  <si>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</si>
  <si>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</si>
  <si>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</si>
  <si>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>dotacja dla niepublicznego liceum ogólnokształcącego rozdz. 80120</t>
  </si>
  <si>
    <t>3. W § 1 ust. 3</t>
  </si>
  <si>
    <t>4. W Załączniku Nr 2 do uchwały budżetowej dokonuje się następujących zmian:</t>
  </si>
  <si>
    <t>5. W Załączniku Nr 2 do uchwały budżetowej dokonuje się następujących zmian:</t>
  </si>
  <si>
    <t xml:space="preserve">                                                                               § 3</t>
  </si>
  <si>
    <t xml:space="preserve">                                     UCHWAŁA  NR    </t>
  </si>
  <si>
    <t>Załącznik nr 1</t>
  </si>
  <si>
    <t xml:space="preserve">do Uchwały nr  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</si>
  <si>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</si>
  <si>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</si>
  <si>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</si>
  <si>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</si>
  <si>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</si>
  <si>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</si>
  <si>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</si>
  <si>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</si>
  <si>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</si>
  <si>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</si>
  <si>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</si>
  <si>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>Nr 812 Rady Miasta Konina z dnia 28 maja 2014 r.; Nr 59/2014 Prezydenta Miasta Konina z dnia 5 czerwca 2014 r.;</t>
  </si>
  <si>
    <r>
      <t xml:space="preserve">  </t>
    </r>
    <r>
      <rPr>
        <b/>
        <i/>
        <sz val="12"/>
        <rFont val="Times New Roman"/>
        <family val="1"/>
      </rPr>
      <t>- wprowadza się następujące zmiany:</t>
    </r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</si>
  <si>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</si>
  <si>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Nr 40/2014 Prezydenta Miasta Konina z dnia 11 kwietnia 2014 r.; Nr 42/2014 Prezydenta Miasta Konina</t>
  </si>
  <si>
    <t>z dnia 22 kwietnia 2014 r.; Nr 771 Rady Miasta Konina z dnia 30 kwietnia 2014 r.; Nr 45/2014 Prezydenta</t>
  </si>
  <si>
    <t>Miasta Konina z dnia 8 maja 2014 r.; Nr 48/2014 Prezydenta Miasta Konina z dnia 22 maja 2014 r.;</t>
  </si>
  <si>
    <t>0750</t>
  </si>
  <si>
    <t xml:space="preserve">zaliczanych do sektora finansów publicznych na cele publiczne związane z realizacją zadań </t>
  </si>
  <si>
    <t xml:space="preserve">miasta Konina na 2014 rok zmienionej  uchwałami i zarządzeniami w sprawie zmian w budżecie miasta Konina </t>
  </si>
  <si>
    <t>0970</t>
  </si>
  <si>
    <t>Projekt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</si>
  <si>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</si>
  <si>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</si>
  <si>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</si>
  <si>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</si>
  <si>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</si>
  <si>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</si>
  <si>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</si>
  <si>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</si>
  <si>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</si>
  <si>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</si>
  <si>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</si>
  <si>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</si>
  <si>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</si>
  <si>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</si>
  <si>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</si>
  <si>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</si>
  <si>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</si>
  <si>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Oświata i wychowanie</t>
  </si>
  <si>
    <t>Ochrona zdrowia</t>
  </si>
  <si>
    <t>Pozostałe zadania w zakresie polityki społecznej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</si>
  <si>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</si>
  <si>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</si>
  <si>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</si>
  <si>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</si>
  <si>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</si>
  <si>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</si>
  <si>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</si>
  <si>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</si>
  <si>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</si>
  <si>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</si>
  <si>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</si>
  <si>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</si>
  <si>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</si>
  <si>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</si>
  <si>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</si>
  <si>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</si>
  <si>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       Zwiększa się</t>
  </si>
  <si>
    <t xml:space="preserve">          zastępuje się kwotą</t>
  </si>
  <si>
    <t xml:space="preserve">         w tym: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</si>
  <si>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</si>
  <si>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</si>
  <si>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</si>
  <si>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</si>
  <si>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</si>
  <si>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</si>
  <si>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</si>
  <si>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</si>
  <si>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</si>
  <si>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</si>
  <si>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</si>
  <si>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801</t>
  </si>
  <si>
    <t xml:space="preserve">         1) dochody gminy ogółem                                                                                  </t>
  </si>
  <si>
    <t>4300</t>
  </si>
  <si>
    <t xml:space="preserve">         W uchwale Nr 700 Rady Miasta Konina z dnia 18 grudnia 2013 r. w sprawie uchwalenia budżetu</t>
  </si>
  <si>
    <t>"Twoja firma - wspomagamy przedsiębiorczych w Koninie" - w ramach programu POKL (dotacja celowa)</t>
  </si>
  <si>
    <t>Kultura i ochrona dziedzictwa narodowego</t>
  </si>
  <si>
    <t>Turystyka</t>
  </si>
  <si>
    <t>Edukacyjna opieka wychowawcza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</si>
  <si>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</si>
  <si>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</si>
  <si>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b) kwotę części powiatowej</t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</si>
  <si>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</si>
  <si>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na 2014 rok:  Nr 721 Rady Miasta Konina z dnia 29 stycznia 2014 r.; Nr  11/2014 Prezydenta Miasta Konina</t>
  </si>
  <si>
    <t>4810</t>
  </si>
  <si>
    <t>4210</t>
  </si>
  <si>
    <t>80110</t>
  </si>
  <si>
    <t>Wyszczególnienie</t>
  </si>
  <si>
    <t xml:space="preserve">Określenie zadań </t>
  </si>
  <si>
    <t>Razem zadania gminy</t>
  </si>
  <si>
    <t>Dotacje celowe</t>
  </si>
  <si>
    <t xml:space="preserve">usuwanie wyrobów zawierających azbest z nieruchomości położonych na terenie miasta Konina </t>
  </si>
  <si>
    <t xml:space="preserve">Razem zadania powiatu </t>
  </si>
  <si>
    <t>OGÓŁEM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</si>
  <si>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</si>
  <si>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</si>
  <si>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</si>
  <si>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Plan  na 2014 rok</t>
  </si>
  <si>
    <t xml:space="preserve">Dotacje podmiotowe </t>
  </si>
  <si>
    <t>dotacja dla niepublicznego przedszkola i punktów przedszkolnych rozdz. 80104</t>
  </si>
  <si>
    <t>dotacja dla niepublicznego gimnazjum  rozdz.80110</t>
  </si>
  <si>
    <t>750</t>
  </si>
  <si>
    <t>75022</t>
  </si>
  <si>
    <t>921</t>
  </si>
  <si>
    <t>92109</t>
  </si>
  <si>
    <t>2480</t>
  </si>
  <si>
    <t xml:space="preserve">                                     z dnia  3 lipca  2014 roku</t>
  </si>
  <si>
    <t>DRUK nr  897</t>
  </si>
  <si>
    <t xml:space="preserve">z dnia  3  lipca  2014 roku       </t>
  </si>
  <si>
    <t>do sektora finansów publicznych na cele publiczne związane z realizacją zadań miasta na 2014 rok"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</si>
  <si>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</si>
  <si>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</si>
  <si>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</si>
  <si>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</si>
  <si>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</si>
  <si>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</si>
  <si>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</si>
  <si>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</si>
  <si>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Transport i łączność</t>
  </si>
  <si>
    <t>do kosztów utrzymania zbiorowej komunikacji miejskiej</t>
  </si>
  <si>
    <t>Administracja publiczna</t>
  </si>
  <si>
    <t>na realizacje zadania pn. "Aglomeracja konińska - współpraca JST kluczem do nowoczesnego rozwoju gospodarczego"</t>
  </si>
  <si>
    <t xml:space="preserve">Oświata i wychowanie </t>
  </si>
  <si>
    <t>koszty utrzymania dzieci  z miasta Konina umieszczonych w  przedszklolu na terenie innej gminy</t>
  </si>
  <si>
    <t>Dotacja celowa na zakupy inwestycyjne dla Oddziału Leczenia Uzależnień Wojewódzkiego Szpitala Zespolonego w Koninie - zakup kombajnu wielofunkcyjnego i rzutnika multimedialnego</t>
  </si>
  <si>
    <t xml:space="preserve">Projekt pt. "Aktywni po pięćdziesiątce - czas na zmiany" </t>
  </si>
  <si>
    <t>Gospodarka komunalna  i ochrona środowiska</t>
  </si>
  <si>
    <t>dotacja dla KDK  na zakup  i montaż instalacji satelitarnej do odbioru i emisji wydarzeń kulturalnych</t>
  </si>
  <si>
    <t>Wykonanie nowej instalacji CO w pasażu handlowym od strony ul. Dworcowej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</si>
  <si>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</si>
  <si>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</si>
  <si>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</si>
  <si>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>Załącznik nr  2</t>
  </si>
  <si>
    <t xml:space="preserve">z dnia 3 lipca  2014 roku       </t>
  </si>
  <si>
    <t xml:space="preserve">           2) kwotę  wydatków  powiatu ogółem                      </t>
  </si>
  <si>
    <t>Nr 824 Rady Miasta Konina z dnia 25 lipca 2014 r.; Nr 65 /2014 Prezydenta Miasta Konina z dnia 26 czerwca 2014 r.;</t>
  </si>
  <si>
    <t xml:space="preserve">  bankowym   oraz  kredytem długoterminowym.</t>
  </si>
  <si>
    <t>2. Ustala się plan przychodów i rozchodów budżetu miasta na 2014 rok w tym:</t>
  </si>
  <si>
    <t xml:space="preserve"> - łączne przychody w wysokości</t>
  </si>
  <si>
    <t>zł</t>
  </si>
  <si>
    <t xml:space="preserve"> - łączne rozchody w wysokości</t>
  </si>
  <si>
    <t>zł"</t>
  </si>
  <si>
    <r>
      <t xml:space="preserve">W Załączniku nr  10 do uchwały budżetowej obejmujący  </t>
    </r>
    <r>
      <rPr>
        <i/>
        <sz val="13"/>
        <rFont val="Times New Roman"/>
        <family val="1"/>
      </rPr>
      <t>"Plan przychodów i rozchodów budżetu</t>
    </r>
  </si>
  <si>
    <r>
      <t xml:space="preserve"> miasta Konina na 2014 rok" </t>
    </r>
    <r>
      <rPr>
        <sz val="13"/>
        <rFont val="Times New Roman"/>
        <family val="1"/>
      </rPr>
      <t>dokonuje się następujących zmian:</t>
    </r>
  </si>
  <si>
    <t>Zwiększa się plan przychodów o kwotę</t>
  </si>
  <si>
    <t>do niniejszej uchwały.</t>
  </si>
  <si>
    <t>Załącznik nr  4</t>
  </si>
  <si>
    <t xml:space="preserve">                  PLAN  PRZYCHODÓW  I  ROZCHODÓW    </t>
  </si>
  <si>
    <t xml:space="preserve">               BUDŻETU   MIASTA  KONINA  NA 2014 ROK</t>
  </si>
  <si>
    <t xml:space="preserve">               Plan  na 2014 rok</t>
  </si>
  <si>
    <t>Przychody</t>
  </si>
  <si>
    <t xml:space="preserve">    Rozchody</t>
  </si>
  <si>
    <t>Nazwa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</si>
  <si>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</si>
  <si>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</si>
  <si>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</si>
  <si>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Obsługa długu publicznego</t>
  </si>
  <si>
    <t>Obsługa papierów wartościowych, kredytów i pożyczek jednostek samorządu terytorialnego</t>
  </si>
  <si>
    <t>Wolne środki na rachunkach bankowych</t>
  </si>
  <si>
    <t>Przeprawa przez rzekę Wartę - nowy przebieg drogi krajowej Nr 25 - kredyt</t>
  </si>
  <si>
    <t>Spłata wcześniej zaciągniętych zobowiązań  oraz częściowe finansowanie planowanego deficytu budżetu miasta</t>
  </si>
  <si>
    <t>Modernizacja oświetlenia ulicznego miasta  Konina na energooszczędne</t>
  </si>
  <si>
    <t>Zarządzanie energią w budynkach użyteczności publicznej w Koninie - pożyczka</t>
  </si>
  <si>
    <t>Zadania  inwestycje i spłata zadłużenia</t>
  </si>
  <si>
    <t xml:space="preserve">z dnia  3 lipca 2013 roku       </t>
  </si>
  <si>
    <t xml:space="preserve">ZAŁĄCZNIK nr  1 </t>
  </si>
  <si>
    <t xml:space="preserve">Plan wydatków majątkowych realizowanych ze środków </t>
  </si>
  <si>
    <t>budżetowych miasta Konina na 2014 rok</t>
  </si>
  <si>
    <t xml:space="preserve">           Plan na 2014 rok</t>
  </si>
  <si>
    <t>Lp</t>
  </si>
  <si>
    <t>Nazwa  zadania</t>
  </si>
  <si>
    <t>ogółem</t>
  </si>
  <si>
    <t>środki  w ramach ustawy Prawo ochrony środowiska</t>
  </si>
  <si>
    <t>RAZEM GMINA</t>
  </si>
  <si>
    <t>Lokalny transport zbiorowy</t>
  </si>
  <si>
    <t>Zakup i montaż wiat  przystankowych</t>
  </si>
  <si>
    <t>Drogi publiczne gminne</t>
  </si>
  <si>
    <t>Przebudowa ulicy Stodolnianej w Koninie</t>
  </si>
  <si>
    <t>Rozbudowa skrzyżowania ulic Stanisława Staszica, Romana Dmowskiego i Tadeusza Kościuszki na skrzyżowanie typu "rondo" w Koninie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</si>
  <si>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</si>
  <si>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</si>
  <si>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</si>
  <si>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</si>
  <si>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</si>
  <si>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</si>
  <si>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</si>
  <si>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</si>
  <si>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</si>
  <si>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Budowa ulicy Brunatnej w Koninie - etap I</t>
  </si>
  <si>
    <t>Przebudowa chodnika przy ul. Zofii Nałkowskiej w Koninie</t>
  </si>
  <si>
    <t>Przebudowa ul. Jana Matejki w Koninie</t>
  </si>
  <si>
    <t>Przebudowa ul. Południowej w Koninie</t>
  </si>
  <si>
    <t>Opracowanie dokumentacji projektowo-kosztorysowej na budowę dróg w rejonie bloków przy ulicy Gosławickiej w Koninie</t>
  </si>
  <si>
    <t>Opracowanie dokumantacji projwktowo-kosztorysowej na przebudowe ulic : Beznazwy i Wilczej w Koninie</t>
  </si>
  <si>
    <t>Opracowanie dokumentacji projektowo-kosztorysowej na budowę miejsc postojowych na ul. K. Szymanowskiego 5a w Koninie</t>
  </si>
  <si>
    <t>Budowa ulic: Dobrowolskiego, Kuratowskiego, Mazurkiewicza i Trzebiatowskiego w Koninie</t>
  </si>
  <si>
    <t>Budowa ulic na osiedlu Wilków (Leszczynowa, Borowa)</t>
  </si>
  <si>
    <t>Budowa dróg os. Łężyn - rejon ul. Mostowej III etap</t>
  </si>
  <si>
    <t>Budowa ulicy Nasturcjowej w Koninie</t>
  </si>
  <si>
    <t>Opracowanie  dokumentacji projektowo-kosztorysowej na budowę ul. Grójeckiej w Koninie</t>
  </si>
  <si>
    <t>Gospodarka mieszkaniowa</t>
  </si>
  <si>
    <t>Gospodarka gruntami i nieruchomościami</t>
  </si>
  <si>
    <t>Wykonanie systemu monitoringu na terenie Ośrodka "Przystań Gosławice"</t>
  </si>
  <si>
    <t>Nabycie nieruchomości gruntowych</t>
  </si>
  <si>
    <t>Pozostała działalność</t>
  </si>
  <si>
    <t>Budowa czterech domków mieszkalnych oraz rozbudowa budynku gospodarczego w Koninie przy ul. M. Dąbrowskiej</t>
  </si>
  <si>
    <t>Przebudowa i rozbudowa budynków komunalnych przy ul. Wiosny Ludów 11 i 13 w Koninie</t>
  </si>
  <si>
    <t>Nadbudowa wielorodzinnych budynków mieszkalnych w Koninie - koncepcja</t>
  </si>
  <si>
    <t>Opracowanie dokumentacji projektowo - kosztorysowej na   budowę budynku gospodarczego z pomieszczeniami przynależnymi  do lokali mieszkalnych w budynku przy ul. M. Dąbrowskiej 50 w Koninie</t>
  </si>
  <si>
    <t>Rewitalizacja Starówki - budowa budynków mieszkalnych wielorodzinnych pomiędzy ulicą Wodną i Grunwaldzką w Koninie</t>
  </si>
  <si>
    <t>Urzędy gmin (miast i miast na prawach powiatu)</t>
  </si>
  <si>
    <t>Rozbudowa sieci i centrali telefonicznej Urzędu Miejskiego</t>
  </si>
  <si>
    <t>Doposażenie techniczne urzędu</t>
  </si>
  <si>
    <t>Promocja jednostek samorządu terytorialnego</t>
  </si>
  <si>
    <t>Zakup namiotów reklamowych Miasta Konina</t>
  </si>
  <si>
    <t>Adaptacja budynku przy ul. Benesza 1 w Koninie  na cele administracyjne</t>
  </si>
  <si>
    <t>Bezpieczeństwo publiczne i ochrona przeciwpożarowa</t>
  </si>
  <si>
    <t>Ochotnicze Straże Pożarne</t>
  </si>
  <si>
    <t xml:space="preserve">Zakupy inwestycyjne </t>
  </si>
  <si>
    <t>Obrona cywilna</t>
  </si>
  <si>
    <t>Różne rozliczenia</t>
  </si>
  <si>
    <t>Rezerwy ogólne i celowe</t>
  </si>
  <si>
    <t>Rezerwa celowa na inwestycje i zakupy inwestycyjne</t>
  </si>
  <si>
    <t>Szkoły podstawowe</t>
  </si>
  <si>
    <t>Opracowanie dokumentacji projektowo-kosztorysowej na budowę sali gimnastycznej Szkoły Podstawowej   Nr 1 w Koninie</t>
  </si>
  <si>
    <t>Budowa kompleksu boisk przy Szkole Podstawowej Nr 4 w Koninie</t>
  </si>
  <si>
    <t>Budowa kanalizacji deszczowej i odwodnienia boisk na terenie Szkoły Podstawowej nr 4 w Koninie</t>
  </si>
  <si>
    <t xml:space="preserve">Wykonanie piłkochwytu na boisku Szkoły Podstawowej Nr 1 </t>
  </si>
  <si>
    <t>Adaptacja płyty asfaltowej na placu szkolnym na kort tenisowy przy Szkole Podstawowej Nr 3</t>
  </si>
  <si>
    <t>Modernizacja węzła sanitarnego przy sali gimnastycznej wraz z korytarzem w Szkole Podstawowej nr 12 w Koninie</t>
  </si>
  <si>
    <t>Modernizacja kuchni w  Szkole Podstawowej nr 6 w Koninie</t>
  </si>
  <si>
    <t>Zakup piłkochwytów w Szkole Podstawowej Nr 9</t>
  </si>
  <si>
    <t>Zakup serwera do pracowni komputerowej w Szkole Podstawowej Nr 10</t>
  </si>
  <si>
    <t>Przedszkola</t>
  </si>
  <si>
    <t>Budowa parkingu przy Przedszkolu Nr 7 w Koninie</t>
  </si>
  <si>
    <t>Zakup i montaż urządzeń na plac zabaw dla Przedszkola nr 17 w Koninie</t>
  </si>
  <si>
    <t>Wykonanie instalacji ewakuacyjnej w Przedszkolu nr 7 w Koninie</t>
  </si>
  <si>
    <t>Założenie monitoringu wizyjnego w Przedszkolu nr 2</t>
  </si>
  <si>
    <t>Zakup kuchni gazowej dla Przedszkola nr 7 w Koninie</t>
  </si>
  <si>
    <t>Zakup  wyposażenia na plac zabaw dla Przedszkola nr 13</t>
  </si>
  <si>
    <t>Zakup  wyposażenia na plac zabaw dla Przedszkola nr 14</t>
  </si>
  <si>
    <t>Zakup karuzeli dla dzieci na plac zabaw do Przedszkola nr 5</t>
  </si>
  <si>
    <t>Zakup obieraczki do ziemniaków dla przedszkola nr 17 w Koninie</t>
  </si>
  <si>
    <t>Zakup kotła warzelnego do kuchni dla Przedszkola nr 16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</si>
  <si>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</si>
  <si>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</si>
  <si>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</si>
  <si>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Gimnazja</t>
  </si>
  <si>
    <t>Budowa zespołu boisk przy Gimnazjum nr 7 w Koninie</t>
  </si>
  <si>
    <t>Opracowanie dokumentacji projektowo-kosztorysowej na budowę boisk przy  Gimnazjum Nr 1 w Koninie</t>
  </si>
  <si>
    <t>Stołówki szkolne i przedszkolne</t>
  </si>
  <si>
    <t>Zakup obieraczki do ziemniaków do kuchni w Szkole Podstawowej Nr 1</t>
  </si>
  <si>
    <t>Zakup zmywarki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</si>
  <si>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</si>
  <si>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</si>
  <si>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</si>
  <si>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</si>
  <si>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Zarządzanie energią w budynkach użyteczności publicznej w Koninie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</si>
  <si>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</si>
  <si>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</si>
  <si>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</si>
  <si>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</si>
  <si>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Zakup samochodu służbowego do przewozu  osób niepełnosprawnych-MOPR KONIN</t>
  </si>
  <si>
    <t>Żłobki</t>
  </si>
  <si>
    <t xml:space="preserve">Adaptacja pomieszczeń pralni na oddział dziecięcy w Żłobku Miejskim przy ul. Staszica 17 w Koninie
</t>
  </si>
  <si>
    <t xml:space="preserve">Dostosowanie klatki schodowej do obowiązujących przepisów ppoż w budynku Żłobka Miejskiego  przy ul. Staszica 17 w Koninie
</t>
  </si>
  <si>
    <t xml:space="preserve">Pozostała działalność </t>
  </si>
  <si>
    <t>. "Jesteś przedsiębiorczy! Zacznij działać już dziś w Koninie"w ramach programu POKL (dotacja celowa)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</si>
  <si>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</si>
  <si>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</si>
  <si>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</si>
  <si>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</si>
  <si>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>Budowa boiska do koszykówki na terenie zieleni miejskiej przy ul. Janowskiej</t>
  </si>
  <si>
    <t>Oświetlenie ulic, placów i dróg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</si>
  <si>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</si>
  <si>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</si>
  <si>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Opracowanie dokumentacji projektowo-  kosztorysowej na budowę oświetlenia ulic Konwaliowej i Malwowej w Koninie</t>
  </si>
  <si>
    <t>Budowa oświetlenia na parkingu przy ul. F. Chopina 18 i 17 c,d,e,f,g,h,i,j w Koninie</t>
  </si>
  <si>
    <t>Opracowanie dokumentacji na budowę  oświetlenia ulicy Beniowskiej i doświetlenia przejścia dla pieszych na ul. Beniowskiej w Koninie</t>
  </si>
  <si>
    <t>Rozbudowa złącza energetycznego na terenach pogórniczych przy jeziorku-Zatorze</t>
  </si>
  <si>
    <t>Zakup infrastruktury oświetleniowej na terenie Miasta Konin</t>
  </si>
  <si>
    <t>Zakup infrastruktury oświetleniowej na osiedlu Niesłusz w Koninie</t>
  </si>
  <si>
    <t>Wniesienie wkładu pieniężnego na budowę sieci kanalizacji sanitarnej i wodociągu w ulicy Rudzickiej</t>
  </si>
  <si>
    <t>Wniesienie wkładu pieniężnego do spółki Geotermia Konin Spółka z o.o. w Koninie</t>
  </si>
  <si>
    <t>Wniesienie wkładu pieniężnego na budowę wodociągu w ulicy Piaskowej, Borowej i Świerkowej</t>
  </si>
  <si>
    <t>Wniesienie wkładu pieniężnego na budowę sieci wodociągowej w ulicach Staromorzysławskiej, Działkowej i Granicznej</t>
  </si>
  <si>
    <t xml:space="preserve">Wniesienie wkładu pieniężnego na budowę kanalizacji sanitarnej oraz  wodociągu  w ulicach Matejki i Wyspiańskiego </t>
  </si>
  <si>
    <t>Budowa placów zabaw na os. Laskówiec i Grójec w Koninie</t>
  </si>
  <si>
    <t>Budowa kanalizacji deszczowej na terenie osiedla Pątnów  w Koninie</t>
  </si>
  <si>
    <t xml:space="preserve">Opracowanie dokumentacji projektowej na nowy przebieg cieku wodnego zlokalizowanego na terenie Międzylesia m. Konina </t>
  </si>
  <si>
    <t>Zagospodarowanie terenów pogórniczych os. Zatorze,  Etap V  Konin ul. Paderewskiego</t>
  </si>
  <si>
    <t xml:space="preserve">Uzbrojenie terenów inwestycyjnych w obrębie Konin - Międzylesie </t>
  </si>
  <si>
    <t>Budowa przyłączy kanalizacyjnych i przyłączenie nieruchomości do miejskiej sieci kanalizacyjnej</t>
  </si>
  <si>
    <t>Domy i ośrodki kultury, świetlice i kluby</t>
  </si>
  <si>
    <t>Adaptacja pomieszczeń budynku Klubu Energetyk na potrzeby Młodzieżowego Domu Kultury w Koninie</t>
  </si>
  <si>
    <t>Dotacja celowa na zakup  i montaż instalacji satelitarnej do odbioru i emisji wydarzeń kulturalnych</t>
  </si>
  <si>
    <t xml:space="preserve">Termomodernizacja budynków Konińskiego Domu Kultury, Młodzieżowego Domu Kultury oraz Miejskiej Biblioteki Publicznej w Koninie </t>
  </si>
  <si>
    <t>Kultura fizyczna</t>
  </si>
  <si>
    <t>Obiekty sportowe</t>
  </si>
  <si>
    <t>Docieplenie budynku na stadionie przy ul. Łężyńskiej wraz z monitoringiem</t>
  </si>
  <si>
    <t>Zadaszenie trybun na stadionie przy ul. Podwale</t>
  </si>
  <si>
    <t>Instytucje kultury fizycznej</t>
  </si>
  <si>
    <t>Skate Park dla rowerzystów z monitoringiem i oświetleniem</t>
  </si>
  <si>
    <t>Zakup i montaż areatora wodnego</t>
  </si>
  <si>
    <t>Zakupy inwestycyjne dla obiektów MOSiR w Koninie</t>
  </si>
  <si>
    <t>RAZEM POWIAT</t>
  </si>
  <si>
    <t>Drogi publiczne w miastach na prawach powiatu</t>
  </si>
  <si>
    <t>Przebudowa ul. Żwirki i Wigury wraz z kanalizacją deszczową</t>
  </si>
  <si>
    <t>Budowa drogi - łącznik od ul. Przemysłowej do ul. Kleczewskiej w Koninie</t>
  </si>
  <si>
    <t>Przebudowa chodnika przy ul. Przemysłowej w Koninie</t>
  </si>
  <si>
    <t>Dostawa i montaż wyświetlaczy czasu</t>
  </si>
  <si>
    <t>Dokumentacja projektowo-kosztorysowa na wykonanie doświetlonego przejścia dla pieszych na skrzyżowaniu ulic: Europejska - Wierzbowa w Koninie</t>
  </si>
  <si>
    <t>Opracowanie dokumentacji projektowo-kosztorysowej na przebudowę ul. Jana Pawła II w Koninie</t>
  </si>
  <si>
    <t xml:space="preserve">Opracowanie dokumentacji projektowo-kosztorysowej na budowę parkingu przy ul.  Wyzwolenia 23 w Koninie </t>
  </si>
  <si>
    <t>Dokumentacje przyszłościowe</t>
  </si>
  <si>
    <t>Budowa łącznika pomiędzy ul. Poznańską i ul. Przemysłową</t>
  </si>
  <si>
    <t>Opracowanie koncepcji na budowę łącznika ul. I. Paderewskiego i ul. Kard. S. Wyszyńskiego w Koninie</t>
  </si>
  <si>
    <t>Przebudowa mostu im. Józefa Piłsudskiego w Koninie</t>
  </si>
  <si>
    <t xml:space="preserve">Budowa budynku usług publicznych przy ul. Z. Urbanowskiej w Koninie </t>
  </si>
  <si>
    <t>Opracowanie dokumentacji projektowej na budowę toalet przy Bulwarze Nadwarciańskim w Koninie</t>
  </si>
  <si>
    <t>Działalność usługowa</t>
  </si>
  <si>
    <t>Ośrodki dokumentacji geodezyjnej i kartograficznej</t>
  </si>
  <si>
    <t xml:space="preserve">Wykonanie, dostawa i montaż regałów  przesuwanych do  pomieszczenia Archiwum w budynku przy ul. Andrzeja Benesza 
 w Koninie
</t>
  </si>
  <si>
    <t xml:space="preserve">Zakup sprzętu komputerowego 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</si>
  <si>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</si>
  <si>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</si>
  <si>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</si>
  <si>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</si>
  <si>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</si>
  <si>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</si>
  <si>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</si>
  <si>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</si>
  <si>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</si>
  <si>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</si>
  <si>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Specjalne ośrodki szkolno-wychowawcze</t>
  </si>
  <si>
    <t>Zakup samochodu do przewozu osób niepełnosprawnych - SOSW w Koninie</t>
  </si>
  <si>
    <t>Zakup kserokopiarki w SOS-W w Koninie</t>
  </si>
  <si>
    <t xml:space="preserve">Kultura fizyczna </t>
  </si>
  <si>
    <t>Rozbudowa boisk przy ZSGE ul. Kard. Wyszyńskiego 3  w Koninie</t>
  </si>
  <si>
    <t xml:space="preserve">do Uchwały nr     </t>
  </si>
  <si>
    <t xml:space="preserve">z dnia   3 lipca  2014 roku       </t>
  </si>
  <si>
    <t>pkt 3) kwotę rezerwy celowej na inwestycje i zakupy inwestycyjne</t>
  </si>
  <si>
    <t>a) kwotę części gminnej</t>
  </si>
  <si>
    <t>900</t>
  </si>
  <si>
    <t>90095</t>
  </si>
  <si>
    <t>6050</t>
  </si>
  <si>
    <t xml:space="preserve">          b) kwotę wydatków majątkowych ogółem                      </t>
  </si>
  <si>
    <t>758</t>
  </si>
  <si>
    <t>75818</t>
  </si>
  <si>
    <t>6800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</si>
  <si>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</si>
  <si>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t>W części dotyczącej zadań  gminy</t>
  </si>
  <si>
    <t>Zmniejsza się plan wydatków o kwotę</t>
  </si>
  <si>
    <t>dz. 758 rozdz.75818 § 6800 zmniejsza się o kwotę</t>
  </si>
  <si>
    <t>Zwiększa się plan wydatków o kwotę</t>
  </si>
  <si>
    <t>dz. 900 rozdz.90095 § 6050 zwiększa się o kwotę</t>
  </si>
  <si>
    <t>W części dotyczącej zadań  powiatu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</si>
  <si>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</si>
  <si>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 xml:space="preserve"> Prezydenta Miasta Konina w 2014 roku z tego:</t>
  </si>
  <si>
    <t xml:space="preserve">1) kredytu krótkoterminowego na finansowanie występującego w ciągu roku </t>
  </si>
  <si>
    <t xml:space="preserve">    przejściowego deficytu w wysokości  15.000.000 zł </t>
  </si>
  <si>
    <r>
      <t xml:space="preserve">"1. Deficyt w wysokości </t>
    </r>
    <r>
      <rPr>
        <b/>
        <sz val="13"/>
        <rFont val="Times New Roman"/>
        <family val="1"/>
      </rPr>
      <t>16.027.754,08 zł</t>
    </r>
    <r>
      <rPr>
        <sz val="13"/>
        <rFont val="Times New Roman"/>
        <family val="1"/>
      </rPr>
      <t xml:space="preserve"> zostanie sfinansowany wolnymi środkami  na rachunku </t>
    </r>
  </si>
  <si>
    <t>2) kredytów i pożyczek długoterminowych w wysokości   18.768.179 zł."</t>
  </si>
  <si>
    <r>
      <t xml:space="preserve">"Ustala się kwotę </t>
    </r>
    <r>
      <rPr>
        <b/>
        <sz val="13"/>
        <rFont val="Times New Roman"/>
        <family val="1"/>
      </rPr>
      <t>33.768.179 zł</t>
    </r>
    <r>
      <rPr>
        <sz val="13"/>
        <rFont val="Times New Roman"/>
        <family val="1"/>
      </rPr>
      <t xml:space="preserve"> jako limit zobowiązań z tytułu zaciągniętych przez  </t>
    </r>
  </si>
  <si>
    <t xml:space="preserve">   "3. Zaciągania kredytów i pożyczek długoterminowych do kwoty 18.768.179 zł"</t>
  </si>
  <si>
    <r>
      <t xml:space="preserve"> 6.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</si>
  <si>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r>
      <t xml:space="preserve">7.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</si>
  <si>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r>
      <t xml:space="preserve">8.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</si>
  <si>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 xml:space="preserve">9.  § 2 do uchwały budżetowej otrzymuje brzmienie w treści: </t>
  </si>
  <si>
    <t>10 W § 4 do uchwały budżetowej dokonuje się następujących zmian:</t>
  </si>
  <si>
    <t xml:space="preserve">11.  § 6 ust. 3  do uchwały budżetowej otrzymuje brzmienie w treści: </t>
  </si>
  <si>
    <t xml:space="preserve">12.  § 8 do uchwały budżetowej otrzymuje brzmienie w treści: </t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</si>
  <si>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</si>
  <si>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</si>
  <si>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r>
      <t xml:space="preserve">Załącznik nr  10 do uchwały budżetowej otrzymuje brzmienie  w treści   </t>
    </r>
    <r>
      <rPr>
        <b/>
        <sz val="13"/>
        <rFont val="Times New Roman"/>
        <family val="1"/>
      </rPr>
      <t>Załącznika nr  4</t>
    </r>
  </si>
  <si>
    <t xml:space="preserve">§ 952 zwiększa się o kwotę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</si>
</sst>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2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6"/>
      <name val="Arial"/>
      <family val="0"/>
    </font>
    <font>
      <b/>
      <sz val="14"/>
      <color indexed="17"/>
      <name val="Times New Roman"/>
      <family val="1"/>
    </font>
    <font>
      <sz val="11"/>
      <name val="Times New Roman CE"/>
      <family val="1"/>
    </font>
    <font>
      <sz val="9"/>
      <color indexed="10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6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4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7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0" fillId="0" borderId="0" xfId="53" applyNumberFormat="1" applyFont="1" applyFill="1">
      <alignment/>
      <protection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2" fillId="0" borderId="0" xfId="52" applyNumberFormat="1" applyFont="1" applyFill="1" applyAlignment="1">
      <alignment vertical="center"/>
      <protection/>
    </xf>
    <xf numFmtId="4" fontId="19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24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1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34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6" applyNumberFormat="1" applyFont="1" applyFill="1">
      <alignment/>
      <protection/>
    </xf>
    <xf numFmtId="49" fontId="33" fillId="0" borderId="0" xfId="56" applyNumberFormat="1" applyFont="1" applyFill="1">
      <alignment/>
      <protection/>
    </xf>
    <xf numFmtId="49" fontId="33" fillId="0" borderId="0" xfId="56" applyNumberFormat="1" applyFont="1" applyFill="1" applyAlignment="1">
      <alignment horizontal="center"/>
      <protection/>
    </xf>
    <xf numFmtId="0" fontId="33" fillId="0" borderId="0" xfId="0" applyFont="1" applyFill="1" applyAlignment="1">
      <alignment horizontal="left"/>
    </xf>
    <xf numFmtId="0" fontId="33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6" applyNumberFormat="1" applyFont="1" applyFill="1">
      <alignment/>
      <protection/>
    </xf>
    <xf numFmtId="49" fontId="9" fillId="0" borderId="0" xfId="56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6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" fontId="22" fillId="0" borderId="0" xfId="0" applyNumberFormat="1" applyFont="1" applyFill="1" applyAlignment="1">
      <alignment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3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" fontId="40" fillId="0" borderId="0" xfId="0" applyNumberFormat="1" applyFont="1" applyFill="1" applyAlignment="1">
      <alignment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36" fillId="0" borderId="0" xfId="52" applyNumberFormat="1" applyFont="1" applyFill="1">
      <alignment/>
      <protection/>
    </xf>
    <xf numFmtId="4" fontId="35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" fontId="34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3" fillId="0" borderId="0" xfId="53" applyNumberFormat="1" applyFont="1" applyFill="1">
      <alignment/>
      <protection/>
    </xf>
    <xf numFmtId="4" fontId="19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6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37" fillId="0" borderId="0" xfId="52" applyNumberFormat="1" applyFont="1" applyFill="1">
      <alignment/>
      <protection/>
    </xf>
    <xf numFmtId="49" fontId="14" fillId="0" borderId="0" xfId="52" applyNumberFormat="1" applyFont="1" applyFill="1">
      <alignment/>
      <protection/>
    </xf>
    <xf numFmtId="49" fontId="14" fillId="0" borderId="0" xfId="52" applyNumberFormat="1" applyFont="1" applyFill="1" applyAlignment="1">
      <alignment horizontal="center"/>
      <protection/>
    </xf>
    <xf numFmtId="4" fontId="44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" fontId="34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7" fillId="0" borderId="0" xfId="57" applyNumberFormat="1" applyFont="1" applyFill="1" applyAlignment="1">
      <alignment horizontal="center"/>
      <protection/>
    </xf>
    <xf numFmtId="49" fontId="14" fillId="0" borderId="0" xfId="57" applyNumberFormat="1" applyFont="1" applyFill="1">
      <alignment/>
      <protection/>
    </xf>
    <xf numFmtId="0" fontId="25" fillId="0" borderId="0" xfId="52" applyFont="1" applyFill="1">
      <alignment/>
      <protection/>
    </xf>
    <xf numFmtId="49" fontId="9" fillId="0" borderId="0" xfId="0" applyNumberFormat="1" applyFont="1" applyFill="1" applyAlignment="1">
      <alignment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4" fontId="3" fillId="0" borderId="0" xfId="56" applyNumberFormat="1" applyFont="1" applyFill="1">
      <alignment/>
      <protection/>
    </xf>
    <xf numFmtId="0" fontId="35" fillId="0" borderId="0" xfId="0" applyFont="1" applyFill="1" applyAlignment="1">
      <alignment/>
    </xf>
    <xf numFmtId="49" fontId="14" fillId="0" borderId="0" xfId="56" applyNumberFormat="1" applyFont="1" applyFill="1">
      <alignment/>
      <protection/>
    </xf>
    <xf numFmtId="49" fontId="14" fillId="0" borderId="0" xfId="56" applyNumberFormat="1" applyFont="1" applyFill="1" applyAlignment="1">
      <alignment horizontal="center"/>
      <protection/>
    </xf>
    <xf numFmtId="0" fontId="14" fillId="0" borderId="0" xfId="56" applyFont="1" applyFill="1">
      <alignment/>
      <protection/>
    </xf>
    <xf numFmtId="4" fontId="14" fillId="0" borderId="0" xfId="56" applyNumberFormat="1" applyFont="1" applyFill="1">
      <alignment/>
      <protection/>
    </xf>
    <xf numFmtId="0" fontId="34" fillId="0" borderId="0" xfId="52" applyFont="1" applyFill="1">
      <alignment/>
      <protection/>
    </xf>
    <xf numFmtId="0" fontId="9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9" fillId="0" borderId="2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/>
    </xf>
    <xf numFmtId="4" fontId="34" fillId="0" borderId="0" xfId="52" applyNumberFormat="1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49" fontId="14" fillId="0" borderId="0" xfId="52" applyNumberFormat="1" applyFont="1" applyFill="1" applyAlignment="1">
      <alignment horizontal="left"/>
      <protection/>
    </xf>
    <xf numFmtId="4" fontId="47" fillId="0" borderId="0" xfId="0" applyNumberFormat="1" applyFont="1" applyFill="1" applyAlignment="1">
      <alignment/>
    </xf>
    <xf numFmtId="0" fontId="32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/>
    </xf>
    <xf numFmtId="49" fontId="16" fillId="0" borderId="0" xfId="52" applyNumberFormat="1" applyFont="1" applyFill="1" applyBorder="1" applyAlignment="1">
      <alignment horizontal="center"/>
      <protection/>
    </xf>
    <xf numFmtId="4" fontId="16" fillId="0" borderId="0" xfId="52" applyNumberFormat="1" applyFont="1" applyFill="1" applyBorder="1" applyAlignment="1">
      <alignment horizontal="right"/>
      <protection/>
    </xf>
    <xf numFmtId="4" fontId="48" fillId="0" borderId="0" xfId="53" applyNumberFormat="1" applyFont="1" applyFill="1" applyAlignment="1">
      <alignment horizontal="right" vertical="center"/>
      <protection/>
    </xf>
    <xf numFmtId="0" fontId="6" fillId="0" borderId="0" xfId="58" applyFont="1" applyFill="1" applyAlignment="1">
      <alignment horizontal="left"/>
      <protection/>
    </xf>
    <xf numFmtId="4" fontId="50" fillId="0" borderId="0" xfId="0" applyNumberFormat="1" applyFont="1" applyAlignment="1">
      <alignment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4" fontId="24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3" fillId="0" borderId="0" xfId="52" applyNumberFormat="1" applyFont="1" applyFill="1" applyBorder="1" applyAlignment="1">
      <alignment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4" fontId="21" fillId="0" borderId="0" xfId="52" applyNumberFormat="1" applyFont="1" applyFill="1" applyBorder="1">
      <alignment/>
      <protection/>
    </xf>
    <xf numFmtId="49" fontId="14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0" fontId="52" fillId="0" borderId="0" xfId="52" applyFont="1" applyFill="1" applyAlignment="1">
      <alignment horizontal="left"/>
      <protection/>
    </xf>
    <xf numFmtId="0" fontId="52" fillId="0" borderId="0" xfId="58" applyFont="1" applyFill="1" applyAlignment="1">
      <alignment horizontal="left"/>
      <protection/>
    </xf>
    <xf numFmtId="4" fontId="2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4" fontId="51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" fontId="40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0" fontId="29" fillId="0" borderId="19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29" fillId="0" borderId="19" xfId="55" applyFont="1" applyFill="1" applyBorder="1" applyAlignment="1">
      <alignment horizontal="left" vertical="center" wrapText="1"/>
      <protection/>
    </xf>
    <xf numFmtId="0" fontId="29" fillId="0" borderId="13" xfId="55" applyFont="1" applyFill="1" applyBorder="1" applyAlignment="1">
      <alignment horizontal="left" vertical="center" wrapText="1"/>
      <protection/>
    </xf>
    <xf numFmtId="0" fontId="29" fillId="0" borderId="14" xfId="55" applyFont="1" applyFill="1" applyBorder="1" applyAlignment="1">
      <alignment horizontal="left" vertical="center" wrapText="1"/>
      <protection/>
    </xf>
    <xf numFmtId="0" fontId="31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5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4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44" fillId="0" borderId="0" xfId="52" applyNumberFormat="1" applyFont="1" applyFill="1" applyBorder="1">
      <alignment/>
      <protection/>
    </xf>
    <xf numFmtId="4" fontId="26" fillId="0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19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>
      <alignment/>
      <protection/>
    </xf>
    <xf numFmtId="4" fontId="49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 applyAlignment="1">
      <alignment vertical="center"/>
      <protection/>
    </xf>
    <xf numFmtId="4" fontId="20" fillId="0" borderId="0" xfId="52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4" fontId="3" fillId="33" borderId="13" xfId="0" applyNumberFormat="1" applyFont="1" applyFill="1" applyBorder="1" applyAlignment="1">
      <alignment vertical="center"/>
    </xf>
    <xf numFmtId="49" fontId="5" fillId="0" borderId="14" xfId="52" applyNumberFormat="1" applyFont="1" applyFill="1" applyBorder="1" applyAlignment="1">
      <alignment horizontal="center"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4" fontId="37" fillId="0" borderId="0" xfId="52" applyNumberFormat="1" applyFont="1" applyFill="1" applyAlignment="1">
      <alignment vertical="center"/>
      <protection/>
    </xf>
    <xf numFmtId="4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" fillId="0" borderId="2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55" fillId="0" borderId="23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31" fillId="0" borderId="18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9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center"/>
    </xf>
    <xf numFmtId="0" fontId="14" fillId="0" borderId="0" xfId="57" applyFont="1" applyFill="1">
      <alignment/>
      <protection/>
    </xf>
    <xf numFmtId="49" fontId="14" fillId="0" borderId="0" xfId="57" applyNumberFormat="1" applyFont="1" applyFill="1" applyAlignment="1">
      <alignment horizontal="center"/>
      <protection/>
    </xf>
    <xf numFmtId="4" fontId="14" fillId="0" borderId="0" xfId="57" applyNumberFormat="1" applyFont="1" applyFill="1" applyAlignment="1">
      <alignment horizontal="right"/>
      <protection/>
    </xf>
    <xf numFmtId="4" fontId="14" fillId="0" borderId="0" xfId="52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6" fillId="0" borderId="0" xfId="52" applyNumberFormat="1" applyFont="1" applyFill="1" applyBorder="1" applyAlignment="1">
      <alignment vertical="center"/>
      <protection/>
    </xf>
    <xf numFmtId="4" fontId="14" fillId="0" borderId="0" xfId="52" applyNumberFormat="1" applyFont="1" applyFill="1">
      <alignment/>
      <protection/>
    </xf>
    <xf numFmtId="4" fontId="14" fillId="0" borderId="0" xfId="52" applyNumberFormat="1" applyFont="1" applyFill="1" applyAlignment="1">
      <alignment vertical="center"/>
      <protection/>
    </xf>
    <xf numFmtId="4" fontId="55" fillId="0" borderId="0" xfId="52" applyNumberFormat="1" applyFont="1" applyFill="1">
      <alignment/>
      <protection/>
    </xf>
    <xf numFmtId="0" fontId="56" fillId="0" borderId="0" xfId="0" applyFont="1" applyFill="1" applyAlignment="1">
      <alignment/>
    </xf>
    <xf numFmtId="0" fontId="9" fillId="0" borderId="0" xfId="54" applyFont="1" applyFill="1">
      <alignment/>
      <protection/>
    </xf>
    <xf numFmtId="0" fontId="56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55" fillId="0" borderId="0" xfId="54" applyFont="1" applyFill="1" applyAlignment="1">
      <alignment/>
      <protection/>
    </xf>
    <xf numFmtId="0" fontId="55" fillId="0" borderId="14" xfId="54" applyFont="1" applyFill="1" applyBorder="1" applyAlignment="1">
      <alignment vertical="center"/>
      <protection/>
    </xf>
    <xf numFmtId="0" fontId="11" fillId="0" borderId="10" xfId="54" applyFont="1" applyFill="1" applyBorder="1" applyAlignment="1">
      <alignment vertical="center"/>
      <protection/>
    </xf>
    <xf numFmtId="0" fontId="11" fillId="0" borderId="21" xfId="54" applyFont="1" applyFill="1" applyBorder="1" applyAlignment="1">
      <alignment vertical="center"/>
      <protection/>
    </xf>
    <xf numFmtId="0" fontId="9" fillId="0" borderId="11" xfId="54" applyFont="1" applyFill="1" applyBorder="1" applyAlignment="1">
      <alignment vertical="center"/>
      <protection/>
    </xf>
    <xf numFmtId="0" fontId="56" fillId="0" borderId="0" xfId="54" applyFont="1" applyFill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vertical="center"/>
      <protection/>
    </xf>
    <xf numFmtId="0" fontId="7" fillId="0" borderId="15" xfId="54" applyFont="1" applyFill="1" applyBorder="1" applyAlignment="1">
      <alignment vertical="center" wrapText="1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4" fontId="3" fillId="0" borderId="0" xfId="54" applyNumberFormat="1" applyFont="1" applyFill="1" applyAlignment="1">
      <alignment vertical="center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vertical="center" wrapText="1"/>
      <protection/>
    </xf>
    <xf numFmtId="0" fontId="31" fillId="0" borderId="12" xfId="54" applyFont="1" applyFill="1" applyBorder="1" applyAlignment="1">
      <alignment vertical="center" wrapText="1"/>
      <protection/>
    </xf>
    <xf numFmtId="0" fontId="31" fillId="0" borderId="12" xfId="54" applyFont="1" applyFill="1" applyBorder="1" applyAlignment="1">
      <alignment horizontal="left" vertical="center" wrapText="1"/>
      <protection/>
    </xf>
    <xf numFmtId="0" fontId="57" fillId="0" borderId="0" xfId="54" applyFont="1" applyFill="1" applyBorder="1" applyAlignment="1">
      <alignment vertical="center" wrapText="1"/>
      <protection/>
    </xf>
    <xf numFmtId="4" fontId="11" fillId="0" borderId="0" xfId="54" applyNumberFormat="1" applyFont="1" applyFill="1" applyBorder="1" applyAlignment="1">
      <alignment vertical="center" wrapText="1"/>
      <protection/>
    </xf>
    <xf numFmtId="4" fontId="11" fillId="0" borderId="0" xfId="54" applyNumberFormat="1" applyFont="1" applyFill="1" applyAlignment="1">
      <alignment vertical="center"/>
      <protection/>
    </xf>
    <xf numFmtId="4" fontId="2" fillId="0" borderId="0" xfId="54" applyNumberFormat="1" applyFont="1" applyFill="1" applyAlignment="1">
      <alignment vertical="center"/>
      <protection/>
    </xf>
    <xf numFmtId="4" fontId="9" fillId="0" borderId="0" xfId="54" applyNumberFormat="1" applyFont="1" applyFill="1">
      <alignment/>
      <protection/>
    </xf>
    <xf numFmtId="0" fontId="11" fillId="0" borderId="12" xfId="54" applyFont="1" applyFill="1" applyBorder="1" applyAlignment="1">
      <alignment vertical="center" wrapText="1"/>
      <protection/>
    </xf>
    <xf numFmtId="4" fontId="11" fillId="0" borderId="13" xfId="54" applyNumberFormat="1" applyFont="1" applyFill="1" applyBorder="1" applyAlignment="1">
      <alignment vertical="center"/>
      <protection/>
    </xf>
    <xf numFmtId="4" fontId="32" fillId="0" borderId="0" xfId="54" applyNumberFormat="1" applyFont="1" applyFill="1" applyBorder="1" applyAlignment="1">
      <alignment vertical="center"/>
      <protection/>
    </xf>
    <xf numFmtId="4" fontId="11" fillId="0" borderId="0" xfId="54" applyNumberFormat="1" applyFont="1" applyFill="1" applyBorder="1" applyAlignment="1">
      <alignment vertical="center"/>
      <protection/>
    </xf>
    <xf numFmtId="4" fontId="29" fillId="0" borderId="0" xfId="54" applyNumberFormat="1" applyFont="1" applyFill="1" applyAlignment="1">
      <alignment vertical="center"/>
      <protection/>
    </xf>
    <xf numFmtId="0" fontId="29" fillId="0" borderId="0" xfId="54" applyFont="1" applyFill="1">
      <alignment/>
      <protection/>
    </xf>
    <xf numFmtId="0" fontId="13" fillId="0" borderId="13" xfId="54" applyFont="1" applyFill="1" applyBorder="1" applyAlignment="1">
      <alignment vertical="center" wrapText="1"/>
      <protection/>
    </xf>
    <xf numFmtId="4" fontId="4" fillId="0" borderId="13" xfId="54" applyNumberFormat="1" applyFont="1" applyFill="1" applyBorder="1" applyAlignment="1">
      <alignment vertical="center"/>
      <protection/>
    </xf>
    <xf numFmtId="4" fontId="58" fillId="0" borderId="0" xfId="54" applyNumberFormat="1" applyFont="1" applyFill="1" applyBorder="1" applyAlignment="1">
      <alignment vertical="center"/>
      <protection/>
    </xf>
    <xf numFmtId="4" fontId="26" fillId="0" borderId="0" xfId="54" applyNumberFormat="1" applyFont="1" applyFill="1" applyBorder="1" applyAlignment="1">
      <alignment vertical="center"/>
      <protection/>
    </xf>
    <xf numFmtId="0" fontId="3" fillId="0" borderId="13" xfId="54" applyFont="1" applyFill="1" applyBorder="1" applyAlignment="1">
      <alignment vertical="center" wrapText="1"/>
      <protection/>
    </xf>
    <xf numFmtId="4" fontId="2" fillId="0" borderId="12" xfId="54" applyNumberFormat="1" applyFont="1" applyFill="1" applyBorder="1" applyAlignment="1">
      <alignment vertical="center"/>
      <protection/>
    </xf>
    <xf numFmtId="4" fontId="4" fillId="0" borderId="12" xfId="54" applyNumberFormat="1" applyFont="1" applyFill="1" applyBorder="1" applyAlignment="1">
      <alignment vertical="center"/>
      <protection/>
    </xf>
    <xf numFmtId="4" fontId="2" fillId="0" borderId="13" xfId="54" applyNumberFormat="1" applyFont="1" applyFill="1" applyBorder="1" applyAlignment="1">
      <alignment vertical="center"/>
      <protection/>
    </xf>
    <xf numFmtId="2" fontId="3" fillId="0" borderId="0" xfId="54" applyNumberFormat="1" applyFont="1" applyFill="1" applyBorder="1" applyAlignment="1">
      <alignment vertical="center"/>
      <protection/>
    </xf>
    <xf numFmtId="3" fontId="35" fillId="0" borderId="0" xfId="54" applyNumberFormat="1" applyFont="1" applyFill="1" applyAlignment="1">
      <alignment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4" fontId="2" fillId="0" borderId="0" xfId="54" applyNumberFormat="1" applyFont="1" applyFill="1" applyBorder="1" applyAlignment="1">
      <alignment vertical="center"/>
      <protection/>
    </xf>
    <xf numFmtId="4" fontId="56" fillId="0" borderId="0" xfId="54" applyNumberFormat="1" applyFont="1" applyFill="1" applyAlignment="1">
      <alignment vertical="center"/>
      <protection/>
    </xf>
    <xf numFmtId="4" fontId="9" fillId="0" borderId="0" xfId="54" applyNumberFormat="1" applyFont="1" applyFill="1" applyAlignment="1">
      <alignment vertical="center"/>
      <protection/>
    </xf>
    <xf numFmtId="0" fontId="56" fillId="0" borderId="0" xfId="54" applyFont="1" applyFill="1" applyAlignment="1">
      <alignment vertical="center" wrapText="1"/>
      <protection/>
    </xf>
    <xf numFmtId="3" fontId="29" fillId="0" borderId="0" xfId="54" applyNumberFormat="1" applyFont="1" applyFill="1" applyAlignment="1">
      <alignment vertical="center"/>
      <protection/>
    </xf>
    <xf numFmtId="4" fontId="26" fillId="0" borderId="0" xfId="54" applyNumberFormat="1" applyFont="1" applyFill="1" applyAlignment="1">
      <alignment vertical="center"/>
      <protection/>
    </xf>
    <xf numFmtId="0" fontId="29" fillId="0" borderId="0" xfId="0" applyFont="1" applyFill="1" applyAlignment="1">
      <alignment horizontal="center" vertical="center"/>
    </xf>
    <xf numFmtId="4" fontId="5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wrapText="1"/>
    </xf>
    <xf numFmtId="0" fontId="55" fillId="0" borderId="0" xfId="0" applyFont="1" applyFill="1" applyAlignment="1">
      <alignment horizontal="left"/>
    </xf>
    <xf numFmtId="1" fontId="56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0" fontId="11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6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29" fillId="0" borderId="1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31" fillId="0" borderId="2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wrapText="1"/>
    </xf>
    <xf numFmtId="4" fontId="30" fillId="0" borderId="2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3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0" fontId="29" fillId="0" borderId="12" xfId="52" applyFont="1" applyFill="1" applyBorder="1" applyAlignment="1">
      <alignment vertical="center" wrapText="1"/>
      <protection/>
    </xf>
    <xf numFmtId="4" fontId="29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27" fillId="0" borderId="2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0" fontId="25" fillId="0" borderId="16" xfId="0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" fontId="29" fillId="0" borderId="10" xfId="52" applyNumberFormat="1" applyFont="1" applyFill="1" applyBorder="1" applyAlignment="1">
      <alignment vertical="center"/>
      <protection/>
    </xf>
    <xf numFmtId="4" fontId="29" fillId="0" borderId="13" xfId="52" applyNumberFormat="1" applyFont="1" applyFill="1" applyBorder="1" applyAlignment="1">
      <alignment vertical="center"/>
      <protection/>
    </xf>
    <xf numFmtId="0" fontId="30" fillId="0" borderId="10" xfId="52" applyFont="1" applyFill="1" applyBorder="1" applyAlignment="1">
      <alignment vertical="center" wrapText="1"/>
      <protection/>
    </xf>
    <xf numFmtId="4" fontId="30" fillId="0" borderId="10" xfId="52" applyNumberFormat="1" applyFont="1" applyFill="1" applyBorder="1" applyAlignment="1">
      <alignment vertical="center"/>
      <protection/>
    </xf>
    <xf numFmtId="4" fontId="30" fillId="0" borderId="13" xfId="52" applyNumberFormat="1" applyFont="1" applyFill="1" applyBorder="1" applyAlignment="1">
      <alignment vertical="center"/>
      <protection/>
    </xf>
    <xf numFmtId="0" fontId="9" fillId="34" borderId="15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31" fillId="0" borderId="10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 wrapText="1"/>
      <protection/>
    </xf>
    <xf numFmtId="4" fontId="31" fillId="0" borderId="13" xfId="52" applyNumberFormat="1" applyFont="1" applyFill="1" applyBorder="1" applyAlignment="1">
      <alignment vertical="center" wrapText="1"/>
      <protection/>
    </xf>
    <xf numFmtId="0" fontId="30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4" fontId="30" fillId="0" borderId="10" xfId="52" applyNumberFormat="1" applyFont="1" applyFill="1" applyBorder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31" fillId="0" borderId="11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/>
      <protection/>
    </xf>
    <xf numFmtId="4" fontId="31" fillId="0" borderId="13" xfId="52" applyNumberFormat="1" applyFont="1" applyFill="1" applyBorder="1" applyAlignment="1">
      <alignment vertical="center"/>
      <protection/>
    </xf>
    <xf numFmtId="0" fontId="30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0" fontId="31" fillId="0" borderId="13" xfId="52" applyFont="1" applyFill="1" applyBorder="1" applyAlignment="1">
      <alignment vertical="center" wrapText="1"/>
      <protection/>
    </xf>
    <xf numFmtId="0" fontId="64" fillId="0" borderId="0" xfId="0" applyFont="1" applyFill="1" applyAlignment="1">
      <alignment vertical="center"/>
    </xf>
    <xf numFmtId="4" fontId="64" fillId="0" borderId="0" xfId="0" applyNumberFormat="1" applyFont="1" applyFill="1" applyAlignment="1">
      <alignment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3" xfId="52" applyFont="1" applyFill="1" applyBorder="1" applyAlignment="1">
      <alignment vertical="center" wrapText="1"/>
      <protection/>
    </xf>
    <xf numFmtId="0" fontId="63" fillId="0" borderId="0" xfId="0" applyFont="1" applyFill="1" applyAlignment="1">
      <alignment vertical="center"/>
    </xf>
    <xf numFmtId="4" fontId="63" fillId="0" borderId="0" xfId="0" applyNumberFormat="1" applyFont="1" applyFill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9" fillId="0" borderId="13" xfId="52" applyFont="1" applyFill="1" applyBorder="1" applyAlignment="1">
      <alignment horizontal="left" vertical="top" wrapText="1"/>
      <protection/>
    </xf>
    <xf numFmtId="4" fontId="57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/>
    </xf>
    <xf numFmtId="4" fontId="65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40" fillId="0" borderId="0" xfId="52" applyNumberFormat="1" applyFont="1" applyFill="1" applyAlignment="1">
      <alignment vertical="center"/>
      <protection/>
    </xf>
    <xf numFmtId="4" fontId="38" fillId="0" borderId="0" xfId="52" applyNumberFormat="1" applyFont="1" applyFill="1" applyBorder="1" applyAlignment="1">
      <alignment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0" xfId="57" applyNumberFormat="1" applyFont="1" applyFill="1">
      <alignment/>
      <protection/>
    </xf>
    <xf numFmtId="4" fontId="34" fillId="0" borderId="0" xfId="52" applyNumberFormat="1" applyFont="1" applyFill="1" applyBorder="1" applyAlignment="1">
      <alignment vertical="center"/>
      <protection/>
    </xf>
    <xf numFmtId="49" fontId="28" fillId="0" borderId="0" xfId="57" applyNumberFormat="1" applyFont="1" applyFill="1">
      <alignment/>
      <protection/>
    </xf>
    <xf numFmtId="49" fontId="67" fillId="0" borderId="0" xfId="52" applyNumberFormat="1" applyFont="1" applyFill="1">
      <alignment/>
      <protection/>
    </xf>
    <xf numFmtId="49" fontId="7" fillId="0" borderId="0" xfId="57" applyNumberFormat="1" applyFont="1" applyFill="1">
      <alignment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7" applyNumberFormat="1" applyFont="1" applyFill="1" applyBorder="1" applyAlignment="1">
      <alignment horizontal="center"/>
      <protection/>
    </xf>
    <xf numFmtId="4" fontId="29" fillId="33" borderId="13" xfId="0" applyNumberFormat="1" applyFont="1" applyFill="1" applyBorder="1" applyAlignment="1">
      <alignment vertical="center"/>
    </xf>
    <xf numFmtId="4" fontId="29" fillId="33" borderId="10" xfId="0" applyNumberFormat="1" applyFont="1" applyFill="1" applyBorder="1" applyAlignment="1">
      <alignment vertical="center" wrapText="1"/>
    </xf>
    <xf numFmtId="4" fontId="2" fillId="33" borderId="12" xfId="54" applyNumberFormat="1" applyFont="1" applyFill="1" applyBorder="1" applyAlignment="1">
      <alignment vertical="center"/>
      <protection/>
    </xf>
    <xf numFmtId="0" fontId="3" fillId="33" borderId="13" xfId="0" applyFont="1" applyFill="1" applyBorder="1" applyAlignment="1">
      <alignment vertical="center" wrapText="1"/>
    </xf>
    <xf numFmtId="4" fontId="5" fillId="0" borderId="0" xfId="52" applyNumberFormat="1" applyFont="1" applyFill="1">
      <alignment/>
      <protection/>
    </xf>
    <xf numFmtId="4" fontId="5" fillId="0" borderId="13" xfId="52" applyNumberFormat="1" applyFont="1" applyFill="1" applyBorder="1">
      <alignment/>
      <protection/>
    </xf>
    <xf numFmtId="4" fontId="11" fillId="36" borderId="13" xfId="52" applyNumberFormat="1" applyFont="1" applyFill="1" applyBorder="1">
      <alignment/>
      <protection/>
    </xf>
    <xf numFmtId="4" fontId="11" fillId="0" borderId="13" xfId="52" applyNumberFormat="1" applyFont="1" applyFill="1" applyBorder="1">
      <alignment/>
      <protection/>
    </xf>
    <xf numFmtId="0" fontId="29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7" xfId="54"/>
    <cellStyle name="Normalny_tabela nr 8" xfId="55"/>
    <cellStyle name="Normalny_Uch.RMK luty" xfId="56"/>
    <cellStyle name="Normalny_Uch.RMK marzec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4" customWidth="1"/>
    <col min="9" max="9" width="28.00390625" style="31" customWidth="1"/>
    <col min="10" max="10" width="22.28125" style="32" customWidth="1"/>
    <col min="11" max="11" width="22.28125" style="31" customWidth="1"/>
    <col min="12" max="12" width="19.140625" style="31" customWidth="1"/>
    <col min="13" max="13" width="22.421875" style="31" customWidth="1"/>
    <col min="14" max="14" width="24.28125" style="4" customWidth="1"/>
    <col min="15" max="15" width="9.140625" style="4" customWidth="1"/>
    <col min="16" max="16384" width="9.140625" style="2" customWidth="1"/>
  </cols>
  <sheetData>
    <row r="1" ht="19.5" customHeight="1">
      <c r="G1" s="118" t="s">
        <v>149</v>
      </c>
    </row>
    <row r="2" spans="1:15" s="47" customFormat="1" ht="19.5" customHeight="1">
      <c r="A2" s="58" t="s">
        <v>38</v>
      </c>
      <c r="B2" s="59"/>
      <c r="C2" s="60"/>
      <c r="D2" s="5"/>
      <c r="E2" s="5"/>
      <c r="F2" s="5"/>
      <c r="G2" s="200"/>
      <c r="H2" s="189" t="s">
        <v>62</v>
      </c>
      <c r="I2" s="54"/>
      <c r="J2" s="55"/>
      <c r="K2" s="52"/>
      <c r="L2" s="54"/>
      <c r="M2" s="54"/>
      <c r="N2" s="54"/>
      <c r="O2" s="3"/>
    </row>
    <row r="3" spans="1:15" s="47" customFormat="1" ht="19.5" customHeight="1">
      <c r="A3" s="58" t="s">
        <v>84</v>
      </c>
      <c r="B3" s="59"/>
      <c r="C3" s="60"/>
      <c r="D3" s="5"/>
      <c r="E3" s="5"/>
      <c r="F3" s="5"/>
      <c r="G3" s="52"/>
      <c r="H3" s="206"/>
      <c r="I3" s="54"/>
      <c r="J3" s="55"/>
      <c r="K3" s="52"/>
      <c r="L3" s="54"/>
      <c r="M3" s="54"/>
      <c r="N3" s="54"/>
      <c r="O3" s="3"/>
    </row>
    <row r="4" spans="1:15" s="47" customFormat="1" ht="19.5" customHeight="1">
      <c r="A4" s="58" t="s">
        <v>148</v>
      </c>
      <c r="B4" s="59"/>
      <c r="C4" s="60"/>
      <c r="D4" s="5"/>
      <c r="E4" s="5"/>
      <c r="F4" s="5"/>
      <c r="G4" s="52"/>
      <c r="H4" s="56"/>
      <c r="I4" s="54"/>
      <c r="J4" s="55"/>
      <c r="K4" s="52"/>
      <c r="L4" s="54"/>
      <c r="M4" s="54"/>
      <c r="N4" s="54"/>
      <c r="O4" s="3"/>
    </row>
    <row r="5" spans="1:15" s="47" customFormat="1" ht="17.25" customHeight="1">
      <c r="A5" s="51"/>
      <c r="B5" s="52"/>
      <c r="C5" s="53"/>
      <c r="D5" s="52"/>
      <c r="E5" s="52"/>
      <c r="F5" s="52"/>
      <c r="G5" s="52"/>
      <c r="H5" s="56"/>
      <c r="I5" s="54"/>
      <c r="J5" s="55"/>
      <c r="K5" s="52"/>
      <c r="L5" s="54"/>
      <c r="M5" s="54"/>
      <c r="N5" s="54"/>
      <c r="O5" s="3"/>
    </row>
    <row r="6" spans="1:14" ht="15" customHeight="1">
      <c r="A6" s="23"/>
      <c r="B6" s="5"/>
      <c r="C6" s="6"/>
      <c r="D6" s="5"/>
      <c r="E6" s="5"/>
      <c r="F6" s="5"/>
      <c r="G6" s="5"/>
      <c r="H6" s="7"/>
      <c r="I6" s="41"/>
      <c r="J6" s="9"/>
      <c r="K6" s="5"/>
      <c r="L6" s="41"/>
      <c r="M6" s="41"/>
      <c r="N6" s="41"/>
    </row>
    <row r="7" spans="1:14" ht="19.5" customHeight="1">
      <c r="A7" s="23" t="s">
        <v>124</v>
      </c>
      <c r="B7" s="5"/>
      <c r="C7" s="6"/>
      <c r="D7" s="5"/>
      <c r="E7" s="5"/>
      <c r="F7" s="5"/>
      <c r="G7" s="5"/>
      <c r="H7" s="7"/>
      <c r="I7" s="41"/>
      <c r="J7" s="9"/>
      <c r="K7" s="5"/>
      <c r="L7" s="41"/>
      <c r="M7" s="41"/>
      <c r="N7" s="41"/>
    </row>
    <row r="8" spans="1:14" ht="15.75" customHeight="1">
      <c r="A8" s="23"/>
      <c r="B8" s="5"/>
      <c r="C8" s="6"/>
      <c r="D8" s="5"/>
      <c r="E8" s="5"/>
      <c r="F8" s="5"/>
      <c r="G8" s="5"/>
      <c r="H8" s="7"/>
      <c r="I8" s="41"/>
      <c r="J8" s="9"/>
      <c r="K8" s="5"/>
      <c r="L8" s="41"/>
      <c r="M8" s="41"/>
      <c r="N8" s="41"/>
    </row>
    <row r="9" spans="1:14" ht="15" customHeight="1">
      <c r="A9" s="5"/>
      <c r="B9" s="5"/>
      <c r="C9" s="6"/>
      <c r="D9" s="5"/>
      <c r="E9" s="5"/>
      <c r="F9" s="5"/>
      <c r="G9" s="5"/>
      <c r="H9" s="7"/>
      <c r="I9" s="41"/>
      <c r="J9" s="9"/>
      <c r="K9" s="5"/>
      <c r="L9" s="41"/>
      <c r="M9" s="41"/>
      <c r="N9" s="41"/>
    </row>
    <row r="10" spans="1:14" ht="19.5" customHeight="1">
      <c r="A10" s="61" t="s">
        <v>85</v>
      </c>
      <c r="B10" s="59"/>
      <c r="C10" s="60"/>
      <c r="D10" s="5"/>
      <c r="E10" s="5"/>
      <c r="F10" s="5"/>
      <c r="G10" s="5"/>
      <c r="H10" s="7"/>
      <c r="I10" s="41"/>
      <c r="J10" s="9"/>
      <c r="K10" s="5"/>
      <c r="L10" s="41"/>
      <c r="M10" s="41"/>
      <c r="N10" s="41"/>
    </row>
    <row r="11" spans="1:14" ht="19.5" customHeight="1">
      <c r="A11" s="61" t="s">
        <v>121</v>
      </c>
      <c r="B11" s="59"/>
      <c r="C11" s="60"/>
      <c r="D11" s="5"/>
      <c r="E11" s="5"/>
      <c r="F11" s="5"/>
      <c r="G11" s="5"/>
      <c r="H11" s="7"/>
      <c r="I11" s="41"/>
      <c r="J11" s="9"/>
      <c r="K11" s="5"/>
      <c r="L11" s="41"/>
      <c r="M11" s="41"/>
      <c r="N11" s="41"/>
    </row>
    <row r="12" spans="1:14" ht="19.5" customHeight="1">
      <c r="A12" s="61" t="s">
        <v>122</v>
      </c>
      <c r="B12" s="59"/>
      <c r="C12" s="60"/>
      <c r="D12" s="5"/>
      <c r="E12" s="5"/>
      <c r="F12" s="5"/>
      <c r="G12" s="5"/>
      <c r="H12" s="7"/>
      <c r="I12" s="41"/>
      <c r="J12" s="9"/>
      <c r="K12" s="5"/>
      <c r="L12" s="41"/>
      <c r="M12" s="41"/>
      <c r="N12" s="41"/>
    </row>
    <row r="13" spans="1:14" ht="19.5" customHeight="1">
      <c r="A13" s="61"/>
      <c r="B13" s="59"/>
      <c r="C13" s="60"/>
      <c r="D13" s="5"/>
      <c r="E13" s="5"/>
      <c r="F13" s="5"/>
      <c r="G13" s="5"/>
      <c r="H13" s="7"/>
      <c r="I13" s="41"/>
      <c r="J13" s="9"/>
      <c r="K13" s="5"/>
      <c r="L13" s="41"/>
      <c r="M13" s="41"/>
      <c r="N13" s="41"/>
    </row>
    <row r="14" spans="1:15" s="28" customFormat="1" ht="19.5" customHeight="1">
      <c r="A14" s="8"/>
      <c r="B14" s="8"/>
      <c r="C14" s="30"/>
      <c r="D14" s="8"/>
      <c r="E14" s="30" t="s">
        <v>69</v>
      </c>
      <c r="F14" s="8"/>
      <c r="G14" s="8"/>
      <c r="H14" s="9"/>
      <c r="I14" s="34"/>
      <c r="J14" s="34"/>
      <c r="K14" s="40"/>
      <c r="L14" s="34"/>
      <c r="M14" s="34"/>
      <c r="N14" s="9"/>
      <c r="O14" s="1"/>
    </row>
    <row r="15" spans="1:15" s="28" customFormat="1" ht="19.5" customHeight="1">
      <c r="A15" s="8"/>
      <c r="B15" s="8"/>
      <c r="C15" s="30"/>
      <c r="D15" s="8"/>
      <c r="E15" s="30"/>
      <c r="F15" s="8"/>
      <c r="G15" s="8"/>
      <c r="H15" s="9"/>
      <c r="I15" s="34"/>
      <c r="J15" s="34"/>
      <c r="K15" s="40"/>
      <c r="L15" s="34"/>
      <c r="M15" s="34"/>
      <c r="N15" s="9"/>
      <c r="O15" s="1"/>
    </row>
    <row r="16" spans="1:14" ht="19.5" customHeight="1">
      <c r="A16" s="228" t="s">
        <v>116</v>
      </c>
      <c r="B16" s="57"/>
      <c r="C16" s="57"/>
      <c r="D16" s="57"/>
      <c r="E16" s="30"/>
      <c r="F16" s="5"/>
      <c r="G16" s="5"/>
      <c r="H16" s="7"/>
      <c r="I16" s="35"/>
      <c r="J16" s="34"/>
      <c r="K16" s="33"/>
      <c r="L16" s="33"/>
      <c r="M16" s="33"/>
      <c r="N16" s="41"/>
    </row>
    <row r="17" spans="1:14" ht="19.5" customHeight="1">
      <c r="A17" s="229" t="s">
        <v>60</v>
      </c>
      <c r="B17" s="57"/>
      <c r="C17" s="57"/>
      <c r="D17" s="57"/>
      <c r="E17" s="30"/>
      <c r="F17" s="5"/>
      <c r="G17" s="5"/>
      <c r="H17" s="7"/>
      <c r="I17" s="33"/>
      <c r="J17" s="34"/>
      <c r="K17" s="33"/>
      <c r="L17" s="33"/>
      <c r="M17" s="33"/>
      <c r="N17" s="41"/>
    </row>
    <row r="18" spans="1:10" ht="19.5" customHeight="1">
      <c r="A18" s="63" t="s">
        <v>125</v>
      </c>
      <c r="B18" s="8"/>
      <c r="C18" s="64"/>
      <c r="D18" s="8"/>
      <c r="E18" s="30"/>
      <c r="F18" s="8"/>
      <c r="H18" s="1"/>
      <c r="J18" s="67"/>
    </row>
    <row r="19" spans="1:10" ht="19.5" customHeight="1">
      <c r="A19" s="48" t="s">
        <v>63</v>
      </c>
      <c r="B19" s="212"/>
      <c r="C19" s="213"/>
      <c r="D19" s="214"/>
      <c r="E19" s="214"/>
      <c r="F19" s="8"/>
      <c r="G19" s="214"/>
      <c r="H19" s="20"/>
      <c r="J19" s="67"/>
    </row>
    <row r="20" spans="1:10" ht="19.5" customHeight="1">
      <c r="A20" s="48" t="s">
        <v>64</v>
      </c>
      <c r="B20" s="215"/>
      <c r="C20" s="216"/>
      <c r="D20" s="214"/>
      <c r="E20" s="214"/>
      <c r="F20" s="214"/>
      <c r="G20" s="214"/>
      <c r="H20" s="20"/>
      <c r="J20" s="67"/>
    </row>
    <row r="21" spans="1:10" ht="19.5" customHeight="1">
      <c r="A21" s="219" t="s">
        <v>54</v>
      </c>
      <c r="B21" s="212"/>
      <c r="C21" s="213"/>
      <c r="D21" s="214"/>
      <c r="E21" s="214"/>
      <c r="F21" s="214"/>
      <c r="G21" s="214"/>
      <c r="H21" s="20"/>
      <c r="J21" s="67"/>
    </row>
    <row r="22" spans="1:10" ht="19.5" customHeight="1">
      <c r="A22" s="48" t="s">
        <v>55</v>
      </c>
      <c r="B22" s="212"/>
      <c r="C22" s="213"/>
      <c r="D22" s="214"/>
      <c r="E22" s="214"/>
      <c r="F22" s="214"/>
      <c r="G22" s="214"/>
      <c r="H22" s="20"/>
      <c r="J22" s="67"/>
    </row>
    <row r="23" spans="1:10" ht="19.5" customHeight="1">
      <c r="A23" s="48" t="s">
        <v>56</v>
      </c>
      <c r="B23" s="212"/>
      <c r="C23" s="213"/>
      <c r="D23" s="214"/>
      <c r="E23" s="214"/>
      <c r="F23" s="214"/>
      <c r="G23" s="214"/>
      <c r="H23" s="20"/>
      <c r="J23" s="67"/>
    </row>
    <row r="24" spans="1:10" ht="19.5" customHeight="1">
      <c r="A24" s="48" t="s">
        <v>57</v>
      </c>
      <c r="B24" s="212"/>
      <c r="C24" s="213"/>
      <c r="D24" s="214"/>
      <c r="E24" s="214"/>
      <c r="F24" s="214"/>
      <c r="G24" s="214"/>
      <c r="H24" s="20"/>
      <c r="J24" s="67"/>
    </row>
    <row r="25" spans="1:14" ht="19.5" customHeight="1">
      <c r="A25" s="48" t="s">
        <v>52</v>
      </c>
      <c r="B25" s="212"/>
      <c r="C25" s="213"/>
      <c r="D25" s="214"/>
      <c r="E25" s="214"/>
      <c r="F25" s="214"/>
      <c r="G25" s="214"/>
      <c r="H25" s="20"/>
      <c r="I25" s="68"/>
      <c r="N25" s="68"/>
    </row>
    <row r="26" spans="1:14" ht="19.5" customHeight="1">
      <c r="A26" s="48" t="s">
        <v>177</v>
      </c>
      <c r="B26" s="212"/>
      <c r="C26" s="213"/>
      <c r="D26" s="214"/>
      <c r="E26" s="214"/>
      <c r="F26" s="214"/>
      <c r="G26" s="214"/>
      <c r="H26" s="20"/>
      <c r="I26" s="68"/>
      <c r="N26" s="68"/>
    </row>
    <row r="27" spans="1:14" ht="19.5" customHeight="1">
      <c r="A27" s="48" t="s">
        <v>53</v>
      </c>
      <c r="I27" s="68"/>
      <c r="N27" s="68"/>
    </row>
    <row r="28" spans="1:14" ht="19.5" customHeight="1">
      <c r="A28" s="48"/>
      <c r="I28" s="68"/>
      <c r="N28" s="68"/>
    </row>
    <row r="29" spans="1:14" ht="19.5" customHeight="1">
      <c r="A29" s="207"/>
      <c r="I29" s="68"/>
      <c r="N29" s="68"/>
    </row>
    <row r="30" spans="1:14" ht="19.5" customHeight="1">
      <c r="A30" s="65" t="s">
        <v>86</v>
      </c>
      <c r="B30" s="62"/>
      <c r="C30" s="62"/>
      <c r="I30" s="66"/>
      <c r="J30" s="67"/>
      <c r="K30" s="68"/>
      <c r="L30" s="69"/>
      <c r="N30" s="211"/>
    </row>
    <row r="31" spans="1:11" ht="19.5" customHeight="1">
      <c r="A31" s="70"/>
      <c r="B31" s="71"/>
      <c r="C31" s="71"/>
      <c r="D31" s="26"/>
      <c r="E31" s="26"/>
      <c r="F31" s="72"/>
      <c r="H31" s="72"/>
      <c r="I31" s="73"/>
      <c r="K31" s="68"/>
    </row>
    <row r="32" spans="1:11" ht="19.5" customHeight="1">
      <c r="A32" s="70" t="s">
        <v>87</v>
      </c>
      <c r="B32" s="71"/>
      <c r="C32" s="71"/>
      <c r="D32" s="26"/>
      <c r="E32" s="26"/>
      <c r="F32" s="72"/>
      <c r="H32" s="72">
        <f>1800+411437277.16</f>
        <v>411439077.16</v>
      </c>
      <c r="I32" s="73"/>
      <c r="K32" s="68"/>
    </row>
    <row r="33" spans="1:11" ht="19.5" customHeight="1">
      <c r="A33" s="70" t="s">
        <v>88</v>
      </c>
      <c r="B33" s="71"/>
      <c r="C33" s="71"/>
      <c r="D33" s="26"/>
      <c r="E33" s="26"/>
      <c r="F33" s="72"/>
      <c r="H33" s="72">
        <f>H32+F53</f>
        <v>411454305.16</v>
      </c>
      <c r="I33" s="187"/>
      <c r="K33" s="68"/>
    </row>
    <row r="34" spans="1:11" ht="19.5" customHeight="1">
      <c r="A34" s="74" t="s">
        <v>89</v>
      </c>
      <c r="B34" s="75"/>
      <c r="C34" s="75"/>
      <c r="D34" s="26"/>
      <c r="E34" s="26"/>
      <c r="F34" s="72"/>
      <c r="H34" s="72"/>
      <c r="I34" s="187"/>
      <c r="K34" s="68"/>
    </row>
    <row r="35" spans="1:11" ht="19.5" customHeight="1">
      <c r="A35" s="70" t="s">
        <v>114</v>
      </c>
      <c r="B35" s="71"/>
      <c r="C35" s="71"/>
      <c r="D35" s="77"/>
      <c r="E35" s="26"/>
      <c r="F35" s="1"/>
      <c r="H35" s="72">
        <v>292214928.41</v>
      </c>
      <c r="I35" s="187"/>
      <c r="K35" s="68"/>
    </row>
    <row r="36" spans="1:11" ht="19.5" customHeight="1">
      <c r="A36" s="70" t="s">
        <v>88</v>
      </c>
      <c r="B36" s="71"/>
      <c r="C36" s="71"/>
      <c r="D36" s="77"/>
      <c r="E36" s="26"/>
      <c r="F36" s="1"/>
      <c r="H36" s="72">
        <f>H35+F53</f>
        <v>292230156.41</v>
      </c>
      <c r="I36" s="187"/>
      <c r="J36" s="199"/>
      <c r="K36" s="68"/>
    </row>
    <row r="37" spans="1:11" ht="19.5" customHeight="1">
      <c r="A37" s="74"/>
      <c r="B37" s="62" t="s">
        <v>90</v>
      </c>
      <c r="C37" s="75"/>
      <c r="D37" s="26"/>
      <c r="E37" s="26"/>
      <c r="F37" s="1"/>
      <c r="H37" s="72"/>
      <c r="I37" s="187"/>
      <c r="J37" s="199"/>
      <c r="K37" s="68"/>
    </row>
    <row r="38" spans="1:11" ht="19.5" customHeight="1">
      <c r="A38" s="78" t="s">
        <v>91</v>
      </c>
      <c r="B38" s="71"/>
      <c r="C38" s="71"/>
      <c r="D38" s="26"/>
      <c r="E38" s="26"/>
      <c r="F38" s="1"/>
      <c r="H38" s="72">
        <v>274308674.37</v>
      </c>
      <c r="I38" s="187"/>
      <c r="K38" s="68"/>
    </row>
    <row r="39" spans="1:11" ht="19.5" customHeight="1">
      <c r="A39" s="78" t="s">
        <v>88</v>
      </c>
      <c r="B39" s="71"/>
      <c r="C39" s="71"/>
      <c r="D39" s="26"/>
      <c r="E39" s="26"/>
      <c r="F39" s="1"/>
      <c r="H39" s="72">
        <f>H38+F53</f>
        <v>274323902.37</v>
      </c>
      <c r="I39" s="187"/>
      <c r="K39" s="68"/>
    </row>
    <row r="40" spans="1:11" ht="19.5" customHeight="1">
      <c r="A40" s="78"/>
      <c r="B40" s="71"/>
      <c r="C40" s="71"/>
      <c r="D40" s="26"/>
      <c r="E40" s="86"/>
      <c r="F40" s="140"/>
      <c r="H40" s="72"/>
      <c r="I40" s="66"/>
      <c r="J40" s="102"/>
      <c r="K40" s="68"/>
    </row>
    <row r="41" spans="1:11" ht="19.5" customHeight="1">
      <c r="A41" s="78"/>
      <c r="B41" s="79"/>
      <c r="C41" s="71"/>
      <c r="D41" s="26"/>
      <c r="E41" s="26"/>
      <c r="F41" s="1"/>
      <c r="H41" s="1"/>
      <c r="I41" s="66"/>
      <c r="K41" s="68"/>
    </row>
    <row r="42" spans="1:11" ht="19.5" customHeight="1">
      <c r="A42" s="83" t="s">
        <v>112</v>
      </c>
      <c r="B42" s="84"/>
      <c r="C42" s="85"/>
      <c r="D42" s="86"/>
      <c r="E42" s="86"/>
      <c r="F42" s="87"/>
      <c r="G42" s="87"/>
      <c r="H42" s="88"/>
      <c r="I42" s="66"/>
      <c r="K42" s="68"/>
    </row>
    <row r="43" spans="1:11" ht="19.5" customHeight="1">
      <c r="A43" s="83"/>
      <c r="B43" s="84"/>
      <c r="C43" s="85"/>
      <c r="D43" s="86"/>
      <c r="E43" s="86"/>
      <c r="F43" s="87"/>
      <c r="G43" s="87"/>
      <c r="H43" s="88"/>
      <c r="I43" s="66"/>
      <c r="K43" s="68"/>
    </row>
    <row r="44" spans="1:11" ht="19.5" customHeight="1">
      <c r="A44" s="83"/>
      <c r="B44" s="84"/>
      <c r="C44" s="85"/>
      <c r="D44" s="86"/>
      <c r="E44" s="86"/>
      <c r="F44" s="87"/>
      <c r="G44" s="87"/>
      <c r="H44" s="88"/>
      <c r="I44" s="66"/>
      <c r="K44" s="68"/>
    </row>
    <row r="45" spans="1:11" ht="19.5" customHeight="1">
      <c r="A45" s="92" t="s">
        <v>111</v>
      </c>
      <c r="B45" s="93"/>
      <c r="C45" s="94"/>
      <c r="D45" s="82"/>
      <c r="E45" s="82"/>
      <c r="F45" s="91"/>
      <c r="G45" s="91"/>
      <c r="I45" s="66"/>
      <c r="K45" s="68"/>
    </row>
    <row r="46" spans="1:11" ht="19.5" customHeight="1">
      <c r="A46" s="89"/>
      <c r="B46" s="89"/>
      <c r="C46" s="89"/>
      <c r="D46" s="82"/>
      <c r="E46" s="82"/>
      <c r="F46" s="91"/>
      <c r="G46" s="91"/>
      <c r="I46" s="66"/>
      <c r="K46" s="68"/>
    </row>
    <row r="47" spans="1:11" ht="19.5" customHeight="1">
      <c r="A47" s="95"/>
      <c r="B47" s="95"/>
      <c r="C47" s="96"/>
      <c r="D47" s="10" t="s">
        <v>93</v>
      </c>
      <c r="E47" s="11"/>
      <c r="F47" s="10" t="s">
        <v>94</v>
      </c>
      <c r="G47" s="11"/>
      <c r="I47" s="66"/>
      <c r="K47" s="68"/>
    </row>
    <row r="48" spans="1:11" ht="19.5" customHeight="1">
      <c r="A48" s="97"/>
      <c r="B48" s="97"/>
      <c r="C48" s="98"/>
      <c r="D48" s="12" t="s">
        <v>68</v>
      </c>
      <c r="E48" s="11" t="s">
        <v>67</v>
      </c>
      <c r="F48" s="12" t="s">
        <v>68</v>
      </c>
      <c r="G48" s="11" t="s">
        <v>67</v>
      </c>
      <c r="I48" s="66"/>
      <c r="K48" s="68"/>
    </row>
    <row r="49" spans="1:11" ht="19.5" customHeight="1">
      <c r="A49" s="99" t="s">
        <v>70</v>
      </c>
      <c r="B49" s="99" t="s">
        <v>76</v>
      </c>
      <c r="C49" s="99" t="s">
        <v>71</v>
      </c>
      <c r="D49" s="13" t="s">
        <v>72</v>
      </c>
      <c r="E49" s="14" t="s">
        <v>73</v>
      </c>
      <c r="F49" s="13" t="s">
        <v>72</v>
      </c>
      <c r="G49" s="14" t="s">
        <v>73</v>
      </c>
      <c r="I49" s="66"/>
      <c r="K49" s="68"/>
    </row>
    <row r="50" spans="1:15" s="110" customFormat="1" ht="19.5" customHeight="1">
      <c r="A50" s="267" t="s">
        <v>113</v>
      </c>
      <c r="B50" s="116" t="s">
        <v>128</v>
      </c>
      <c r="C50" s="103"/>
      <c r="D50" s="101"/>
      <c r="E50" s="101"/>
      <c r="F50" s="101">
        <f>SUM(F51:F52)</f>
        <v>15228</v>
      </c>
      <c r="G50" s="117"/>
      <c r="H50" s="118"/>
      <c r="I50" s="66"/>
      <c r="J50" s="102"/>
      <c r="K50" s="68"/>
      <c r="L50" s="119"/>
      <c r="M50" s="119"/>
      <c r="N50" s="211"/>
      <c r="O50" s="211"/>
    </row>
    <row r="51" spans="1:11" ht="19.5" customHeight="1">
      <c r="A51" s="107"/>
      <c r="B51" s="104"/>
      <c r="C51" s="109" t="s">
        <v>58</v>
      </c>
      <c r="D51" s="106"/>
      <c r="E51" s="106"/>
      <c r="F51" s="106">
        <v>200</v>
      </c>
      <c r="G51" s="120"/>
      <c r="I51" s="121"/>
      <c r="K51" s="80"/>
    </row>
    <row r="52" spans="1:11" ht="19.5" customHeight="1">
      <c r="A52" s="107"/>
      <c r="B52" s="108"/>
      <c r="C52" s="104" t="s">
        <v>61</v>
      </c>
      <c r="D52" s="106"/>
      <c r="E52" s="106"/>
      <c r="F52" s="106">
        <v>15028</v>
      </c>
      <c r="G52" s="120"/>
      <c r="I52" s="121"/>
      <c r="K52" s="80"/>
    </row>
    <row r="53" spans="1:15" s="45" customFormat="1" ht="19.5" customHeight="1">
      <c r="A53" s="190" t="s">
        <v>77</v>
      </c>
      <c r="B53" s="191"/>
      <c r="C53" s="103"/>
      <c r="D53" s="122">
        <f>D50</f>
        <v>0</v>
      </c>
      <c r="E53" s="122">
        <f>E50</f>
        <v>0</v>
      </c>
      <c r="F53" s="122">
        <f>F50</f>
        <v>15228</v>
      </c>
      <c r="G53" s="122">
        <f>G50</f>
        <v>0</v>
      </c>
      <c r="H53" s="115"/>
      <c r="I53" s="111"/>
      <c r="J53" s="112"/>
      <c r="K53" s="112"/>
      <c r="L53" s="46"/>
      <c r="M53" s="46"/>
      <c r="N53" s="209"/>
      <c r="O53" s="209"/>
    </row>
    <row r="54" spans="1:15" s="45" customFormat="1" ht="19.5" customHeight="1">
      <c r="A54" s="113"/>
      <c r="B54" s="114"/>
      <c r="C54" s="114"/>
      <c r="D54" s="115"/>
      <c r="E54" s="115"/>
      <c r="F54" s="115"/>
      <c r="G54" s="115"/>
      <c r="H54" s="115"/>
      <c r="I54" s="111"/>
      <c r="J54" s="112"/>
      <c r="K54" s="112"/>
      <c r="L54" s="46"/>
      <c r="M54" s="46"/>
      <c r="N54" s="209"/>
      <c r="O54" s="209"/>
    </row>
    <row r="55" spans="1:15" s="201" customFormat="1" ht="19.5" customHeight="1">
      <c r="A55" s="166"/>
      <c r="B55" s="166"/>
      <c r="C55" s="155"/>
      <c r="D55" s="235"/>
      <c r="E55" s="235"/>
      <c r="F55" s="235"/>
      <c r="G55" s="235"/>
      <c r="H55" s="235"/>
      <c r="I55" s="236"/>
      <c r="J55" s="237"/>
      <c r="K55" s="237"/>
      <c r="L55" s="202"/>
      <c r="M55" s="202"/>
      <c r="N55" s="210"/>
      <c r="O55" s="210"/>
    </row>
    <row r="56" spans="1:15" s="201" customFormat="1" ht="19.5" customHeight="1">
      <c r="A56" s="166"/>
      <c r="B56" s="155"/>
      <c r="C56" s="155"/>
      <c r="D56" s="235"/>
      <c r="E56" s="235"/>
      <c r="F56" s="235"/>
      <c r="G56" s="235"/>
      <c r="H56" s="235"/>
      <c r="I56" s="236"/>
      <c r="J56" s="237"/>
      <c r="K56" s="237"/>
      <c r="L56" s="202"/>
      <c r="M56" s="202"/>
      <c r="N56" s="210"/>
      <c r="O56" s="210"/>
    </row>
    <row r="57" spans="1:15" s="28" customFormat="1" ht="19.5" customHeight="1">
      <c r="A57" s="65" t="s">
        <v>34</v>
      </c>
      <c r="B57" s="124"/>
      <c r="C57" s="125"/>
      <c r="H57" s="1"/>
      <c r="I57" s="66"/>
      <c r="J57" s="32"/>
      <c r="K57" s="76"/>
      <c r="L57" s="32"/>
      <c r="M57" s="32"/>
      <c r="N57" s="1"/>
      <c r="O57" s="1"/>
    </row>
    <row r="58" spans="1:23" ht="19.5" customHeight="1">
      <c r="A58" s="123"/>
      <c r="B58" s="123"/>
      <c r="C58" s="123"/>
      <c r="D58" s="28"/>
      <c r="E58" s="28"/>
      <c r="F58" s="28"/>
      <c r="G58" s="28"/>
      <c r="H58" s="1"/>
      <c r="I58" s="126"/>
      <c r="J58" s="37"/>
      <c r="K58" s="127"/>
      <c r="L58" s="36"/>
      <c r="M58" s="36"/>
      <c r="N58" s="143"/>
      <c r="O58" s="143"/>
      <c r="P58" s="16"/>
      <c r="Q58" s="128"/>
      <c r="R58" s="128"/>
      <c r="S58" s="128"/>
      <c r="T58" s="128"/>
      <c r="U58" s="128"/>
      <c r="V58" s="128"/>
      <c r="W58" s="128"/>
    </row>
    <row r="59" spans="1:23" ht="19.5" customHeight="1">
      <c r="A59" s="65"/>
      <c r="B59" s="131" t="s">
        <v>95</v>
      </c>
      <c r="C59" s="132"/>
      <c r="D59" s="16"/>
      <c r="E59" s="16"/>
      <c r="F59" s="16"/>
      <c r="G59" s="16"/>
      <c r="H59" s="133">
        <f>H62+H72</f>
        <v>425166831.24</v>
      </c>
      <c r="I59" s="129"/>
      <c r="J59" s="130"/>
      <c r="K59" s="710"/>
      <c r="L59" s="712"/>
      <c r="M59" s="36"/>
      <c r="N59" s="143"/>
      <c r="O59" s="143"/>
      <c r="P59" s="16"/>
      <c r="Q59" s="128"/>
      <c r="R59" s="128"/>
      <c r="S59" s="128"/>
      <c r="T59" s="128"/>
      <c r="U59" s="128"/>
      <c r="V59" s="128"/>
      <c r="W59" s="128"/>
    </row>
    <row r="60" spans="1:23" ht="19.5" customHeight="1">
      <c r="A60" s="65"/>
      <c r="B60" s="131" t="s">
        <v>92</v>
      </c>
      <c r="C60" s="132"/>
      <c r="D60" s="16"/>
      <c r="E60" s="16"/>
      <c r="F60" s="16"/>
      <c r="G60" s="16"/>
      <c r="H60" s="133">
        <f>H63+H73</f>
        <v>427482059.24</v>
      </c>
      <c r="I60" s="188"/>
      <c r="J60" s="130"/>
      <c r="K60" s="710"/>
      <c r="L60" s="712"/>
      <c r="M60" s="36"/>
      <c r="N60" s="143"/>
      <c r="O60" s="143"/>
      <c r="P60" s="16"/>
      <c r="Q60" s="128"/>
      <c r="R60" s="128"/>
      <c r="S60" s="128"/>
      <c r="T60" s="128"/>
      <c r="U60" s="128"/>
      <c r="V60" s="128"/>
      <c r="W60" s="128"/>
    </row>
    <row r="61" spans="1:23" ht="19.5" customHeight="1">
      <c r="A61" s="65"/>
      <c r="B61" s="135" t="s">
        <v>90</v>
      </c>
      <c r="C61" s="125"/>
      <c r="D61" s="16"/>
      <c r="E61" s="16"/>
      <c r="F61" s="16"/>
      <c r="G61" s="16"/>
      <c r="H61" s="133"/>
      <c r="I61" s="188"/>
      <c r="J61" s="130"/>
      <c r="K61" s="711"/>
      <c r="L61" s="711"/>
      <c r="M61" s="36"/>
      <c r="N61" s="143"/>
      <c r="O61" s="143"/>
      <c r="P61" s="16"/>
      <c r="Q61" s="128"/>
      <c r="R61" s="128"/>
      <c r="S61" s="128"/>
      <c r="T61" s="128"/>
      <c r="U61" s="128"/>
      <c r="V61" s="128"/>
      <c r="W61" s="128"/>
    </row>
    <row r="62" spans="1:23" ht="19.5" customHeight="1">
      <c r="A62" s="137" t="s">
        <v>96</v>
      </c>
      <c r="B62" s="137"/>
      <c r="C62" s="137"/>
      <c r="D62" s="86"/>
      <c r="E62" s="82"/>
      <c r="F62" s="82"/>
      <c r="G62" s="16"/>
      <c r="H62" s="133">
        <f>H65+H68</f>
        <v>301452767.58</v>
      </c>
      <c r="I62" s="133"/>
      <c r="J62" s="130"/>
      <c r="K62" s="710"/>
      <c r="L62" s="712"/>
      <c r="M62" s="348"/>
      <c r="N62" s="349"/>
      <c r="O62" s="349"/>
      <c r="P62" s="16"/>
      <c r="Q62" s="128"/>
      <c r="R62" s="128"/>
      <c r="S62" s="128"/>
      <c r="T62" s="128"/>
      <c r="U62" s="128"/>
      <c r="V62" s="128"/>
      <c r="W62" s="128"/>
    </row>
    <row r="63" spans="1:23" ht="19.5" customHeight="1">
      <c r="A63" s="137"/>
      <c r="B63" s="138" t="s">
        <v>92</v>
      </c>
      <c r="C63" s="137"/>
      <c r="D63" s="86"/>
      <c r="E63" s="82"/>
      <c r="F63" s="82"/>
      <c r="G63" s="16"/>
      <c r="H63" s="133">
        <f>H66+H69</f>
        <v>304036995.58</v>
      </c>
      <c r="I63" s="188"/>
      <c r="J63" s="130"/>
      <c r="K63" s="710"/>
      <c r="L63" s="712"/>
      <c r="M63" s="348"/>
      <c r="N63" s="349"/>
      <c r="O63" s="349"/>
      <c r="P63" s="16"/>
      <c r="Q63" s="128"/>
      <c r="R63" s="128"/>
      <c r="S63" s="128"/>
      <c r="T63" s="128"/>
      <c r="U63" s="128"/>
      <c r="V63" s="128"/>
      <c r="W63" s="128"/>
    </row>
    <row r="64" spans="1:23" ht="19.5" customHeight="1">
      <c r="A64" s="81" t="s">
        <v>68</v>
      </c>
      <c r="B64" s="81" t="s">
        <v>97</v>
      </c>
      <c r="C64" s="81"/>
      <c r="D64" s="82"/>
      <c r="E64" s="82"/>
      <c r="F64" s="82"/>
      <c r="G64" s="16"/>
      <c r="H64" s="133"/>
      <c r="I64" s="188"/>
      <c r="J64" s="130"/>
      <c r="K64" s="711"/>
      <c r="L64" s="711"/>
      <c r="M64" s="348"/>
      <c r="N64" s="349"/>
      <c r="O64" s="349"/>
      <c r="P64" s="16"/>
      <c r="Q64" s="128"/>
      <c r="R64" s="128"/>
      <c r="S64" s="128"/>
      <c r="T64" s="128"/>
      <c r="U64" s="128"/>
      <c r="V64" s="128"/>
      <c r="W64" s="128"/>
    </row>
    <row r="65" spans="1:23" ht="19.5" customHeight="1">
      <c r="A65" s="139" t="s">
        <v>98</v>
      </c>
      <c r="B65" s="139"/>
      <c r="C65" s="139"/>
      <c r="D65" s="140"/>
      <c r="E65" s="82"/>
      <c r="F65" s="82"/>
      <c r="G65" s="16"/>
      <c r="H65" s="133">
        <v>255162905.35</v>
      </c>
      <c r="I65" s="188"/>
      <c r="J65" s="130"/>
      <c r="K65" s="712"/>
      <c r="L65" s="712"/>
      <c r="M65" s="348"/>
      <c r="N65" s="349"/>
      <c r="O65" s="349"/>
      <c r="P65" s="16"/>
      <c r="Q65" s="128"/>
      <c r="R65" s="128"/>
      <c r="S65" s="128"/>
      <c r="T65" s="128"/>
      <c r="U65" s="128"/>
      <c r="V65" s="128"/>
      <c r="W65" s="128"/>
    </row>
    <row r="66" spans="1:23" ht="19.5" customHeight="1">
      <c r="A66" s="139"/>
      <c r="B66" s="141" t="s">
        <v>92</v>
      </c>
      <c r="C66" s="139"/>
      <c r="D66" s="140"/>
      <c r="E66" s="86"/>
      <c r="F66" s="140"/>
      <c r="G66" s="16"/>
      <c r="H66" s="133">
        <f>H65-D98+D92+F98-F96</f>
        <v>255170133.35</v>
      </c>
      <c r="I66" s="188"/>
      <c r="J66" s="130"/>
      <c r="K66" s="233"/>
      <c r="L66" s="233"/>
      <c r="M66" s="348"/>
      <c r="N66" s="349"/>
      <c r="O66" s="349"/>
      <c r="P66" s="16"/>
      <c r="Q66" s="128"/>
      <c r="R66" s="128"/>
      <c r="S66" s="128"/>
      <c r="T66" s="128"/>
      <c r="U66" s="128"/>
      <c r="V66" s="128"/>
      <c r="W66" s="128"/>
    </row>
    <row r="67" spans="1:23" ht="19.5" customHeight="1">
      <c r="A67" s="139"/>
      <c r="B67" s="141"/>
      <c r="C67" s="139"/>
      <c r="D67" s="140"/>
      <c r="E67" s="86"/>
      <c r="F67" s="140"/>
      <c r="G67" s="16"/>
      <c r="H67" s="133"/>
      <c r="I67" s="188"/>
      <c r="J67" s="130"/>
      <c r="K67" s="233"/>
      <c r="L67" s="233"/>
      <c r="M67" s="348"/>
      <c r="N67" s="349"/>
      <c r="O67" s="349"/>
      <c r="P67" s="16"/>
      <c r="Q67" s="128"/>
      <c r="R67" s="128"/>
      <c r="S67" s="128"/>
      <c r="T67" s="128"/>
      <c r="U67" s="128"/>
      <c r="V67" s="128"/>
      <c r="W67" s="128"/>
    </row>
    <row r="68" spans="1:23" ht="19.5" customHeight="1">
      <c r="A68" s="139" t="s">
        <v>388</v>
      </c>
      <c r="B68" s="139"/>
      <c r="C68" s="137"/>
      <c r="D68" s="140"/>
      <c r="E68" s="86"/>
      <c r="F68" s="140"/>
      <c r="G68" s="16"/>
      <c r="H68" s="709">
        <v>46289862.23</v>
      </c>
      <c r="I68" s="188"/>
      <c r="J68" s="130"/>
      <c r="K68" s="233"/>
      <c r="L68" s="233"/>
      <c r="M68" s="348"/>
      <c r="N68" s="349"/>
      <c r="O68" s="349"/>
      <c r="P68" s="16"/>
      <c r="Q68" s="128"/>
      <c r="R68" s="128"/>
      <c r="S68" s="128"/>
      <c r="T68" s="128"/>
      <c r="U68" s="128"/>
      <c r="V68" s="128"/>
      <c r="W68" s="128"/>
    </row>
    <row r="69" spans="1:23" ht="19.5" customHeight="1">
      <c r="A69" s="139"/>
      <c r="B69" s="141" t="s">
        <v>92</v>
      </c>
      <c r="C69" s="137"/>
      <c r="D69" s="140"/>
      <c r="E69" s="86"/>
      <c r="F69" s="140"/>
      <c r="G69" s="16"/>
      <c r="H69" s="133">
        <f>H68-D92+F96</f>
        <v>48866862.23</v>
      </c>
      <c r="I69" s="188"/>
      <c r="J69" s="130"/>
      <c r="K69" s="233"/>
      <c r="L69" s="233"/>
      <c r="M69" s="348"/>
      <c r="N69" s="349"/>
      <c r="O69" s="349"/>
      <c r="P69" s="16"/>
      <c r="Q69" s="128"/>
      <c r="R69" s="128"/>
      <c r="S69" s="128"/>
      <c r="T69" s="128"/>
      <c r="U69" s="128"/>
      <c r="V69" s="128"/>
      <c r="W69" s="128"/>
    </row>
    <row r="70" spans="1:23" ht="19.5" customHeight="1">
      <c r="A70" s="139"/>
      <c r="B70" s="141"/>
      <c r="C70" s="139"/>
      <c r="D70" s="140"/>
      <c r="E70" s="86"/>
      <c r="F70" s="140"/>
      <c r="G70" s="16"/>
      <c r="H70" s="133"/>
      <c r="I70" s="188"/>
      <c r="J70" s="130"/>
      <c r="K70" s="233"/>
      <c r="L70" s="233"/>
      <c r="M70" s="348"/>
      <c r="N70" s="349"/>
      <c r="O70" s="349"/>
      <c r="P70" s="16"/>
      <c r="Q70" s="128"/>
      <c r="R70" s="128"/>
      <c r="S70" s="128"/>
      <c r="T70" s="128"/>
      <c r="U70" s="128"/>
      <c r="V70" s="128"/>
      <c r="W70" s="128"/>
    </row>
    <row r="71" spans="1:23" ht="19.5" customHeight="1">
      <c r="A71" s="78"/>
      <c r="B71" s="79"/>
      <c r="C71" s="71"/>
      <c r="D71" s="26"/>
      <c r="E71" s="86"/>
      <c r="F71" s="140"/>
      <c r="G71" s="16"/>
      <c r="H71" s="136"/>
      <c r="I71" s="134"/>
      <c r="J71" s="130"/>
      <c r="K71" s="234"/>
      <c r="L71" s="347"/>
      <c r="M71" s="348"/>
      <c r="N71" s="349"/>
      <c r="O71" s="349"/>
      <c r="P71" s="16"/>
      <c r="Q71" s="128"/>
      <c r="R71" s="128"/>
      <c r="S71" s="128"/>
      <c r="T71" s="128"/>
      <c r="U71" s="128"/>
      <c r="V71" s="128"/>
      <c r="W71" s="128"/>
    </row>
    <row r="72" spans="1:23" ht="19.5" customHeight="1">
      <c r="A72" s="137" t="s">
        <v>176</v>
      </c>
      <c r="B72" s="137"/>
      <c r="C72" s="137"/>
      <c r="D72" s="86"/>
      <c r="E72" s="86"/>
      <c r="F72" s="140"/>
      <c r="G72" s="16"/>
      <c r="H72" s="133">
        <f>H75+H78</f>
        <v>123714063.66</v>
      </c>
      <c r="I72" s="133"/>
      <c r="J72" s="130"/>
      <c r="K72" s="234"/>
      <c r="L72" s="347"/>
      <c r="M72" s="348"/>
      <c r="N72" s="349"/>
      <c r="O72" s="349"/>
      <c r="P72" s="16"/>
      <c r="Q72" s="128"/>
      <c r="R72" s="128"/>
      <c r="S72" s="128"/>
      <c r="T72" s="128"/>
      <c r="U72" s="128"/>
      <c r="V72" s="128"/>
      <c r="W72" s="128"/>
    </row>
    <row r="73" spans="1:23" ht="19.5" customHeight="1">
      <c r="A73" s="137"/>
      <c r="B73" s="138" t="s">
        <v>92</v>
      </c>
      <c r="C73" s="137"/>
      <c r="D73" s="86"/>
      <c r="E73" s="86"/>
      <c r="F73" s="140"/>
      <c r="G73" s="16"/>
      <c r="H73" s="133">
        <f>H76+H79</f>
        <v>123445063.66</v>
      </c>
      <c r="I73" s="134"/>
      <c r="J73" s="130"/>
      <c r="K73" s="234"/>
      <c r="L73" s="347"/>
      <c r="M73" s="348"/>
      <c r="N73" s="349"/>
      <c r="O73" s="349"/>
      <c r="P73" s="16"/>
      <c r="Q73" s="128"/>
      <c r="R73" s="128"/>
      <c r="S73" s="128"/>
      <c r="T73" s="128"/>
      <c r="U73" s="128"/>
      <c r="V73" s="128"/>
      <c r="W73" s="128"/>
    </row>
    <row r="74" spans="1:23" ht="19.5" customHeight="1">
      <c r="A74" s="81" t="s">
        <v>68</v>
      </c>
      <c r="B74" s="81" t="s">
        <v>97</v>
      </c>
      <c r="C74" s="81"/>
      <c r="D74" s="82"/>
      <c r="E74" s="86"/>
      <c r="F74" s="140"/>
      <c r="G74" s="16"/>
      <c r="H74" s="133"/>
      <c r="I74" s="134"/>
      <c r="J74" s="130"/>
      <c r="K74" s="234"/>
      <c r="L74" s="347"/>
      <c r="M74" s="348"/>
      <c r="N74" s="349"/>
      <c r="O74" s="349"/>
      <c r="P74" s="16"/>
      <c r="Q74" s="128"/>
      <c r="R74" s="128"/>
      <c r="S74" s="128"/>
      <c r="T74" s="128"/>
      <c r="U74" s="128"/>
      <c r="V74" s="128"/>
      <c r="W74" s="128"/>
    </row>
    <row r="75" spans="1:23" ht="19.5" customHeight="1">
      <c r="A75" s="139" t="s">
        <v>98</v>
      </c>
      <c r="B75" s="139"/>
      <c r="C75" s="139"/>
      <c r="D75" s="140"/>
      <c r="E75" s="86"/>
      <c r="F75" s="140"/>
      <c r="G75" s="16"/>
      <c r="H75" s="133">
        <v>108621913.66</v>
      </c>
      <c r="I75" s="134"/>
      <c r="J75" s="130"/>
      <c r="K75" s="234"/>
      <c r="L75" s="347"/>
      <c r="M75" s="348"/>
      <c r="N75" s="349"/>
      <c r="O75" s="349"/>
      <c r="P75" s="16"/>
      <c r="Q75" s="128"/>
      <c r="R75" s="128"/>
      <c r="S75" s="128"/>
      <c r="T75" s="128"/>
      <c r="U75" s="128"/>
      <c r="V75" s="128"/>
      <c r="W75" s="128"/>
    </row>
    <row r="76" spans="1:23" ht="19.5" customHeight="1">
      <c r="A76" s="139"/>
      <c r="B76" s="141" t="s">
        <v>92</v>
      </c>
      <c r="C76" s="139"/>
      <c r="D76" s="140"/>
      <c r="E76" s="86"/>
      <c r="F76" s="140"/>
      <c r="G76" s="16"/>
      <c r="H76" s="133">
        <f>H75-D116+D113+F116</f>
        <v>108629913.66</v>
      </c>
      <c r="I76" s="134"/>
      <c r="J76" s="130"/>
      <c r="K76" s="234"/>
      <c r="L76" s="347"/>
      <c r="M76" s="348"/>
      <c r="N76" s="349"/>
      <c r="O76" s="349"/>
      <c r="P76" s="16"/>
      <c r="Q76" s="128"/>
      <c r="R76" s="128"/>
      <c r="S76" s="128"/>
      <c r="T76" s="128"/>
      <c r="U76" s="128"/>
      <c r="V76" s="128"/>
      <c r="W76" s="128"/>
    </row>
    <row r="77" spans="1:23" ht="19.5" customHeight="1">
      <c r="A77" s="78"/>
      <c r="B77" s="79"/>
      <c r="C77" s="71"/>
      <c r="D77" s="26"/>
      <c r="E77" s="86"/>
      <c r="F77" s="140"/>
      <c r="G77" s="16"/>
      <c r="H77" s="136"/>
      <c r="I77" s="134"/>
      <c r="J77" s="130"/>
      <c r="K77" s="234"/>
      <c r="L77" s="347"/>
      <c r="M77" s="348"/>
      <c r="N77" s="349"/>
      <c r="O77" s="349"/>
      <c r="P77" s="16"/>
      <c r="Q77" s="128"/>
      <c r="R77" s="128"/>
      <c r="S77" s="128"/>
      <c r="T77" s="128"/>
      <c r="U77" s="128"/>
      <c r="V77" s="128"/>
      <c r="W77" s="128"/>
    </row>
    <row r="78" spans="1:23" ht="19.5" customHeight="1">
      <c r="A78" s="139" t="s">
        <v>388</v>
      </c>
      <c r="B78" s="139"/>
      <c r="C78" s="137"/>
      <c r="D78" s="140"/>
      <c r="E78" s="86"/>
      <c r="F78" s="140"/>
      <c r="G78" s="16"/>
      <c r="H78" s="133">
        <v>15092150</v>
      </c>
      <c r="I78" s="134"/>
      <c r="J78" s="130"/>
      <c r="K78" s="352"/>
      <c r="L78" s="347"/>
      <c r="M78" s="348"/>
      <c r="N78" s="349"/>
      <c r="O78" s="349"/>
      <c r="P78" s="16"/>
      <c r="Q78" s="128"/>
      <c r="R78" s="128"/>
      <c r="S78" s="128"/>
      <c r="T78" s="128"/>
      <c r="U78" s="128"/>
      <c r="V78" s="128"/>
      <c r="W78" s="128"/>
    </row>
    <row r="79" spans="1:23" ht="19.5" customHeight="1">
      <c r="A79" s="139"/>
      <c r="B79" s="141" t="s">
        <v>92</v>
      </c>
      <c r="C79" s="137"/>
      <c r="D79" s="140"/>
      <c r="E79" s="86"/>
      <c r="F79" s="140"/>
      <c r="G79" s="16"/>
      <c r="H79" s="133">
        <f>H78-D113</f>
        <v>14815150</v>
      </c>
      <c r="I79" s="134"/>
      <c r="J79" s="130"/>
      <c r="K79" s="352"/>
      <c r="L79" s="347"/>
      <c r="M79" s="348"/>
      <c r="N79" s="349"/>
      <c r="O79" s="349"/>
      <c r="P79" s="16"/>
      <c r="Q79" s="128"/>
      <c r="R79" s="128"/>
      <c r="S79" s="128"/>
      <c r="T79" s="128"/>
      <c r="U79" s="128"/>
      <c r="V79" s="128"/>
      <c r="W79" s="128"/>
    </row>
    <row r="80" spans="1:23" ht="19.5" customHeight="1">
      <c r="A80" s="78"/>
      <c r="B80" s="79"/>
      <c r="C80" s="71"/>
      <c r="D80" s="26"/>
      <c r="E80" s="86"/>
      <c r="F80" s="140"/>
      <c r="G80" s="16"/>
      <c r="H80" s="136"/>
      <c r="I80" s="134"/>
      <c r="J80" s="130"/>
      <c r="K80" s="352"/>
      <c r="L80" s="347"/>
      <c r="M80" s="348"/>
      <c r="N80" s="349"/>
      <c r="O80" s="349"/>
      <c r="P80" s="16"/>
      <c r="Q80" s="128"/>
      <c r="R80" s="128"/>
      <c r="S80" s="128"/>
      <c r="T80" s="128"/>
      <c r="U80" s="128"/>
      <c r="V80" s="128"/>
      <c r="W80" s="128"/>
    </row>
    <row r="81" spans="1:23" ht="19.5" customHeight="1">
      <c r="A81" s="78"/>
      <c r="B81" s="79"/>
      <c r="C81" s="71"/>
      <c r="D81" s="26"/>
      <c r="E81" s="86"/>
      <c r="F81" s="140"/>
      <c r="G81" s="16"/>
      <c r="H81" s="136"/>
      <c r="I81" s="134"/>
      <c r="J81" s="130"/>
      <c r="K81" s="352"/>
      <c r="L81" s="347"/>
      <c r="M81" s="348"/>
      <c r="N81" s="349"/>
      <c r="O81" s="349"/>
      <c r="P81" s="16"/>
      <c r="Q81" s="128"/>
      <c r="R81" s="128"/>
      <c r="S81" s="128"/>
      <c r="T81" s="128"/>
      <c r="U81" s="128"/>
      <c r="V81" s="128"/>
      <c r="W81" s="128"/>
    </row>
    <row r="82" spans="1:23" ht="19.5" customHeight="1">
      <c r="A82" s="139"/>
      <c r="B82" s="141"/>
      <c r="C82" s="139"/>
      <c r="D82" s="140"/>
      <c r="E82" s="86"/>
      <c r="F82" s="140"/>
      <c r="G82" s="16"/>
      <c r="H82" s="133"/>
      <c r="I82" s="133"/>
      <c r="J82" s="130"/>
      <c r="K82" s="234"/>
      <c r="L82" s="348"/>
      <c r="M82" s="348"/>
      <c r="N82" s="349"/>
      <c r="O82" s="349"/>
      <c r="P82" s="16"/>
      <c r="Q82" s="128"/>
      <c r="R82" s="128"/>
      <c r="S82" s="128"/>
      <c r="T82" s="128"/>
      <c r="U82" s="128"/>
      <c r="V82" s="128"/>
      <c r="W82" s="128"/>
    </row>
    <row r="83" spans="1:23" ht="19.5" customHeight="1">
      <c r="A83" s="144" t="s">
        <v>83</v>
      </c>
      <c r="B83" s="145"/>
      <c r="C83" s="146"/>
      <c r="D83" s="18"/>
      <c r="E83" s="18"/>
      <c r="F83" s="18"/>
      <c r="G83" s="18"/>
      <c r="H83" s="21"/>
      <c r="I83" s="134"/>
      <c r="J83" s="38"/>
      <c r="K83" s="350"/>
      <c r="L83" s="351"/>
      <c r="M83" s="348"/>
      <c r="N83" s="349"/>
      <c r="O83" s="349"/>
      <c r="P83" s="16"/>
      <c r="Q83" s="16"/>
      <c r="R83" s="16"/>
      <c r="S83" s="16"/>
      <c r="T83" s="16"/>
      <c r="U83" s="16"/>
      <c r="V83" s="16"/>
      <c r="W83" s="16"/>
    </row>
    <row r="84" spans="1:23" ht="19.5" customHeight="1">
      <c r="A84" s="144"/>
      <c r="B84" s="145"/>
      <c r="C84" s="146"/>
      <c r="D84" s="18"/>
      <c r="E84" s="18"/>
      <c r="F84" s="18"/>
      <c r="G84" s="18"/>
      <c r="H84" s="21"/>
      <c r="I84" s="134"/>
      <c r="J84" s="38"/>
      <c r="K84" s="350"/>
      <c r="L84" s="351"/>
      <c r="M84" s="348"/>
      <c r="N84" s="349"/>
      <c r="O84" s="349"/>
      <c r="P84" s="16"/>
      <c r="Q84" s="16"/>
      <c r="R84" s="16"/>
      <c r="S84" s="16"/>
      <c r="T84" s="16"/>
      <c r="U84" s="16"/>
      <c r="V84" s="16"/>
      <c r="W84" s="16"/>
    </row>
    <row r="85" spans="1:23" ht="19.5" customHeight="1">
      <c r="A85" s="148" t="s">
        <v>35</v>
      </c>
      <c r="B85" s="148"/>
      <c r="C85" s="149"/>
      <c r="D85" s="19"/>
      <c r="E85" s="19"/>
      <c r="F85" s="19"/>
      <c r="G85" s="19"/>
      <c r="H85" s="17"/>
      <c r="I85" s="134"/>
      <c r="J85" s="37"/>
      <c r="K85" s="234"/>
      <c r="L85" s="352"/>
      <c r="M85" s="353"/>
      <c r="N85" s="349"/>
      <c r="O85" s="349"/>
      <c r="P85" s="16"/>
      <c r="Q85" s="16"/>
      <c r="R85" s="16"/>
      <c r="S85" s="16"/>
      <c r="T85" s="16"/>
      <c r="U85" s="16"/>
      <c r="V85" s="16"/>
      <c r="W85" s="16"/>
    </row>
    <row r="86" spans="1:23" ht="19.5" customHeight="1">
      <c r="A86" s="148"/>
      <c r="B86" s="148"/>
      <c r="C86" s="149"/>
      <c r="D86" s="19"/>
      <c r="E86" s="19"/>
      <c r="F86" s="19"/>
      <c r="G86" s="19"/>
      <c r="H86" s="17"/>
      <c r="I86" s="134"/>
      <c r="J86" s="37"/>
      <c r="K86" s="234"/>
      <c r="L86" s="352"/>
      <c r="M86" s="353"/>
      <c r="N86" s="349"/>
      <c r="O86" s="349"/>
      <c r="P86" s="16"/>
      <c r="Q86" s="16"/>
      <c r="R86" s="16"/>
      <c r="S86" s="16"/>
      <c r="T86" s="16"/>
      <c r="U86" s="16"/>
      <c r="V86" s="16"/>
      <c r="W86" s="16"/>
    </row>
    <row r="87" spans="1:23" ht="19.5" customHeight="1">
      <c r="A87" s="148"/>
      <c r="B87" s="148"/>
      <c r="C87" s="149"/>
      <c r="D87" s="19"/>
      <c r="E87" s="19"/>
      <c r="F87" s="19"/>
      <c r="G87" s="19"/>
      <c r="H87" s="17"/>
      <c r="I87" s="134"/>
      <c r="J87" s="37"/>
      <c r="K87" s="234"/>
      <c r="L87" s="354"/>
      <c r="M87" s="234"/>
      <c r="N87" s="349"/>
      <c r="O87" s="349"/>
      <c r="P87" s="16"/>
      <c r="Q87" s="16"/>
      <c r="R87" s="16"/>
      <c r="S87" s="16"/>
      <c r="T87" s="16"/>
      <c r="U87" s="16"/>
      <c r="V87" s="16"/>
      <c r="W87" s="16"/>
    </row>
    <row r="88" spans="1:23" ht="19.5" customHeight="1">
      <c r="A88" s="95"/>
      <c r="B88" s="95"/>
      <c r="C88" s="96"/>
      <c r="D88" s="10" t="s">
        <v>65</v>
      </c>
      <c r="E88" s="11"/>
      <c r="F88" s="10" t="s">
        <v>66</v>
      </c>
      <c r="G88" s="11"/>
      <c r="H88" s="17"/>
      <c r="I88" s="134"/>
      <c r="J88" s="37"/>
      <c r="K88" s="234"/>
      <c r="L88" s="348"/>
      <c r="M88" s="348"/>
      <c r="N88" s="349"/>
      <c r="O88" s="349"/>
      <c r="P88" s="16"/>
      <c r="Q88" s="16"/>
      <c r="R88" s="16"/>
      <c r="S88" s="16"/>
      <c r="T88" s="16"/>
      <c r="U88" s="16"/>
      <c r="V88" s="16"/>
      <c r="W88" s="16"/>
    </row>
    <row r="89" spans="1:23" ht="19.5" customHeight="1">
      <c r="A89" s="97"/>
      <c r="B89" s="97"/>
      <c r="C89" s="98"/>
      <c r="D89" s="12" t="s">
        <v>68</v>
      </c>
      <c r="E89" s="11" t="s">
        <v>67</v>
      </c>
      <c r="F89" s="12" t="s">
        <v>68</v>
      </c>
      <c r="G89" s="11" t="s">
        <v>67</v>
      </c>
      <c r="H89" s="17"/>
      <c r="I89" s="134"/>
      <c r="J89" s="37"/>
      <c r="K89" s="234"/>
      <c r="L89" s="348"/>
      <c r="M89" s="348"/>
      <c r="N89" s="349"/>
      <c r="O89" s="349"/>
      <c r="P89" s="16"/>
      <c r="Q89" s="16"/>
      <c r="R89" s="16"/>
      <c r="S89" s="16"/>
      <c r="T89" s="16"/>
      <c r="U89" s="16"/>
      <c r="V89" s="16"/>
      <c r="W89" s="16"/>
    </row>
    <row r="90" spans="1:23" s="47" customFormat="1" ht="19.5" customHeight="1">
      <c r="A90" s="99" t="s">
        <v>70</v>
      </c>
      <c r="B90" s="99" t="s">
        <v>76</v>
      </c>
      <c r="C90" s="99" t="s">
        <v>71</v>
      </c>
      <c r="D90" s="369" t="s">
        <v>72</v>
      </c>
      <c r="E90" s="14" t="s">
        <v>73</v>
      </c>
      <c r="F90" s="369" t="s">
        <v>72</v>
      </c>
      <c r="G90" s="14" t="s">
        <v>73</v>
      </c>
      <c r="H90" s="223"/>
      <c r="I90" s="370"/>
      <c r="J90" s="50"/>
      <c r="K90" s="362"/>
      <c r="L90" s="363"/>
      <c r="M90" s="363"/>
      <c r="N90" s="364"/>
      <c r="O90" s="364"/>
      <c r="P90" s="224"/>
      <c r="Q90" s="224"/>
      <c r="R90" s="224"/>
      <c r="S90" s="224"/>
      <c r="T90" s="224"/>
      <c r="U90" s="224"/>
      <c r="V90" s="224"/>
      <c r="W90" s="224"/>
    </row>
    <row r="91" spans="1:23" s="29" customFormat="1" ht="19.5" customHeight="1">
      <c r="A91" s="116" t="s">
        <v>143</v>
      </c>
      <c r="B91" s="116" t="s">
        <v>144</v>
      </c>
      <c r="C91" s="116" t="s">
        <v>127</v>
      </c>
      <c r="D91" s="101">
        <v>9500</v>
      </c>
      <c r="E91" s="368"/>
      <c r="F91" s="101"/>
      <c r="G91" s="368"/>
      <c r="H91" s="133"/>
      <c r="I91" s="130"/>
      <c r="J91" s="38"/>
      <c r="K91" s="355"/>
      <c r="L91" s="351"/>
      <c r="M91" s="351"/>
      <c r="N91" s="356"/>
      <c r="O91" s="356"/>
      <c r="P91" s="151"/>
      <c r="Q91" s="151"/>
      <c r="R91" s="151"/>
      <c r="S91" s="151"/>
      <c r="T91" s="151"/>
      <c r="U91" s="151"/>
      <c r="V91" s="151"/>
      <c r="W91" s="151"/>
    </row>
    <row r="92" spans="1:23" s="29" customFormat="1" ht="19.5" customHeight="1">
      <c r="A92" s="116" t="s">
        <v>389</v>
      </c>
      <c r="B92" s="116" t="s">
        <v>390</v>
      </c>
      <c r="C92" s="116" t="s">
        <v>391</v>
      </c>
      <c r="D92" s="101">
        <v>730000</v>
      </c>
      <c r="E92" s="368"/>
      <c r="F92" s="101"/>
      <c r="G92" s="368"/>
      <c r="H92" s="133"/>
      <c r="I92" s="130"/>
      <c r="J92" s="38"/>
      <c r="K92" s="355"/>
      <c r="L92" s="351"/>
      <c r="M92" s="351"/>
      <c r="N92" s="356"/>
      <c r="O92" s="356"/>
      <c r="P92" s="151"/>
      <c r="Q92" s="151"/>
      <c r="R92" s="151"/>
      <c r="S92" s="151"/>
      <c r="T92" s="151"/>
      <c r="U92" s="151"/>
      <c r="V92" s="151"/>
      <c r="W92" s="151"/>
    </row>
    <row r="93" spans="1:23" s="29" customFormat="1" ht="19.5" customHeight="1">
      <c r="A93" s="100" t="s">
        <v>113</v>
      </c>
      <c r="B93" s="100" t="s">
        <v>128</v>
      </c>
      <c r="C93" s="100"/>
      <c r="D93" s="101"/>
      <c r="E93" s="101"/>
      <c r="F93" s="101">
        <f>SUM(F94:F95)</f>
        <v>15228</v>
      </c>
      <c r="G93" s="101"/>
      <c r="H93" s="133"/>
      <c r="I93" s="130"/>
      <c r="J93" s="38"/>
      <c r="K93" s="355"/>
      <c r="L93" s="351"/>
      <c r="M93" s="351"/>
      <c r="N93" s="356"/>
      <c r="O93" s="356"/>
      <c r="P93" s="151"/>
      <c r="Q93" s="151"/>
      <c r="R93" s="151"/>
      <c r="S93" s="151"/>
      <c r="T93" s="151"/>
      <c r="U93" s="151"/>
      <c r="V93" s="151"/>
      <c r="W93" s="151"/>
    </row>
    <row r="94" spans="1:23" s="28" customFormat="1" ht="19.5" customHeight="1">
      <c r="A94" s="107"/>
      <c r="B94" s="104"/>
      <c r="C94" s="192" t="s">
        <v>127</v>
      </c>
      <c r="D94" s="106"/>
      <c r="E94" s="106"/>
      <c r="F94" s="106">
        <v>10000</v>
      </c>
      <c r="G94" s="106"/>
      <c r="H94" s="136"/>
      <c r="I94" s="142"/>
      <c r="J94" s="37"/>
      <c r="K94" s="357"/>
      <c r="L94" s="225"/>
      <c r="M94" s="225"/>
      <c r="N94" s="358"/>
      <c r="O94" s="358"/>
      <c r="P94" s="15"/>
      <c r="Q94" s="15"/>
      <c r="R94" s="15"/>
      <c r="S94" s="15"/>
      <c r="T94" s="15"/>
      <c r="U94" s="15"/>
      <c r="V94" s="15"/>
      <c r="W94" s="15"/>
    </row>
    <row r="95" spans="1:23" s="28" customFormat="1" ht="19.5" customHeight="1">
      <c r="A95" s="107"/>
      <c r="B95" s="108"/>
      <c r="C95" s="104" t="s">
        <v>115</v>
      </c>
      <c r="D95" s="106"/>
      <c r="E95" s="106"/>
      <c r="F95" s="106">
        <v>5228</v>
      </c>
      <c r="G95" s="106"/>
      <c r="H95" s="136"/>
      <c r="I95" s="142"/>
      <c r="J95" s="37"/>
      <c r="K95" s="357"/>
      <c r="L95" s="225"/>
      <c r="M95" s="225"/>
      <c r="N95" s="358"/>
      <c r="O95" s="358"/>
      <c r="P95" s="15"/>
      <c r="Q95" s="15"/>
      <c r="R95" s="15"/>
      <c r="S95" s="15"/>
      <c r="T95" s="15"/>
      <c r="U95" s="15"/>
      <c r="V95" s="15"/>
      <c r="W95" s="15"/>
    </row>
    <row r="96" spans="1:23" s="29" customFormat="1" ht="19.5" customHeight="1">
      <c r="A96" s="682" t="s">
        <v>385</v>
      </c>
      <c r="B96" s="100" t="s">
        <v>386</v>
      </c>
      <c r="C96" s="100" t="s">
        <v>387</v>
      </c>
      <c r="D96" s="117"/>
      <c r="E96" s="117"/>
      <c r="F96" s="117">
        <v>3307000</v>
      </c>
      <c r="G96" s="117"/>
      <c r="H96" s="133"/>
      <c r="I96" s="130"/>
      <c r="J96" s="38"/>
      <c r="K96" s="355"/>
      <c r="L96" s="351"/>
      <c r="M96" s="351"/>
      <c r="N96" s="356"/>
      <c r="O96" s="356"/>
      <c r="P96" s="151"/>
      <c r="Q96" s="151"/>
      <c r="R96" s="151"/>
      <c r="S96" s="151"/>
      <c r="T96" s="151"/>
      <c r="U96" s="151"/>
      <c r="V96" s="151"/>
      <c r="W96" s="151"/>
    </row>
    <row r="97" spans="1:23" s="29" customFormat="1" ht="19.5" customHeight="1">
      <c r="A97" s="100" t="s">
        <v>145</v>
      </c>
      <c r="B97" s="100" t="s">
        <v>146</v>
      </c>
      <c r="C97" s="100" t="s">
        <v>147</v>
      </c>
      <c r="D97" s="117"/>
      <c r="E97" s="117"/>
      <c r="F97" s="117">
        <v>1500</v>
      </c>
      <c r="G97" s="117"/>
      <c r="H97" s="133"/>
      <c r="I97" s="130"/>
      <c r="J97" s="38"/>
      <c r="K97" s="355"/>
      <c r="L97" s="351"/>
      <c r="M97" s="351"/>
      <c r="N97" s="356"/>
      <c r="O97" s="356"/>
      <c r="P97" s="151"/>
      <c r="Q97" s="151"/>
      <c r="R97" s="151"/>
      <c r="S97" s="151"/>
      <c r="T97" s="151"/>
      <c r="U97" s="151"/>
      <c r="V97" s="151"/>
      <c r="W97" s="151"/>
    </row>
    <row r="98" spans="1:23" s="3" customFormat="1" ht="19.5" customHeight="1">
      <c r="A98" s="268" t="s">
        <v>74</v>
      </c>
      <c r="B98" s="269"/>
      <c r="C98" s="152"/>
      <c r="D98" s="44">
        <f>D91+D92+D93+D96+D97</f>
        <v>739500</v>
      </c>
      <c r="E98" s="44">
        <f>E91+E92+E93+E96+E97</f>
        <v>0</v>
      </c>
      <c r="F98" s="44">
        <f>F91+F92+F93+F96+F97</f>
        <v>3323728</v>
      </c>
      <c r="G98" s="44">
        <f>G91+G92+G93+G96+G97</f>
        <v>0</v>
      </c>
      <c r="H98" s="20"/>
      <c r="I98" s="153"/>
      <c r="J98" s="39"/>
      <c r="K98" s="214"/>
      <c r="L98" s="359"/>
      <c r="M98" s="359"/>
      <c r="N98" s="27"/>
      <c r="O98" s="27"/>
      <c r="P98" s="25"/>
      <c r="Q98" s="25"/>
      <c r="R98" s="25"/>
      <c r="S98" s="25"/>
      <c r="T98" s="25"/>
      <c r="U98" s="25"/>
      <c r="V98" s="25"/>
      <c r="W98" s="25"/>
    </row>
    <row r="99" spans="1:23" s="3" customFormat="1" ht="19.5" customHeight="1">
      <c r="A99" s="154"/>
      <c r="B99" s="155"/>
      <c r="C99" s="156"/>
      <c r="D99" s="27"/>
      <c r="E99" s="27"/>
      <c r="F99" s="27"/>
      <c r="G99" s="27"/>
      <c r="H99" s="20"/>
      <c r="I99" s="153"/>
      <c r="J99" s="39"/>
      <c r="K99" s="214"/>
      <c r="L99" s="359"/>
      <c r="M99" s="359"/>
      <c r="N99" s="27"/>
      <c r="O99" s="27"/>
      <c r="P99" s="25"/>
      <c r="Q99" s="25"/>
      <c r="R99" s="25"/>
      <c r="S99" s="25"/>
      <c r="T99" s="25"/>
      <c r="U99" s="25"/>
      <c r="V99" s="25"/>
      <c r="W99" s="25"/>
    </row>
    <row r="100" spans="1:23" s="3" customFormat="1" ht="19.5" customHeight="1">
      <c r="A100" s="154"/>
      <c r="B100" s="155"/>
      <c r="C100" s="156"/>
      <c r="D100" s="27"/>
      <c r="E100" s="27"/>
      <c r="F100" s="27"/>
      <c r="G100" s="27"/>
      <c r="H100" s="20"/>
      <c r="I100" s="153"/>
      <c r="J100" s="39"/>
      <c r="K100" s="214"/>
      <c r="L100" s="359"/>
      <c r="M100" s="359"/>
      <c r="N100" s="27"/>
      <c r="O100" s="27"/>
      <c r="P100" s="25"/>
      <c r="Q100" s="25"/>
      <c r="R100" s="25"/>
      <c r="S100" s="25"/>
      <c r="T100" s="25"/>
      <c r="U100" s="25"/>
      <c r="V100" s="25"/>
      <c r="W100" s="25"/>
    </row>
    <row r="101" spans="1:23" s="3" customFormat="1" ht="19.5" customHeight="1">
      <c r="A101" s="154"/>
      <c r="B101" s="155"/>
      <c r="C101" s="156"/>
      <c r="D101" s="27"/>
      <c r="E101" s="27"/>
      <c r="F101" s="27"/>
      <c r="G101" s="27"/>
      <c r="H101" s="20"/>
      <c r="I101" s="153"/>
      <c r="J101" s="39"/>
      <c r="K101" s="214"/>
      <c r="L101" s="359"/>
      <c r="M101" s="359"/>
      <c r="N101" s="27"/>
      <c r="O101" s="27"/>
      <c r="P101" s="25"/>
      <c r="Q101" s="25"/>
      <c r="R101" s="25"/>
      <c r="S101" s="25"/>
      <c r="T101" s="25"/>
      <c r="U101" s="25"/>
      <c r="V101" s="25"/>
      <c r="W101" s="25"/>
    </row>
    <row r="102" spans="1:23" ht="19.5" customHeight="1">
      <c r="A102" s="144" t="s">
        <v>75</v>
      </c>
      <c r="B102" s="124"/>
      <c r="C102" s="146"/>
      <c r="D102" s="18"/>
      <c r="E102" s="18"/>
      <c r="F102" s="18"/>
      <c r="G102" s="18"/>
      <c r="H102" s="21"/>
      <c r="I102" s="134"/>
      <c r="J102" s="38"/>
      <c r="K102" s="350"/>
      <c r="L102" s="360"/>
      <c r="M102" s="348"/>
      <c r="N102" s="349"/>
      <c r="O102" s="349"/>
      <c r="P102" s="16"/>
      <c r="Q102" s="16"/>
      <c r="R102" s="16"/>
      <c r="S102" s="16"/>
      <c r="T102" s="16"/>
      <c r="U102" s="16"/>
      <c r="V102" s="16"/>
      <c r="W102" s="16"/>
    </row>
    <row r="103" spans="1:23" ht="19.5" customHeight="1">
      <c r="A103" s="144"/>
      <c r="B103" s="124"/>
      <c r="C103" s="146"/>
      <c r="D103" s="18"/>
      <c r="E103" s="18"/>
      <c r="F103" s="18"/>
      <c r="G103" s="18"/>
      <c r="H103" s="21"/>
      <c r="I103" s="134"/>
      <c r="J103" s="38"/>
      <c r="K103" s="350"/>
      <c r="L103" s="360"/>
      <c r="M103" s="348"/>
      <c r="N103" s="349"/>
      <c r="O103" s="349"/>
      <c r="P103" s="16"/>
      <c r="Q103" s="16"/>
      <c r="R103" s="16"/>
      <c r="S103" s="16"/>
      <c r="T103" s="16"/>
      <c r="U103" s="16"/>
      <c r="V103" s="16"/>
      <c r="W103" s="16"/>
    </row>
    <row r="104" spans="1:23" ht="19.5" customHeight="1">
      <c r="A104" s="144"/>
      <c r="B104" s="124"/>
      <c r="C104" s="146"/>
      <c r="D104" s="18"/>
      <c r="E104" s="18"/>
      <c r="F104" s="18"/>
      <c r="G104" s="18"/>
      <c r="H104" s="21"/>
      <c r="I104" s="134"/>
      <c r="J104" s="38"/>
      <c r="K104" s="350"/>
      <c r="L104" s="360"/>
      <c r="M104" s="348"/>
      <c r="N104" s="349"/>
      <c r="O104" s="349"/>
      <c r="P104" s="16"/>
      <c r="Q104" s="16"/>
      <c r="R104" s="16"/>
      <c r="S104" s="16"/>
      <c r="T104" s="16"/>
      <c r="U104" s="16"/>
      <c r="V104" s="16"/>
      <c r="W104" s="16"/>
    </row>
    <row r="105" spans="1:23" ht="19.5" customHeight="1">
      <c r="A105" s="148" t="s">
        <v>36</v>
      </c>
      <c r="B105" s="145"/>
      <c r="C105" s="149"/>
      <c r="D105" s="19"/>
      <c r="E105" s="19"/>
      <c r="F105" s="19"/>
      <c r="G105" s="19"/>
      <c r="H105" s="17"/>
      <c r="I105" s="126"/>
      <c r="J105" s="150"/>
      <c r="K105" s="361"/>
      <c r="L105" s="348"/>
      <c r="M105" s="348"/>
      <c r="N105" s="349"/>
      <c r="O105" s="349"/>
      <c r="P105" s="16"/>
      <c r="Q105" s="16"/>
      <c r="R105" s="16"/>
      <c r="S105" s="16"/>
      <c r="T105" s="16"/>
      <c r="U105" s="16"/>
      <c r="V105" s="16"/>
      <c r="W105" s="16"/>
    </row>
    <row r="106" spans="1:23" ht="19.5" customHeight="1">
      <c r="A106" s="148"/>
      <c r="B106" s="148"/>
      <c r="C106" s="149"/>
      <c r="D106" s="19"/>
      <c r="E106" s="19"/>
      <c r="F106" s="19"/>
      <c r="G106" s="19"/>
      <c r="H106" s="17"/>
      <c r="I106" s="126"/>
      <c r="J106" s="150"/>
      <c r="K106" s="361"/>
      <c r="L106" s="348"/>
      <c r="M106" s="348"/>
      <c r="N106" s="349"/>
      <c r="O106" s="349"/>
      <c r="P106" s="16"/>
      <c r="Q106" s="16"/>
      <c r="R106" s="16"/>
      <c r="S106" s="16"/>
      <c r="T106" s="16"/>
      <c r="U106" s="16"/>
      <c r="V106" s="16"/>
      <c r="W106" s="16"/>
    </row>
    <row r="107" spans="1:23" ht="19.5" customHeight="1">
      <c r="A107" s="148"/>
      <c r="B107" s="148"/>
      <c r="C107" s="149"/>
      <c r="D107" s="19"/>
      <c r="E107" s="19"/>
      <c r="F107" s="19"/>
      <c r="G107" s="19"/>
      <c r="H107" s="17"/>
      <c r="I107" s="126"/>
      <c r="J107" s="150"/>
      <c r="K107" s="361"/>
      <c r="L107" s="348"/>
      <c r="M107" s="348"/>
      <c r="N107" s="349"/>
      <c r="O107" s="349"/>
      <c r="P107" s="16"/>
      <c r="Q107" s="16"/>
      <c r="R107" s="16"/>
      <c r="S107" s="16"/>
      <c r="T107" s="16"/>
      <c r="U107" s="16"/>
      <c r="V107" s="16"/>
      <c r="W107" s="16"/>
    </row>
    <row r="108" spans="1:23" ht="19.5" customHeight="1">
      <c r="A108" s="157"/>
      <c r="B108" s="95"/>
      <c r="C108" s="158"/>
      <c r="D108" s="10" t="s">
        <v>65</v>
      </c>
      <c r="E108" s="11"/>
      <c r="F108" s="10" t="s">
        <v>99</v>
      </c>
      <c r="G108" s="11"/>
      <c r="H108" s="17"/>
      <c r="I108" s="134"/>
      <c r="J108" s="37"/>
      <c r="K108" s="234"/>
      <c r="L108" s="348"/>
      <c r="M108" s="348"/>
      <c r="N108" s="349"/>
      <c r="O108" s="349"/>
      <c r="P108" s="16"/>
      <c r="Q108" s="16"/>
      <c r="R108" s="16"/>
      <c r="S108" s="16"/>
      <c r="T108" s="16"/>
      <c r="U108" s="16"/>
      <c r="V108" s="16"/>
      <c r="W108" s="16"/>
    </row>
    <row r="109" spans="1:23" ht="19.5" customHeight="1">
      <c r="A109" s="159"/>
      <c r="B109" s="97"/>
      <c r="C109" s="160"/>
      <c r="D109" s="12" t="s">
        <v>68</v>
      </c>
      <c r="E109" s="11" t="s">
        <v>67</v>
      </c>
      <c r="F109" s="12" t="s">
        <v>68</v>
      </c>
      <c r="G109" s="11" t="s">
        <v>67</v>
      </c>
      <c r="H109" s="17"/>
      <c r="I109" s="147"/>
      <c r="J109" s="37"/>
      <c r="K109" s="234"/>
      <c r="L109" s="348"/>
      <c r="M109" s="348"/>
      <c r="N109" s="349"/>
      <c r="O109" s="349"/>
      <c r="P109" s="16"/>
      <c r="Q109" s="16"/>
      <c r="R109" s="16"/>
      <c r="S109" s="16"/>
      <c r="T109" s="16"/>
      <c r="U109" s="16"/>
      <c r="V109" s="16"/>
      <c r="W109" s="16"/>
    </row>
    <row r="110" spans="1:23" ht="24" customHeight="1">
      <c r="A110" s="161" t="s">
        <v>70</v>
      </c>
      <c r="B110" s="162" t="s">
        <v>76</v>
      </c>
      <c r="C110" s="163" t="s">
        <v>71</v>
      </c>
      <c r="D110" s="164" t="s">
        <v>72</v>
      </c>
      <c r="E110" s="165" t="s">
        <v>73</v>
      </c>
      <c r="F110" s="164" t="s">
        <v>72</v>
      </c>
      <c r="G110" s="165" t="s">
        <v>73</v>
      </c>
      <c r="H110" s="17"/>
      <c r="I110" s="134"/>
      <c r="J110" s="37"/>
      <c r="K110" s="234"/>
      <c r="L110" s="348"/>
      <c r="M110" s="348"/>
      <c r="N110" s="349"/>
      <c r="O110" s="349"/>
      <c r="P110" s="16"/>
      <c r="Q110" s="16"/>
      <c r="R110" s="16"/>
      <c r="S110" s="16"/>
      <c r="T110" s="16"/>
      <c r="U110" s="16"/>
      <c r="V110" s="16"/>
      <c r="W110" s="16"/>
    </row>
    <row r="111" spans="1:23" s="47" customFormat="1" ht="21" customHeight="1">
      <c r="A111" s="683">
        <v>758</v>
      </c>
      <c r="B111" s="220">
        <v>75818</v>
      </c>
      <c r="C111" s="100"/>
      <c r="D111" s="222">
        <f>SUM(D112:D113)</f>
        <v>417000</v>
      </c>
      <c r="E111" s="221"/>
      <c r="F111" s="222"/>
      <c r="G111" s="221"/>
      <c r="H111" s="223"/>
      <c r="I111" s="153"/>
      <c r="J111" s="50"/>
      <c r="K111" s="362"/>
      <c r="L111" s="363"/>
      <c r="M111" s="363"/>
      <c r="N111" s="364"/>
      <c r="O111" s="364"/>
      <c r="P111" s="224"/>
      <c r="Q111" s="224"/>
      <c r="R111" s="224"/>
      <c r="S111" s="224"/>
      <c r="T111" s="224"/>
      <c r="U111" s="224"/>
      <c r="V111" s="224"/>
      <c r="W111" s="224"/>
    </row>
    <row r="112" spans="1:23" s="47" customFormat="1" ht="21" customHeight="1">
      <c r="A112" s="686"/>
      <c r="B112" s="687"/>
      <c r="C112" s="192" t="s">
        <v>126</v>
      </c>
      <c r="D112" s="688">
        <v>140000</v>
      </c>
      <c r="E112" s="689"/>
      <c r="F112" s="690"/>
      <c r="G112" s="689"/>
      <c r="H112" s="223"/>
      <c r="I112" s="691"/>
      <c r="J112" s="50"/>
      <c r="K112" s="692"/>
      <c r="L112" s="363"/>
      <c r="M112" s="363"/>
      <c r="N112" s="364"/>
      <c r="O112" s="364"/>
      <c r="P112" s="224"/>
      <c r="Q112" s="224"/>
      <c r="R112" s="224"/>
      <c r="S112" s="224"/>
      <c r="T112" s="224"/>
      <c r="U112" s="224"/>
      <c r="V112" s="224"/>
      <c r="W112" s="224"/>
    </row>
    <row r="113" spans="1:23" s="47" customFormat="1" ht="21" customHeight="1">
      <c r="A113" s="693"/>
      <c r="B113" s="694"/>
      <c r="C113" s="695" t="s">
        <v>391</v>
      </c>
      <c r="D113" s="690">
        <v>277000</v>
      </c>
      <c r="E113" s="689"/>
      <c r="F113" s="690"/>
      <c r="G113" s="689"/>
      <c r="H113" s="223"/>
      <c r="I113" s="691"/>
      <c r="J113" s="50"/>
      <c r="K113" s="692"/>
      <c r="L113" s="363"/>
      <c r="M113" s="363"/>
      <c r="N113" s="364"/>
      <c r="O113" s="364"/>
      <c r="P113" s="224"/>
      <c r="Q113" s="224"/>
      <c r="R113" s="224"/>
      <c r="S113" s="224"/>
      <c r="T113" s="224"/>
      <c r="U113" s="224"/>
      <c r="V113" s="224"/>
      <c r="W113" s="224"/>
    </row>
    <row r="114" spans="1:23" s="47" customFormat="1" ht="21" customHeight="1">
      <c r="A114" s="684">
        <v>801</v>
      </c>
      <c r="B114" s="685">
        <v>80130</v>
      </c>
      <c r="C114" s="366" t="s">
        <v>115</v>
      </c>
      <c r="D114" s="43"/>
      <c r="E114" s="367"/>
      <c r="F114" s="43">
        <v>8000</v>
      </c>
      <c r="G114" s="367"/>
      <c r="H114" s="223"/>
      <c r="I114" s="153"/>
      <c r="J114" s="50"/>
      <c r="K114" s="362"/>
      <c r="L114" s="363"/>
      <c r="M114" s="363"/>
      <c r="N114" s="364"/>
      <c r="O114" s="364"/>
      <c r="P114" s="224"/>
      <c r="Q114" s="224"/>
      <c r="R114" s="224"/>
      <c r="S114" s="224"/>
      <c r="T114" s="224"/>
      <c r="U114" s="224"/>
      <c r="V114" s="224"/>
      <c r="W114" s="224"/>
    </row>
    <row r="115" spans="1:15" s="45" customFormat="1" ht="19.5" customHeight="1">
      <c r="A115" s="232">
        <v>853</v>
      </c>
      <c r="B115" s="220">
        <v>85395</v>
      </c>
      <c r="C115" s="220">
        <v>2360</v>
      </c>
      <c r="D115" s="43"/>
      <c r="E115" s="43"/>
      <c r="F115" s="43">
        <v>140000</v>
      </c>
      <c r="G115" s="43"/>
      <c r="I115" s="46"/>
      <c r="J115" s="46"/>
      <c r="K115" s="230"/>
      <c r="L115" s="230"/>
      <c r="M115" s="230"/>
      <c r="N115" s="231"/>
      <c r="O115" s="231"/>
    </row>
    <row r="116" spans="1:23" s="3" customFormat="1" ht="19.5" customHeight="1">
      <c r="A116" s="268" t="s">
        <v>74</v>
      </c>
      <c r="B116" s="269"/>
      <c r="C116" s="105"/>
      <c r="D116" s="44">
        <f>D111+D114+D115</f>
        <v>417000</v>
      </c>
      <c r="E116" s="44">
        <f>E111+E114+E115</f>
        <v>0</v>
      </c>
      <c r="F116" s="44">
        <f>F111+F114+F115</f>
        <v>148000</v>
      </c>
      <c r="G116" s="44">
        <f>G111+G114+G115</f>
        <v>0</v>
      </c>
      <c r="H116" s="20"/>
      <c r="I116" s="153"/>
      <c r="J116" s="42"/>
      <c r="K116" s="42"/>
      <c r="L116" s="39"/>
      <c r="M116" s="39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s="3" customFormat="1" ht="19.5" customHeight="1">
      <c r="A117" s="154"/>
      <c r="B117" s="155"/>
      <c r="C117" s="155"/>
      <c r="D117" s="27"/>
      <c r="E117" s="27"/>
      <c r="F117" s="27"/>
      <c r="G117" s="27"/>
      <c r="H117" s="20"/>
      <c r="I117" s="153"/>
      <c r="J117" s="42"/>
      <c r="K117" s="42"/>
      <c r="L117" s="39"/>
      <c r="M117" s="39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s="3" customFormat="1" ht="19.5" customHeight="1">
      <c r="A118" s="154"/>
      <c r="B118" s="155"/>
      <c r="C118" s="155"/>
      <c r="D118" s="27"/>
      <c r="E118" s="27"/>
      <c r="F118" s="27"/>
      <c r="G118" s="27"/>
      <c r="H118" s="20"/>
      <c r="I118" s="153"/>
      <c r="J118" s="42"/>
      <c r="K118" s="42"/>
      <c r="L118" s="39"/>
      <c r="M118" s="39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s="3" customFormat="1" ht="19.5" customHeight="1">
      <c r="A119" s="154"/>
      <c r="B119" s="155"/>
      <c r="C119" s="155"/>
      <c r="D119" s="27"/>
      <c r="E119" s="27"/>
      <c r="F119" s="27"/>
      <c r="G119" s="27"/>
      <c r="H119" s="20"/>
      <c r="I119" s="153"/>
      <c r="J119" s="42"/>
      <c r="K119" s="42"/>
      <c r="L119" s="39"/>
      <c r="M119" s="39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s="3" customFormat="1" ht="19.5" customHeight="1">
      <c r="A120" s="696" t="s">
        <v>407</v>
      </c>
      <c r="B120" s="124"/>
      <c r="C120" s="125"/>
      <c r="D120" s="16"/>
      <c r="E120" s="16"/>
      <c r="F120" s="27"/>
      <c r="G120" s="27"/>
      <c r="H120" s="20"/>
      <c r="I120" s="697"/>
      <c r="J120" s="359"/>
      <c r="K120" s="214"/>
      <c r="L120" s="359"/>
      <c r="M120" s="359"/>
      <c r="N120" s="27"/>
      <c r="O120" s="27"/>
      <c r="P120" s="27"/>
      <c r="Q120" s="25"/>
      <c r="R120" s="25"/>
      <c r="S120" s="25"/>
      <c r="T120" s="25"/>
      <c r="U120" s="25"/>
      <c r="V120" s="25"/>
      <c r="W120" s="25"/>
    </row>
    <row r="121" spans="1:23" s="3" customFormat="1" ht="19.5" customHeight="1">
      <c r="A121" s="698" t="s">
        <v>392</v>
      </c>
      <c r="B121" s="124"/>
      <c r="C121" s="167"/>
      <c r="D121" s="22"/>
      <c r="E121" s="16"/>
      <c r="F121" s="27"/>
      <c r="G121" s="27"/>
      <c r="H121" s="20"/>
      <c r="I121" s="697"/>
      <c r="J121" s="359"/>
      <c r="K121" s="214"/>
      <c r="L121" s="359"/>
      <c r="M121" s="359"/>
      <c r="N121" s="27"/>
      <c r="O121" s="27"/>
      <c r="P121" s="27"/>
      <c r="Q121" s="25"/>
      <c r="R121" s="25"/>
      <c r="S121" s="25"/>
      <c r="T121" s="25"/>
      <c r="U121" s="25"/>
      <c r="V121" s="25"/>
      <c r="W121" s="25"/>
    </row>
    <row r="122" spans="1:23" s="3" customFormat="1" ht="19.5" customHeight="1">
      <c r="A122" s="698"/>
      <c r="B122" s="124"/>
      <c r="C122" s="167"/>
      <c r="D122" s="22"/>
      <c r="E122" s="16"/>
      <c r="F122" s="27"/>
      <c r="G122" s="27"/>
      <c r="H122" s="20"/>
      <c r="I122" s="697"/>
      <c r="J122" s="359"/>
      <c r="K122" s="214"/>
      <c r="L122" s="359"/>
      <c r="M122" s="359"/>
      <c r="N122" s="27"/>
      <c r="O122" s="27"/>
      <c r="P122" s="27"/>
      <c r="Q122" s="25"/>
      <c r="R122" s="25"/>
      <c r="S122" s="25"/>
      <c r="T122" s="25"/>
      <c r="U122" s="25"/>
      <c r="V122" s="25"/>
      <c r="W122" s="25"/>
    </row>
    <row r="123" spans="1:23" s="3" customFormat="1" ht="19.5" customHeight="1">
      <c r="A123" s="696"/>
      <c r="B123" s="124"/>
      <c r="C123" s="167"/>
      <c r="D123" s="22"/>
      <c r="E123" s="16"/>
      <c r="F123" s="27"/>
      <c r="G123" s="27"/>
      <c r="H123" s="20"/>
      <c r="I123" s="697"/>
      <c r="J123" s="359"/>
      <c r="K123" s="214"/>
      <c r="L123" s="359"/>
      <c r="M123" s="359"/>
      <c r="N123" s="27"/>
      <c r="O123" s="27"/>
      <c r="P123" s="27"/>
      <c r="Q123" s="25"/>
      <c r="R123" s="25"/>
      <c r="S123" s="25"/>
      <c r="T123" s="25"/>
      <c r="U123" s="25"/>
      <c r="V123" s="25"/>
      <c r="W123" s="25"/>
    </row>
    <row r="124" spans="1:23" s="3" customFormat="1" ht="19.5" customHeight="1">
      <c r="A124" s="699" t="s">
        <v>393</v>
      </c>
      <c r="B124" s="700"/>
      <c r="C124" s="155"/>
      <c r="D124" s="48"/>
      <c r="E124" s="48"/>
      <c r="F124" s="48"/>
      <c r="G124" s="48"/>
      <c r="H124" s="49"/>
      <c r="I124" s="697"/>
      <c r="J124" s="701"/>
      <c r="K124" s="214"/>
      <c r="L124" s="701"/>
      <c r="M124" s="701"/>
      <c r="N124" s="48"/>
      <c r="O124" s="48"/>
      <c r="P124" s="48"/>
      <c r="Q124" s="49"/>
      <c r="R124" s="49"/>
      <c r="S124" s="49"/>
      <c r="T124" s="49"/>
      <c r="U124" s="49"/>
      <c r="V124" s="49"/>
      <c r="W124" s="49"/>
    </row>
    <row r="125" spans="1:23" s="3" customFormat="1" ht="19.5" customHeight="1">
      <c r="A125" s="699"/>
      <c r="B125" s="700"/>
      <c r="C125" s="155"/>
      <c r="D125" s="48"/>
      <c r="E125" s="48"/>
      <c r="F125" s="48"/>
      <c r="G125" s="48"/>
      <c r="H125" s="49"/>
      <c r="I125" s="697"/>
      <c r="J125" s="701"/>
      <c r="K125" s="214"/>
      <c r="L125" s="701"/>
      <c r="M125" s="701"/>
      <c r="N125" s="48"/>
      <c r="O125" s="48"/>
      <c r="P125" s="48"/>
      <c r="Q125" s="49"/>
      <c r="R125" s="49"/>
      <c r="S125" s="49"/>
      <c r="T125" s="49"/>
      <c r="U125" s="49"/>
      <c r="V125" s="49"/>
      <c r="W125" s="49"/>
    </row>
    <row r="126" spans="1:23" s="3" customFormat="1" ht="19.5" customHeight="1">
      <c r="A126" s="699"/>
      <c r="B126" s="700"/>
      <c r="C126" s="155"/>
      <c r="D126" s="48"/>
      <c r="E126" s="48"/>
      <c r="F126" s="48"/>
      <c r="G126" s="48"/>
      <c r="H126" s="49"/>
      <c r="I126" s="697"/>
      <c r="J126" s="701"/>
      <c r="K126" s="214"/>
      <c r="L126" s="701"/>
      <c r="M126" s="701"/>
      <c r="N126" s="48"/>
      <c r="O126" s="48"/>
      <c r="P126" s="48"/>
      <c r="Q126" s="49"/>
      <c r="R126" s="49"/>
      <c r="S126" s="49"/>
      <c r="T126" s="49"/>
      <c r="U126" s="49"/>
      <c r="V126" s="49"/>
      <c r="W126" s="49"/>
    </row>
    <row r="127" spans="1:23" s="3" customFormat="1" ht="19.5" customHeight="1">
      <c r="A127" s="702" t="s">
        <v>394</v>
      </c>
      <c r="B127" s="700"/>
      <c r="C127" s="155"/>
      <c r="D127" s="48"/>
      <c r="E127" s="48"/>
      <c r="F127" s="48"/>
      <c r="G127" s="48"/>
      <c r="H127" s="25">
        <f>H129</f>
        <v>730000</v>
      </c>
      <c r="I127" s="697"/>
      <c r="J127" s="701"/>
      <c r="K127" s="214"/>
      <c r="L127" s="701"/>
      <c r="M127" s="701"/>
      <c r="N127" s="48"/>
      <c r="O127" s="48"/>
      <c r="P127" s="48"/>
      <c r="Q127" s="49"/>
      <c r="R127" s="49"/>
      <c r="S127" s="49"/>
      <c r="T127" s="49"/>
      <c r="U127" s="49"/>
      <c r="V127" s="49"/>
      <c r="W127" s="49"/>
    </row>
    <row r="128" spans="1:23" s="3" customFormat="1" ht="19.5" customHeight="1">
      <c r="A128" s="65" t="s">
        <v>67</v>
      </c>
      <c r="B128" s="700"/>
      <c r="C128" s="155"/>
      <c r="D128" s="48"/>
      <c r="E128" s="48"/>
      <c r="F128" s="48"/>
      <c r="G128" s="48"/>
      <c r="H128" s="49"/>
      <c r="I128" s="697"/>
      <c r="J128" s="701"/>
      <c r="K128" s="214"/>
      <c r="L128" s="701"/>
      <c r="M128" s="701"/>
      <c r="N128" s="48"/>
      <c r="O128" s="48"/>
      <c r="P128" s="48"/>
      <c r="Q128" s="49"/>
      <c r="R128" s="49"/>
      <c r="S128" s="49"/>
      <c r="T128" s="49"/>
      <c r="U128" s="49"/>
      <c r="V128" s="49"/>
      <c r="W128" s="49"/>
    </row>
    <row r="129" spans="1:23" s="3" customFormat="1" ht="19.5" customHeight="1">
      <c r="A129" s="131" t="s">
        <v>395</v>
      </c>
      <c r="B129" s="700"/>
      <c r="C129" s="155"/>
      <c r="D129" s="48"/>
      <c r="E129" s="48"/>
      <c r="F129" s="48"/>
      <c r="G129" s="48"/>
      <c r="H129" s="25">
        <f>H131</f>
        <v>730000</v>
      </c>
      <c r="I129" s="697"/>
      <c r="J129" s="701"/>
      <c r="K129" s="214"/>
      <c r="L129" s="701"/>
      <c r="M129" s="701"/>
      <c r="N129" s="48"/>
      <c r="O129" s="48"/>
      <c r="P129" s="48"/>
      <c r="Q129" s="49"/>
      <c r="R129" s="49"/>
      <c r="S129" s="49"/>
      <c r="T129" s="49"/>
      <c r="U129" s="49"/>
      <c r="V129" s="49"/>
      <c r="W129" s="49"/>
    </row>
    <row r="130" spans="1:23" s="3" customFormat="1" ht="19.5" customHeight="1">
      <c r="A130" s="154" t="s">
        <v>67</v>
      </c>
      <c r="B130" s="155"/>
      <c r="C130" s="155"/>
      <c r="D130" s="27"/>
      <c r="E130" s="27"/>
      <c r="F130" s="27"/>
      <c r="G130" s="27"/>
      <c r="H130" s="20"/>
      <c r="I130" s="153"/>
      <c r="J130" s="42"/>
      <c r="K130" s="42"/>
      <c r="L130" s="39"/>
      <c r="M130" s="39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s="3" customFormat="1" ht="19.5" customHeight="1">
      <c r="A131" s="154"/>
      <c r="B131" s="703" t="s">
        <v>264</v>
      </c>
      <c r="C131" s="704"/>
      <c r="D131" s="22"/>
      <c r="E131" s="16"/>
      <c r="F131" s="48"/>
      <c r="G131" s="27"/>
      <c r="H131" s="49">
        <v>730000</v>
      </c>
      <c r="I131" s="153"/>
      <c r="J131" s="42"/>
      <c r="K131" s="42"/>
      <c r="L131" s="39"/>
      <c r="M131" s="39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s="3" customFormat="1" ht="19.5" customHeight="1">
      <c r="A132" s="154"/>
      <c r="B132" s="155"/>
      <c r="C132" s="155"/>
      <c r="D132" s="27"/>
      <c r="E132" s="27"/>
      <c r="F132" s="27"/>
      <c r="G132" s="27"/>
      <c r="H132" s="20"/>
      <c r="I132" s="153"/>
      <c r="J132" s="42"/>
      <c r="K132" s="42"/>
      <c r="L132" s="39"/>
      <c r="M132" s="39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s="3" customFormat="1" ht="19.5" customHeight="1">
      <c r="A133" s="154"/>
      <c r="B133" s="155"/>
      <c r="C133" s="155"/>
      <c r="D133" s="27"/>
      <c r="E133" s="27"/>
      <c r="F133" s="27"/>
      <c r="G133" s="27"/>
      <c r="H133" s="20"/>
      <c r="I133" s="153"/>
      <c r="J133" s="42"/>
      <c r="K133" s="42"/>
      <c r="L133" s="39"/>
      <c r="M133" s="39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s="3" customFormat="1" ht="19.5" customHeight="1">
      <c r="A134" s="154"/>
      <c r="B134" s="155"/>
      <c r="C134" s="155"/>
      <c r="D134" s="27"/>
      <c r="E134" s="27"/>
      <c r="F134" s="27"/>
      <c r="G134" s="27"/>
      <c r="H134" s="20"/>
      <c r="I134" s="153"/>
      <c r="J134" s="42"/>
      <c r="K134" s="42"/>
      <c r="L134" s="39"/>
      <c r="M134" s="39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s="3" customFormat="1" ht="19.5" customHeight="1">
      <c r="A135" s="702" t="s">
        <v>396</v>
      </c>
      <c r="B135" s="700"/>
      <c r="C135" s="155"/>
      <c r="D135" s="27"/>
      <c r="E135" s="27"/>
      <c r="F135" s="27"/>
      <c r="G135" s="27"/>
      <c r="H135" s="25">
        <f>H137</f>
        <v>3307000</v>
      </c>
      <c r="I135" s="153"/>
      <c r="J135" s="42"/>
      <c r="K135" s="42"/>
      <c r="L135" s="39"/>
      <c r="M135" s="39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s="3" customFormat="1" ht="19.5" customHeight="1">
      <c r="A136" s="65" t="s">
        <v>67</v>
      </c>
      <c r="B136" s="703"/>
      <c r="C136" s="155"/>
      <c r="D136" s="27"/>
      <c r="E136" s="27"/>
      <c r="F136" s="27"/>
      <c r="G136" s="27"/>
      <c r="H136" s="25"/>
      <c r="I136" s="153"/>
      <c r="J136" s="42"/>
      <c r="K136" s="42"/>
      <c r="L136" s="39"/>
      <c r="M136" s="39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s="3" customFormat="1" ht="19.5" customHeight="1">
      <c r="A137" s="131" t="s">
        <v>397</v>
      </c>
      <c r="B137" s="700"/>
      <c r="C137" s="155"/>
      <c r="D137" s="27"/>
      <c r="E137" s="27"/>
      <c r="F137" s="27"/>
      <c r="G137" s="27"/>
      <c r="H137" s="25">
        <f>H139</f>
        <v>3307000</v>
      </c>
      <c r="I137" s="153"/>
      <c r="J137" s="42"/>
      <c r="K137" s="42"/>
      <c r="L137" s="39"/>
      <c r="M137" s="39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s="3" customFormat="1" ht="19.5" customHeight="1">
      <c r="A138" s="65" t="s">
        <v>67</v>
      </c>
      <c r="B138" s="700"/>
      <c r="C138" s="155"/>
      <c r="D138" s="27"/>
      <c r="E138" s="27"/>
      <c r="F138" s="27"/>
      <c r="G138" s="27"/>
      <c r="H138" s="25"/>
      <c r="I138" s="153"/>
      <c r="J138" s="42"/>
      <c r="K138" s="42"/>
      <c r="L138" s="39"/>
      <c r="M138" s="39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s="3" customFormat="1" ht="19.5" customHeight="1">
      <c r="A139" s="154"/>
      <c r="B139" s="166" t="s">
        <v>330</v>
      </c>
      <c r="C139" s="155"/>
      <c r="D139" s="27"/>
      <c r="E139" s="27"/>
      <c r="F139" s="27"/>
      <c r="G139" s="27"/>
      <c r="H139" s="49">
        <v>3307000</v>
      </c>
      <c r="I139" s="153"/>
      <c r="J139" s="42"/>
      <c r="K139" s="42"/>
      <c r="L139" s="39"/>
      <c r="M139" s="39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s="3" customFormat="1" ht="19.5" customHeight="1">
      <c r="A140" s="154"/>
      <c r="B140" s="155"/>
      <c r="C140" s="155"/>
      <c r="D140" s="27"/>
      <c r="E140" s="27"/>
      <c r="F140" s="27"/>
      <c r="G140" s="27"/>
      <c r="H140" s="25"/>
      <c r="I140" s="153"/>
      <c r="J140" s="42"/>
      <c r="K140" s="42"/>
      <c r="L140" s="39"/>
      <c r="M140" s="39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s="3" customFormat="1" ht="19.5" customHeight="1">
      <c r="A141" s="154"/>
      <c r="B141" s="155"/>
      <c r="C141" s="155"/>
      <c r="D141" s="27"/>
      <c r="E141" s="27"/>
      <c r="F141" s="27"/>
      <c r="G141" s="27"/>
      <c r="H141" s="20"/>
      <c r="I141" s="153"/>
      <c r="J141" s="42"/>
      <c r="K141" s="42"/>
      <c r="L141" s="39"/>
      <c r="M141" s="39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3" customFormat="1" ht="19.5" customHeight="1">
      <c r="A142" s="699" t="s">
        <v>398</v>
      </c>
      <c r="B142" s="166"/>
      <c r="C142" s="155"/>
      <c r="D142" s="48"/>
      <c r="E142" s="27"/>
      <c r="F142" s="27"/>
      <c r="G142" s="27"/>
      <c r="H142" s="20"/>
      <c r="I142" s="153"/>
      <c r="J142" s="42"/>
      <c r="K142" s="42"/>
      <c r="L142" s="39"/>
      <c r="M142" s="39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s="3" customFormat="1" ht="19.5" customHeight="1">
      <c r="A143" s="699"/>
      <c r="B143" s="166"/>
      <c r="C143" s="155"/>
      <c r="D143" s="48"/>
      <c r="E143" s="27"/>
      <c r="F143" s="27"/>
      <c r="G143" s="27"/>
      <c r="H143" s="20"/>
      <c r="I143" s="153"/>
      <c r="J143" s="42"/>
      <c r="K143" s="42"/>
      <c r="L143" s="39"/>
      <c r="M143" s="39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s="3" customFormat="1" ht="19.5" customHeight="1">
      <c r="A144" s="699"/>
      <c r="B144" s="166"/>
      <c r="C144" s="155"/>
      <c r="D144" s="48"/>
      <c r="E144" s="27"/>
      <c r="F144" s="27"/>
      <c r="G144" s="27"/>
      <c r="H144" s="20"/>
      <c r="I144" s="153"/>
      <c r="J144" s="42"/>
      <c r="K144" s="42"/>
      <c r="L144" s="39"/>
      <c r="M144" s="39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1:23" s="3" customFormat="1" ht="19.5" customHeight="1">
      <c r="A145" s="702" t="s">
        <v>394</v>
      </c>
      <c r="B145" s="700"/>
      <c r="C145" s="155"/>
      <c r="D145" s="48"/>
      <c r="E145" s="48"/>
      <c r="F145" s="27"/>
      <c r="G145" s="27"/>
      <c r="H145" s="25">
        <f>H147</f>
        <v>277000</v>
      </c>
      <c r="I145" s="153"/>
      <c r="J145" s="42"/>
      <c r="K145" s="42"/>
      <c r="L145" s="39"/>
      <c r="M145" s="39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1:23" s="3" customFormat="1" ht="19.5" customHeight="1">
      <c r="A146" s="65" t="s">
        <v>67</v>
      </c>
      <c r="B146" s="700"/>
      <c r="C146" s="155"/>
      <c r="D146" s="48"/>
      <c r="E146" s="48"/>
      <c r="F146" s="27"/>
      <c r="G146" s="27"/>
      <c r="H146" s="25"/>
      <c r="I146" s="153"/>
      <c r="J146" s="42"/>
      <c r="K146" s="42"/>
      <c r="L146" s="39"/>
      <c r="M146" s="39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s="3" customFormat="1" ht="19.5" customHeight="1">
      <c r="A147" s="131" t="s">
        <v>395</v>
      </c>
      <c r="B147" s="700"/>
      <c r="C147" s="155"/>
      <c r="D147" s="48"/>
      <c r="E147" s="48"/>
      <c r="F147" s="27"/>
      <c r="G147" s="27"/>
      <c r="H147" s="25">
        <f>H149</f>
        <v>277000</v>
      </c>
      <c r="I147" s="153"/>
      <c r="J147" s="42"/>
      <c r="K147" s="42"/>
      <c r="L147" s="39"/>
      <c r="M147" s="39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s="3" customFormat="1" ht="19.5" customHeight="1">
      <c r="A148" s="154" t="s">
        <v>67</v>
      </c>
      <c r="B148" s="155"/>
      <c r="C148" s="155"/>
      <c r="D148" s="27"/>
      <c r="E148" s="27"/>
      <c r="F148" s="27"/>
      <c r="G148" s="27"/>
      <c r="H148" s="25"/>
      <c r="I148" s="153"/>
      <c r="J148" s="42"/>
      <c r="K148" s="42"/>
      <c r="L148" s="39"/>
      <c r="M148" s="39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s="3" customFormat="1" ht="19.5" customHeight="1">
      <c r="A149" s="154"/>
      <c r="B149" s="703" t="s">
        <v>264</v>
      </c>
      <c r="C149" s="704"/>
      <c r="D149" s="22"/>
      <c r="E149" s="16"/>
      <c r="F149" s="27"/>
      <c r="G149" s="27"/>
      <c r="H149" s="49">
        <v>277000</v>
      </c>
      <c r="I149" s="153"/>
      <c r="J149" s="42"/>
      <c r="K149" s="42"/>
      <c r="L149" s="39"/>
      <c r="M149" s="39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s="3" customFormat="1" ht="19.5" customHeight="1">
      <c r="A150" s="168"/>
      <c r="B150" s="168"/>
      <c r="C150" s="167"/>
      <c r="D150" s="22"/>
      <c r="E150" s="16"/>
      <c r="F150" s="48"/>
      <c r="G150" s="48"/>
      <c r="H150" s="49"/>
      <c r="I150" s="153"/>
      <c r="J150" s="50"/>
      <c r="K150" s="42"/>
      <c r="L150" s="50"/>
      <c r="M150" s="50"/>
      <c r="N150" s="49"/>
      <c r="O150" s="49"/>
      <c r="P150" s="49"/>
      <c r="Q150" s="49"/>
      <c r="R150" s="49"/>
      <c r="S150" s="49"/>
      <c r="T150" s="49"/>
      <c r="U150" s="49"/>
      <c r="V150" s="49"/>
      <c r="W150" s="49"/>
    </row>
    <row r="151" spans="1:23" s="3" customFormat="1" ht="19.5" customHeight="1">
      <c r="A151" s="168"/>
      <c r="B151" s="168"/>
      <c r="C151" s="167"/>
      <c r="D151" s="22"/>
      <c r="E151" s="16"/>
      <c r="F151" s="48"/>
      <c r="G151" s="48"/>
      <c r="H151" s="49"/>
      <c r="I151" s="153"/>
      <c r="J151" s="50"/>
      <c r="K151" s="42"/>
      <c r="L151" s="50"/>
      <c r="M151" s="50"/>
      <c r="N151" s="49"/>
      <c r="O151" s="49"/>
      <c r="P151" s="49"/>
      <c r="Q151" s="49"/>
      <c r="R151" s="49"/>
      <c r="S151" s="49"/>
      <c r="T151" s="49"/>
      <c r="U151" s="49"/>
      <c r="V151" s="49"/>
      <c r="W151" s="49"/>
    </row>
    <row r="152" spans="1:23" s="3" customFormat="1" ht="19.5" customHeight="1">
      <c r="A152" s="168" t="s">
        <v>399</v>
      </c>
      <c r="B152" s="168"/>
      <c r="C152" s="167"/>
      <c r="D152" s="22"/>
      <c r="E152" s="16"/>
      <c r="F152" s="48"/>
      <c r="G152" s="48"/>
      <c r="H152" s="49"/>
      <c r="I152" s="153"/>
      <c r="J152" s="50"/>
      <c r="K152" s="42"/>
      <c r="L152" s="50"/>
      <c r="M152" s="50"/>
      <c r="N152" s="49"/>
      <c r="O152" s="49"/>
      <c r="P152" s="49"/>
      <c r="Q152" s="49"/>
      <c r="R152" s="49"/>
      <c r="S152" s="49"/>
      <c r="T152" s="49"/>
      <c r="U152" s="49"/>
      <c r="V152" s="49"/>
      <c r="W152" s="49"/>
    </row>
    <row r="153" spans="1:23" s="3" customFormat="1" ht="19.5" customHeight="1">
      <c r="A153" s="168" t="s">
        <v>187</v>
      </c>
      <c r="B153" s="168"/>
      <c r="C153" s="167"/>
      <c r="D153" s="22"/>
      <c r="E153" s="16"/>
      <c r="F153" s="48"/>
      <c r="G153" s="48"/>
      <c r="H153" s="49"/>
      <c r="I153" s="153"/>
      <c r="J153" s="50"/>
      <c r="K153" s="42"/>
      <c r="L153" s="50"/>
      <c r="M153" s="50"/>
      <c r="N153" s="49"/>
      <c r="O153" s="49"/>
      <c r="P153" s="49"/>
      <c r="Q153" s="49"/>
      <c r="R153" s="49"/>
      <c r="S153" s="49"/>
      <c r="T153" s="49"/>
      <c r="U153" s="49"/>
      <c r="V153" s="49"/>
      <c r="W153" s="49"/>
    </row>
    <row r="154" spans="1:23" s="3" customFormat="1" ht="19.5" customHeight="1">
      <c r="A154" s="168"/>
      <c r="B154" s="168"/>
      <c r="C154" s="167"/>
      <c r="D154" s="22"/>
      <c r="E154" s="16"/>
      <c r="F154" s="48"/>
      <c r="G154" s="48"/>
      <c r="H154" s="49"/>
      <c r="I154" s="153"/>
      <c r="J154" s="50"/>
      <c r="K154" s="42"/>
      <c r="L154" s="50"/>
      <c r="M154" s="50"/>
      <c r="N154" s="49"/>
      <c r="O154" s="49"/>
      <c r="P154" s="49"/>
      <c r="Q154" s="49"/>
      <c r="R154" s="49"/>
      <c r="S154" s="49"/>
      <c r="T154" s="49"/>
      <c r="U154" s="49"/>
      <c r="V154" s="49"/>
      <c r="W154" s="49"/>
    </row>
    <row r="155" spans="1:23" s="3" customFormat="1" ht="19.5" customHeight="1">
      <c r="A155" s="168"/>
      <c r="B155" s="168"/>
      <c r="C155" s="167"/>
      <c r="D155" s="22"/>
      <c r="E155" s="16"/>
      <c r="F155" s="48"/>
      <c r="G155" s="48"/>
      <c r="H155" s="49"/>
      <c r="I155" s="153"/>
      <c r="J155" s="50"/>
      <c r="K155" s="42"/>
      <c r="L155" s="50"/>
      <c r="M155" s="50"/>
      <c r="N155" s="49"/>
      <c r="O155" s="49"/>
      <c r="P155" s="49"/>
      <c r="Q155" s="49"/>
      <c r="R155" s="49"/>
      <c r="S155" s="49"/>
      <c r="T155" s="49"/>
      <c r="U155" s="49"/>
      <c r="V155" s="49"/>
      <c r="W155" s="49"/>
    </row>
    <row r="156" spans="1:23" s="3" customFormat="1" ht="19.5" customHeight="1">
      <c r="A156" s="226" t="s">
        <v>408</v>
      </c>
      <c r="B156" s="197"/>
      <c r="C156" s="197"/>
      <c r="D156" s="169"/>
      <c r="E156" s="169"/>
      <c r="F156" s="48"/>
      <c r="G156" s="48"/>
      <c r="H156" s="49"/>
      <c r="I156" s="153"/>
      <c r="J156" s="50"/>
      <c r="K156" s="42"/>
      <c r="L156" s="50"/>
      <c r="M156" s="50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1:23" s="3" customFormat="1" ht="19.5" customHeight="1">
      <c r="A157" s="227" t="s">
        <v>59</v>
      </c>
      <c r="B157" s="197"/>
      <c r="C157" s="197"/>
      <c r="D157" s="169"/>
      <c r="E157" s="169"/>
      <c r="F157" s="48"/>
      <c r="G157" s="48"/>
      <c r="H157" s="49"/>
      <c r="I157" s="153"/>
      <c r="J157" s="50"/>
      <c r="K157" s="42"/>
      <c r="L157" s="50"/>
      <c r="M157" s="50"/>
      <c r="N157" s="49"/>
      <c r="O157" s="49"/>
      <c r="P157" s="49"/>
      <c r="Q157" s="49"/>
      <c r="R157" s="49"/>
      <c r="S157" s="49"/>
      <c r="T157" s="49"/>
      <c r="U157" s="49"/>
      <c r="V157" s="49"/>
      <c r="W157" s="49"/>
    </row>
    <row r="158" spans="1:23" s="3" customFormat="1" ht="19.5" customHeight="1">
      <c r="A158" s="227" t="s">
        <v>414</v>
      </c>
      <c r="B158" s="123"/>
      <c r="C158" s="62"/>
      <c r="D158" s="16"/>
      <c r="E158" s="16"/>
      <c r="F158" s="48"/>
      <c r="G158" s="48"/>
      <c r="H158" s="49"/>
      <c r="I158" s="153"/>
      <c r="J158" s="50"/>
      <c r="K158" s="42"/>
      <c r="L158" s="50"/>
      <c r="M158" s="50"/>
      <c r="N158" s="49"/>
      <c r="O158" s="49"/>
      <c r="P158" s="49"/>
      <c r="Q158" s="49"/>
      <c r="R158" s="49"/>
      <c r="S158" s="49"/>
      <c r="T158" s="49"/>
      <c r="U158" s="49"/>
      <c r="V158" s="49"/>
      <c r="W158" s="49"/>
    </row>
    <row r="159" spans="1:23" s="3" customFormat="1" ht="19.5" customHeight="1">
      <c r="A159" s="226"/>
      <c r="B159" s="62"/>
      <c r="C159" s="62"/>
      <c r="D159" s="16"/>
      <c r="E159" s="16"/>
      <c r="F159" s="48"/>
      <c r="G159" s="48"/>
      <c r="H159" s="49"/>
      <c r="I159" s="153"/>
      <c r="J159" s="50"/>
      <c r="K159" s="42"/>
      <c r="L159" s="50"/>
      <c r="M159" s="50"/>
      <c r="N159" s="49"/>
      <c r="O159" s="49"/>
      <c r="P159" s="49"/>
      <c r="Q159" s="49"/>
      <c r="R159" s="49"/>
      <c r="S159" s="49"/>
      <c r="T159" s="49"/>
      <c r="U159" s="49"/>
      <c r="V159" s="49"/>
      <c r="W159" s="49"/>
    </row>
    <row r="160" spans="1:23" s="3" customFormat="1" ht="19.5" customHeight="1">
      <c r="A160" s="226"/>
      <c r="B160" s="62"/>
      <c r="C160" s="62"/>
      <c r="D160" s="16"/>
      <c r="E160" s="16"/>
      <c r="F160" s="48"/>
      <c r="G160" s="48"/>
      <c r="H160" s="49"/>
      <c r="I160" s="153"/>
      <c r="J160" s="50"/>
      <c r="K160" s="42"/>
      <c r="L160" s="50"/>
      <c r="M160" s="50"/>
      <c r="N160" s="49"/>
      <c r="O160" s="49"/>
      <c r="P160" s="49"/>
      <c r="Q160" s="49"/>
      <c r="R160" s="49"/>
      <c r="S160" s="49"/>
      <c r="T160" s="49"/>
      <c r="U160" s="49"/>
      <c r="V160" s="49"/>
      <c r="W160" s="49"/>
    </row>
    <row r="161" spans="1:23" s="3" customFormat="1" ht="19.5" customHeight="1">
      <c r="A161" s="226" t="s">
        <v>409</v>
      </c>
      <c r="B161" s="197"/>
      <c r="C161" s="197"/>
      <c r="D161" s="169"/>
      <c r="E161" s="169"/>
      <c r="F161" s="169"/>
      <c r="G161" s="169"/>
      <c r="H161" s="49"/>
      <c r="I161" s="153"/>
      <c r="J161" s="50"/>
      <c r="K161" s="42"/>
      <c r="L161" s="50"/>
      <c r="M161" s="50"/>
      <c r="N161" s="49"/>
      <c r="O161" s="49"/>
      <c r="P161" s="49"/>
      <c r="Q161" s="49"/>
      <c r="R161" s="49"/>
      <c r="S161" s="49"/>
      <c r="T161" s="49"/>
      <c r="U161" s="49"/>
      <c r="V161" s="49"/>
      <c r="W161" s="49"/>
    </row>
    <row r="162" spans="1:23" s="3" customFormat="1" ht="19.5" customHeight="1">
      <c r="A162" s="227" t="s">
        <v>151</v>
      </c>
      <c r="B162" s="197"/>
      <c r="C162" s="197"/>
      <c r="D162" s="169"/>
      <c r="E162" s="169"/>
      <c r="F162" s="169"/>
      <c r="G162" s="169"/>
      <c r="H162" s="49"/>
      <c r="I162" s="153"/>
      <c r="J162" s="50"/>
      <c r="K162" s="42"/>
      <c r="L162" s="50"/>
      <c r="M162" s="50"/>
      <c r="N162" s="49"/>
      <c r="O162" s="49"/>
      <c r="P162" s="49"/>
      <c r="Q162" s="49"/>
      <c r="R162" s="49"/>
      <c r="S162" s="49"/>
      <c r="T162" s="49"/>
      <c r="U162" s="49"/>
      <c r="V162" s="49"/>
      <c r="W162" s="49"/>
    </row>
    <row r="163" spans="1:23" s="3" customFormat="1" ht="19.5" customHeight="1">
      <c r="A163" s="226" t="s">
        <v>415</v>
      </c>
      <c r="B163" s="123"/>
      <c r="C163" s="62"/>
      <c r="D163" s="169"/>
      <c r="E163" s="169"/>
      <c r="F163" s="169"/>
      <c r="G163" s="169"/>
      <c r="H163" s="49"/>
      <c r="I163" s="153"/>
      <c r="J163" s="50"/>
      <c r="K163" s="42"/>
      <c r="L163" s="50"/>
      <c r="M163" s="50"/>
      <c r="N163" s="49"/>
      <c r="O163" s="49"/>
      <c r="P163" s="49"/>
      <c r="Q163" s="49"/>
      <c r="R163" s="49"/>
      <c r="S163" s="49"/>
      <c r="T163" s="49"/>
      <c r="U163" s="49"/>
      <c r="V163" s="49"/>
      <c r="W163" s="49"/>
    </row>
    <row r="164" spans="1:23" s="3" customFormat="1" ht="19.5" customHeight="1">
      <c r="A164" s="226"/>
      <c r="B164" s="62"/>
      <c r="C164" s="62"/>
      <c r="D164" s="16"/>
      <c r="E164" s="16"/>
      <c r="F164" s="48"/>
      <c r="G164" s="48"/>
      <c r="H164" s="49"/>
      <c r="I164" s="153"/>
      <c r="J164" s="50"/>
      <c r="K164" s="42"/>
      <c r="L164" s="50"/>
      <c r="M164" s="50"/>
      <c r="N164" s="49"/>
      <c r="O164" s="49"/>
      <c r="P164" s="49"/>
      <c r="Q164" s="49"/>
      <c r="R164" s="49"/>
      <c r="S164" s="49"/>
      <c r="T164" s="49"/>
      <c r="U164" s="49"/>
      <c r="V164" s="49"/>
      <c r="W164" s="49"/>
    </row>
    <row r="165" spans="1:23" s="3" customFormat="1" ht="19.5" customHeight="1">
      <c r="A165" s="226"/>
      <c r="B165" s="62"/>
      <c r="C165" s="62"/>
      <c r="D165" s="16"/>
      <c r="E165" s="16"/>
      <c r="F165" s="48"/>
      <c r="G165" s="48"/>
      <c r="H165" s="49"/>
      <c r="I165" s="153"/>
      <c r="J165" s="50"/>
      <c r="K165" s="42"/>
      <c r="L165" s="50"/>
      <c r="M165" s="50"/>
      <c r="N165" s="49"/>
      <c r="O165" s="49"/>
      <c r="P165" s="49"/>
      <c r="Q165" s="49"/>
      <c r="R165" s="49"/>
      <c r="S165" s="49"/>
      <c r="T165" s="49"/>
      <c r="U165" s="49"/>
      <c r="V165" s="49"/>
      <c r="W165" s="49"/>
    </row>
    <row r="166" spans="1:23" s="3" customFormat="1" ht="19.5" customHeight="1">
      <c r="A166" s="422" t="s">
        <v>410</v>
      </c>
      <c r="B166" s="422"/>
      <c r="C166" s="423"/>
      <c r="D166" s="424"/>
      <c r="E166" s="19"/>
      <c r="F166" s="425"/>
      <c r="G166" s="425"/>
      <c r="H166" s="49"/>
      <c r="I166" s="153"/>
      <c r="J166" s="50"/>
      <c r="K166" s="42"/>
      <c r="L166" s="50"/>
      <c r="M166" s="50"/>
      <c r="N166" s="49"/>
      <c r="O166" s="49"/>
      <c r="P166" s="49"/>
      <c r="Q166" s="49"/>
      <c r="R166" s="49"/>
      <c r="S166" s="49"/>
      <c r="T166" s="49"/>
      <c r="U166" s="49"/>
      <c r="V166" s="49"/>
      <c r="W166" s="49"/>
    </row>
    <row r="167" spans="1:23" s="3" customFormat="1" ht="19.5" customHeight="1">
      <c r="A167" s="422"/>
      <c r="B167" s="422"/>
      <c r="C167" s="423"/>
      <c r="D167" s="424"/>
      <c r="E167" s="19"/>
      <c r="F167" s="425"/>
      <c r="G167" s="425"/>
      <c r="H167" s="49"/>
      <c r="I167" s="153"/>
      <c r="J167" s="50"/>
      <c r="K167" s="42"/>
      <c r="L167" s="50"/>
      <c r="M167" s="50"/>
      <c r="N167" s="49"/>
      <c r="O167" s="49"/>
      <c r="P167" s="49"/>
      <c r="Q167" s="49"/>
      <c r="R167" s="49"/>
      <c r="S167" s="49"/>
      <c r="T167" s="49"/>
      <c r="U167" s="49"/>
      <c r="V167" s="49"/>
      <c r="W167" s="49"/>
    </row>
    <row r="168" spans="1:23" s="3" customFormat="1" ht="19.5" customHeight="1">
      <c r="A168" s="422"/>
      <c r="B168" s="422"/>
      <c r="C168" s="423"/>
      <c r="D168" s="424"/>
      <c r="E168" s="19"/>
      <c r="F168" s="425"/>
      <c r="G168" s="425"/>
      <c r="H168" s="49"/>
      <c r="I168" s="153"/>
      <c r="J168" s="50"/>
      <c r="K168" s="42"/>
      <c r="L168" s="50"/>
      <c r="M168" s="50"/>
      <c r="N168" s="49"/>
      <c r="O168" s="49"/>
      <c r="P168" s="49"/>
      <c r="Q168" s="49"/>
      <c r="R168" s="49"/>
      <c r="S168" s="49"/>
      <c r="T168" s="49"/>
      <c r="U168" s="49"/>
      <c r="V168" s="49"/>
      <c r="W168" s="49"/>
    </row>
    <row r="169" spans="1:23" s="3" customFormat="1" ht="19.5" customHeight="1">
      <c r="A169" s="422" t="s">
        <v>403</v>
      </c>
      <c r="B169" s="422"/>
      <c r="C169" s="423"/>
      <c r="D169" s="424"/>
      <c r="E169" s="19"/>
      <c r="F169" s="425"/>
      <c r="G169" s="425"/>
      <c r="H169" s="49"/>
      <c r="I169" s="153"/>
      <c r="J169" s="50"/>
      <c r="K169" s="42"/>
      <c r="L169" s="50"/>
      <c r="M169" s="50"/>
      <c r="N169" s="49"/>
      <c r="O169" s="49"/>
      <c r="P169" s="49"/>
      <c r="Q169" s="49"/>
      <c r="R169" s="49"/>
      <c r="S169" s="49"/>
      <c r="T169" s="49"/>
      <c r="U169" s="49"/>
      <c r="V169" s="49"/>
      <c r="W169" s="49"/>
    </row>
    <row r="170" spans="1:23" s="3" customFormat="1" ht="19.5" customHeight="1">
      <c r="A170" s="422" t="s">
        <v>178</v>
      </c>
      <c r="B170" s="422"/>
      <c r="C170" s="423"/>
      <c r="D170" s="424"/>
      <c r="E170" s="19"/>
      <c r="F170" s="425"/>
      <c r="G170" s="425"/>
      <c r="H170" s="49"/>
      <c r="I170" s="153"/>
      <c r="J170" s="50"/>
      <c r="K170" s="42"/>
      <c r="L170" s="50"/>
      <c r="M170" s="50"/>
      <c r="N170" s="49"/>
      <c r="O170" s="49"/>
      <c r="P170" s="49"/>
      <c r="Q170" s="49"/>
      <c r="R170" s="49"/>
      <c r="S170" s="49"/>
      <c r="T170" s="49"/>
      <c r="U170" s="49"/>
      <c r="V170" s="49"/>
      <c r="W170" s="49"/>
    </row>
    <row r="171" spans="1:23" s="3" customFormat="1" ht="19.5" customHeight="1">
      <c r="A171" s="422"/>
      <c r="B171" s="422"/>
      <c r="C171" s="423"/>
      <c r="D171" s="424"/>
      <c r="E171" s="19"/>
      <c r="F171" s="425"/>
      <c r="G171" s="425"/>
      <c r="H171" s="49"/>
      <c r="I171" s="153"/>
      <c r="J171" s="50"/>
      <c r="K171" s="42"/>
      <c r="L171" s="50"/>
      <c r="M171" s="50"/>
      <c r="N171" s="49"/>
      <c r="O171" s="49"/>
      <c r="P171" s="49"/>
      <c r="Q171" s="49"/>
      <c r="R171" s="49"/>
      <c r="S171" s="49"/>
      <c r="T171" s="49"/>
      <c r="U171" s="49"/>
      <c r="V171" s="49"/>
      <c r="W171" s="49"/>
    </row>
    <row r="172" spans="1:23" s="3" customFormat="1" ht="19.5" customHeight="1">
      <c r="A172" s="422" t="s">
        <v>179</v>
      </c>
      <c r="B172" s="422"/>
      <c r="C172" s="423"/>
      <c r="D172" s="424"/>
      <c r="E172" s="19"/>
      <c r="F172" s="425"/>
      <c r="G172" s="425"/>
      <c r="H172" s="49"/>
      <c r="I172" s="153"/>
      <c r="J172" s="50"/>
      <c r="K172" s="42"/>
      <c r="L172" s="50"/>
      <c r="M172" s="50"/>
      <c r="N172" s="49"/>
      <c r="O172" s="49"/>
      <c r="P172" s="49"/>
      <c r="Q172" s="49"/>
      <c r="R172" s="49"/>
      <c r="S172" s="49"/>
      <c r="T172" s="49"/>
      <c r="U172" s="49"/>
      <c r="V172" s="49"/>
      <c r="W172" s="49"/>
    </row>
    <row r="173" spans="1:23" s="3" customFormat="1" ht="19.5" customHeight="1">
      <c r="A173" s="422"/>
      <c r="B173" s="422"/>
      <c r="C173" s="423"/>
      <c r="D173" s="424"/>
      <c r="E173" s="19"/>
      <c r="F173" s="425"/>
      <c r="G173" s="425"/>
      <c r="H173" s="49"/>
      <c r="I173" s="153"/>
      <c r="J173" s="50"/>
      <c r="K173" s="42"/>
      <c r="L173" s="50"/>
      <c r="M173" s="50"/>
      <c r="N173" s="49"/>
      <c r="O173" s="49"/>
      <c r="P173" s="49"/>
      <c r="Q173" s="49"/>
      <c r="R173" s="49"/>
      <c r="S173" s="49"/>
      <c r="T173" s="49"/>
      <c r="U173" s="49"/>
      <c r="V173" s="49"/>
      <c r="W173" s="49"/>
    </row>
    <row r="174" spans="1:23" s="3" customFormat="1" ht="19.5" customHeight="1">
      <c r="A174" s="422" t="s">
        <v>68</v>
      </c>
      <c r="B174" s="422" t="s">
        <v>180</v>
      </c>
      <c r="C174" s="423"/>
      <c r="D174" s="424"/>
      <c r="E174" s="19"/>
      <c r="F174" s="48">
        <f>27168179+2300000</f>
        <v>29468179</v>
      </c>
      <c r="G174" s="425" t="s">
        <v>181</v>
      </c>
      <c r="H174" s="49"/>
      <c r="I174" s="153"/>
      <c r="J174" s="50"/>
      <c r="K174" s="42"/>
      <c r="L174" s="50"/>
      <c r="M174" s="50"/>
      <c r="N174" s="49"/>
      <c r="O174" s="49"/>
      <c r="P174" s="49"/>
      <c r="Q174" s="49"/>
      <c r="R174" s="49"/>
      <c r="S174" s="49"/>
      <c r="T174" s="49"/>
      <c r="U174" s="49"/>
      <c r="V174" s="49"/>
      <c r="W174" s="49"/>
    </row>
    <row r="175" spans="1:23" s="3" customFormat="1" ht="19.5" customHeight="1">
      <c r="A175" s="422"/>
      <c r="B175" s="422" t="s">
        <v>182</v>
      </c>
      <c r="C175" s="423"/>
      <c r="D175" s="424"/>
      <c r="E175" s="19"/>
      <c r="F175" s="48">
        <v>13440424.92</v>
      </c>
      <c r="G175" s="425" t="s">
        <v>183</v>
      </c>
      <c r="H175" s="49"/>
      <c r="I175" s="153"/>
      <c r="J175" s="50"/>
      <c r="K175" s="42"/>
      <c r="L175" s="50"/>
      <c r="M175" s="50"/>
      <c r="N175" s="49"/>
      <c r="O175" s="49"/>
      <c r="P175" s="49"/>
      <c r="Q175" s="49"/>
      <c r="R175" s="49"/>
      <c r="S175" s="49"/>
      <c r="T175" s="49"/>
      <c r="U175" s="49"/>
      <c r="V175" s="49"/>
      <c r="W175" s="49"/>
    </row>
    <row r="176" spans="1:23" s="3" customFormat="1" ht="19.5" customHeight="1">
      <c r="A176" s="422"/>
      <c r="B176" s="422"/>
      <c r="C176" s="423"/>
      <c r="D176" s="424"/>
      <c r="E176" s="19"/>
      <c r="F176" s="425"/>
      <c r="G176" s="425"/>
      <c r="H176" s="49"/>
      <c r="I176" s="153"/>
      <c r="J176" s="50"/>
      <c r="K176" s="42"/>
      <c r="L176" s="50"/>
      <c r="M176" s="50"/>
      <c r="N176" s="49"/>
      <c r="O176" s="49"/>
      <c r="P176" s="49"/>
      <c r="Q176" s="49"/>
      <c r="R176" s="49"/>
      <c r="S176" s="49"/>
      <c r="T176" s="49"/>
      <c r="U176" s="49"/>
      <c r="V176" s="49"/>
      <c r="W176" s="49"/>
    </row>
    <row r="177" spans="1:23" s="3" customFormat="1" ht="19.5" customHeight="1">
      <c r="A177" s="422"/>
      <c r="B177" s="422"/>
      <c r="C177" s="423"/>
      <c r="D177" s="424"/>
      <c r="E177" s="19"/>
      <c r="F177" s="425"/>
      <c r="G177" s="425"/>
      <c r="H177" s="49"/>
      <c r="I177" s="153"/>
      <c r="J177" s="50"/>
      <c r="K177" s="42"/>
      <c r="L177" s="50"/>
      <c r="M177" s="50"/>
      <c r="N177" s="49"/>
      <c r="O177" s="49"/>
      <c r="P177" s="49"/>
      <c r="Q177" s="49"/>
      <c r="R177" s="49"/>
      <c r="S177" s="49"/>
      <c r="T177" s="49"/>
      <c r="U177" s="49"/>
      <c r="V177" s="49"/>
      <c r="W177" s="49"/>
    </row>
    <row r="178" spans="1:23" s="3" customFormat="1" ht="19.5" customHeight="1">
      <c r="A178" s="426" t="s">
        <v>184</v>
      </c>
      <c r="B178" s="383"/>
      <c r="C178" s="197"/>
      <c r="D178" s="169"/>
      <c r="E178" s="169"/>
      <c r="F178" s="169"/>
      <c r="G178" s="169"/>
      <c r="H178" s="49"/>
      <c r="I178" s="153"/>
      <c r="J178" s="50"/>
      <c r="K178" s="42"/>
      <c r="L178" s="50"/>
      <c r="M178" s="50"/>
      <c r="N178" s="49"/>
      <c r="O178" s="49"/>
      <c r="P178" s="49"/>
      <c r="Q178" s="49"/>
      <c r="R178" s="49"/>
      <c r="S178" s="49"/>
      <c r="T178" s="49"/>
      <c r="U178" s="49"/>
      <c r="V178" s="49"/>
      <c r="W178" s="49"/>
    </row>
    <row r="179" spans="1:23" s="3" customFormat="1" ht="19.5" customHeight="1">
      <c r="A179" s="427" t="s">
        <v>185</v>
      </c>
      <c r="B179" s="383"/>
      <c r="C179" s="197"/>
      <c r="D179" s="169"/>
      <c r="E179" s="169"/>
      <c r="F179" s="169"/>
      <c r="G179" s="169"/>
      <c r="H179" s="49"/>
      <c r="I179" s="153"/>
      <c r="J179" s="50"/>
      <c r="K179" s="42"/>
      <c r="L179" s="50"/>
      <c r="M179" s="50"/>
      <c r="N179" s="49"/>
      <c r="O179" s="49"/>
      <c r="P179" s="49"/>
      <c r="Q179" s="49"/>
      <c r="R179" s="49"/>
      <c r="S179" s="49"/>
      <c r="T179" s="49"/>
      <c r="U179" s="49"/>
      <c r="V179" s="49"/>
      <c r="W179" s="49"/>
    </row>
    <row r="180" spans="1:23" s="3" customFormat="1" ht="19.5" customHeight="1">
      <c r="A180" s="226"/>
      <c r="B180" s="62"/>
      <c r="C180" s="62"/>
      <c r="D180" s="16"/>
      <c r="E180" s="16"/>
      <c r="F180" s="48"/>
      <c r="G180" s="48"/>
      <c r="H180" s="49"/>
      <c r="I180" s="153"/>
      <c r="J180" s="50"/>
      <c r="K180" s="42"/>
      <c r="L180" s="50"/>
      <c r="M180" s="50"/>
      <c r="N180" s="49"/>
      <c r="O180" s="49"/>
      <c r="P180" s="49"/>
      <c r="Q180" s="49"/>
      <c r="R180" s="49"/>
      <c r="S180" s="49"/>
      <c r="T180" s="49"/>
      <c r="U180" s="49"/>
      <c r="V180" s="49"/>
      <c r="W180" s="49"/>
    </row>
    <row r="181" spans="1:23" s="3" customFormat="1" ht="19.5" customHeight="1">
      <c r="A181" s="426" t="s">
        <v>186</v>
      </c>
      <c r="B181" s="428"/>
      <c r="C181" s="428"/>
      <c r="D181" s="428"/>
      <c r="E181" s="428"/>
      <c r="F181" s="429"/>
      <c r="G181" s="425"/>
      <c r="H181" s="25">
        <f>H183</f>
        <v>2300000</v>
      </c>
      <c r="I181" s="153"/>
      <c r="J181" s="50"/>
      <c r="K181" s="42"/>
      <c r="L181" s="50"/>
      <c r="M181" s="50"/>
      <c r="N181" s="49"/>
      <c r="O181" s="49"/>
      <c r="P181" s="49"/>
      <c r="Q181" s="49"/>
      <c r="R181" s="49"/>
      <c r="S181" s="49"/>
      <c r="T181" s="49"/>
      <c r="U181" s="49"/>
      <c r="V181" s="49"/>
      <c r="W181" s="49"/>
    </row>
    <row r="182" spans="1:23" s="3" customFormat="1" ht="19.5" customHeight="1">
      <c r="A182" s="426" t="s">
        <v>67</v>
      </c>
      <c r="B182" s="428"/>
      <c r="C182" s="428"/>
      <c r="D182" s="428"/>
      <c r="E182" s="428"/>
      <c r="F182" s="429"/>
      <c r="G182" s="425"/>
      <c r="H182" s="25"/>
      <c r="I182" s="153"/>
      <c r="J182" s="50"/>
      <c r="K182" s="42"/>
      <c r="L182" s="50"/>
      <c r="M182" s="50"/>
      <c r="N182" s="49"/>
      <c r="O182" s="49"/>
      <c r="P182" s="49"/>
      <c r="Q182" s="49"/>
      <c r="R182" s="49"/>
      <c r="S182" s="49"/>
      <c r="T182" s="49"/>
      <c r="U182" s="49"/>
      <c r="V182" s="49"/>
      <c r="W182" s="49"/>
    </row>
    <row r="183" spans="1:23" s="3" customFormat="1" ht="19.5" customHeight="1">
      <c r="A183" s="426"/>
      <c r="B183" s="428" t="s">
        <v>417</v>
      </c>
      <c r="C183" s="428"/>
      <c r="D183" s="428"/>
      <c r="E183" s="428"/>
      <c r="F183" s="429"/>
      <c r="G183" s="48"/>
      <c r="H183" s="49">
        <v>2300000</v>
      </c>
      <c r="I183" s="153"/>
      <c r="J183" s="50"/>
      <c r="K183" s="42"/>
      <c r="L183" s="50"/>
      <c r="M183" s="50"/>
      <c r="N183" s="49"/>
      <c r="O183" s="49"/>
      <c r="P183" s="49"/>
      <c r="Q183" s="49"/>
      <c r="R183" s="49"/>
      <c r="S183" s="49"/>
      <c r="T183" s="49"/>
      <c r="U183" s="49"/>
      <c r="V183" s="49"/>
      <c r="W183" s="49"/>
    </row>
    <row r="184" spans="1:23" s="3" customFormat="1" ht="19.5" customHeight="1">
      <c r="A184" s="426"/>
      <c r="B184" s="428"/>
      <c r="C184" s="428"/>
      <c r="D184" s="428"/>
      <c r="E184" s="428"/>
      <c r="F184" s="429"/>
      <c r="G184" s="48"/>
      <c r="H184" s="49"/>
      <c r="I184" s="153"/>
      <c r="J184" s="50"/>
      <c r="K184" s="42"/>
      <c r="L184" s="50"/>
      <c r="M184" s="50"/>
      <c r="N184" s="49"/>
      <c r="O184" s="49"/>
      <c r="P184" s="49"/>
      <c r="Q184" s="49"/>
      <c r="R184" s="49"/>
      <c r="S184" s="49"/>
      <c r="T184" s="49"/>
      <c r="U184" s="49"/>
      <c r="V184" s="49"/>
      <c r="W184" s="49"/>
    </row>
    <row r="185" spans="1:23" s="3" customFormat="1" ht="19.5" customHeight="1">
      <c r="A185" s="426"/>
      <c r="B185" s="428"/>
      <c r="C185" s="203"/>
      <c r="D185" s="19"/>
      <c r="E185" s="19"/>
      <c r="F185" s="19"/>
      <c r="G185" s="19"/>
      <c r="H185" s="430"/>
      <c r="I185" s="153"/>
      <c r="J185" s="50"/>
      <c r="K185" s="42"/>
      <c r="L185" s="50"/>
      <c r="M185" s="50"/>
      <c r="N185" s="49"/>
      <c r="O185" s="49"/>
      <c r="P185" s="49"/>
      <c r="Q185" s="49"/>
      <c r="R185" s="49"/>
      <c r="S185" s="49"/>
      <c r="T185" s="49"/>
      <c r="U185" s="49"/>
      <c r="V185" s="49"/>
      <c r="W185" s="49"/>
    </row>
    <row r="186" spans="1:23" s="3" customFormat="1" ht="19.5" customHeight="1">
      <c r="A186" s="422" t="s">
        <v>416</v>
      </c>
      <c r="B186" s="422"/>
      <c r="C186" s="423"/>
      <c r="D186" s="424"/>
      <c r="E186" s="19"/>
      <c r="F186" s="425"/>
      <c r="G186" s="425"/>
      <c r="H186" s="431"/>
      <c r="I186" s="153"/>
      <c r="J186" s="50"/>
      <c r="K186" s="42"/>
      <c r="L186" s="50"/>
      <c r="M186" s="50"/>
      <c r="N186" s="49"/>
      <c r="O186" s="49"/>
      <c r="P186" s="49"/>
      <c r="Q186" s="49"/>
      <c r="R186" s="49"/>
      <c r="S186" s="49"/>
      <c r="T186" s="49"/>
      <c r="U186" s="49"/>
      <c r="V186" s="49"/>
      <c r="W186" s="49"/>
    </row>
    <row r="187" spans="1:23" s="3" customFormat="1" ht="19.5" customHeight="1">
      <c r="A187" s="422" t="s">
        <v>187</v>
      </c>
      <c r="B187" s="422"/>
      <c r="C187" s="423"/>
      <c r="D187" s="424"/>
      <c r="E187" s="19"/>
      <c r="F187" s="425"/>
      <c r="G187" s="425"/>
      <c r="H187" s="431"/>
      <c r="I187" s="153"/>
      <c r="J187" s="50"/>
      <c r="K187" s="42"/>
      <c r="L187" s="50"/>
      <c r="M187" s="50"/>
      <c r="N187" s="49"/>
      <c r="O187" s="49"/>
      <c r="P187" s="49"/>
      <c r="Q187" s="49"/>
      <c r="R187" s="49"/>
      <c r="S187" s="49"/>
      <c r="T187" s="49"/>
      <c r="U187" s="49"/>
      <c r="V187" s="49"/>
      <c r="W187" s="49"/>
    </row>
    <row r="188" spans="1:23" s="3" customFormat="1" ht="19.5" customHeight="1">
      <c r="A188" s="426"/>
      <c r="B188" s="383"/>
      <c r="C188" s="197"/>
      <c r="D188" s="169"/>
      <c r="E188" s="169"/>
      <c r="F188" s="169"/>
      <c r="G188" s="169"/>
      <c r="H188" s="432"/>
      <c r="I188" s="153"/>
      <c r="J188" s="50"/>
      <c r="K188" s="42"/>
      <c r="L188" s="50"/>
      <c r="M188" s="50"/>
      <c r="N188" s="49"/>
      <c r="O188" s="49"/>
      <c r="P188" s="49"/>
      <c r="Q188" s="49"/>
      <c r="R188" s="49"/>
      <c r="S188" s="49"/>
      <c r="T188" s="49"/>
      <c r="U188" s="49"/>
      <c r="V188" s="49"/>
      <c r="W188" s="49"/>
    </row>
    <row r="189" spans="1:23" s="3" customFormat="1" ht="19.5" customHeight="1">
      <c r="A189" s="426"/>
      <c r="B189" s="383"/>
      <c r="C189" s="197"/>
      <c r="D189" s="169"/>
      <c r="E189" s="169"/>
      <c r="F189" s="169"/>
      <c r="G189" s="169"/>
      <c r="H189" s="432"/>
      <c r="I189" s="153"/>
      <c r="J189" s="50"/>
      <c r="K189" s="42"/>
      <c r="L189" s="50"/>
      <c r="M189" s="50"/>
      <c r="N189" s="49"/>
      <c r="O189" s="49"/>
      <c r="P189" s="49"/>
      <c r="Q189" s="49"/>
      <c r="R189" s="49"/>
      <c r="S189" s="49"/>
      <c r="T189" s="49"/>
      <c r="U189" s="49"/>
      <c r="V189" s="49"/>
      <c r="W189" s="49"/>
    </row>
    <row r="190" spans="1:23" s="3" customFormat="1" ht="19.5" customHeight="1">
      <c r="A190" s="168"/>
      <c r="B190" s="168"/>
      <c r="C190" s="167"/>
      <c r="D190" s="22"/>
      <c r="E190" s="16"/>
      <c r="F190" s="48"/>
      <c r="G190" s="48"/>
      <c r="H190" s="49"/>
      <c r="I190" s="153"/>
      <c r="J190" s="50"/>
      <c r="K190" s="42"/>
      <c r="L190" s="50"/>
      <c r="M190" s="50"/>
      <c r="N190" s="49"/>
      <c r="O190" s="49"/>
      <c r="P190" s="49"/>
      <c r="Q190" s="49"/>
      <c r="R190" s="49"/>
      <c r="S190" s="49"/>
      <c r="T190" s="49"/>
      <c r="U190" s="49"/>
      <c r="V190" s="49"/>
      <c r="W190" s="49"/>
    </row>
    <row r="191" spans="1:23" ht="19.5" customHeight="1">
      <c r="A191" s="198" t="s">
        <v>411</v>
      </c>
      <c r="B191" s="62"/>
      <c r="C191" s="62"/>
      <c r="D191" s="16"/>
      <c r="E191" s="16"/>
      <c r="F191" s="16"/>
      <c r="G191" s="143"/>
      <c r="H191" s="17"/>
      <c r="I191" s="134"/>
      <c r="J191" s="37"/>
      <c r="K191" s="127"/>
      <c r="L191" s="36"/>
      <c r="M191" s="36"/>
      <c r="N191" s="143"/>
      <c r="O191" s="143"/>
      <c r="P191" s="16"/>
      <c r="Q191" s="128"/>
      <c r="R191" s="128"/>
      <c r="S191" s="128"/>
      <c r="T191" s="128"/>
      <c r="U191" s="128"/>
      <c r="V191" s="128"/>
      <c r="W191" s="128"/>
    </row>
    <row r="192" spans="1:23" ht="19.5" customHeight="1">
      <c r="A192" s="198"/>
      <c r="B192" s="62"/>
      <c r="C192" s="62"/>
      <c r="D192" s="16"/>
      <c r="E192" s="16"/>
      <c r="F192" s="16"/>
      <c r="G192" s="143"/>
      <c r="H192" s="136"/>
      <c r="I192" s="134"/>
      <c r="J192" s="37"/>
      <c r="K192" s="127"/>
      <c r="L192" s="36"/>
      <c r="M192" s="36"/>
      <c r="N192" s="143"/>
      <c r="O192" s="143"/>
      <c r="P192" s="16"/>
      <c r="Q192" s="128"/>
      <c r="R192" s="128"/>
      <c r="S192" s="128"/>
      <c r="T192" s="128"/>
      <c r="U192" s="128"/>
      <c r="V192" s="128"/>
      <c r="W192" s="128"/>
    </row>
    <row r="193" spans="1:23" ht="19.5" customHeight="1">
      <c r="A193" s="170"/>
      <c r="B193" s="62"/>
      <c r="C193" s="62"/>
      <c r="D193" s="16"/>
      <c r="E193" s="16"/>
      <c r="F193" s="16"/>
      <c r="G193" s="143"/>
      <c r="H193" s="136"/>
      <c r="I193" s="134"/>
      <c r="J193" s="37"/>
      <c r="K193" s="127"/>
      <c r="L193" s="36"/>
      <c r="M193" s="36"/>
      <c r="N193" s="143"/>
      <c r="O193" s="143"/>
      <c r="P193" s="16"/>
      <c r="Q193" s="128"/>
      <c r="R193" s="128"/>
      <c r="S193" s="128"/>
      <c r="T193" s="128"/>
      <c r="U193" s="128"/>
      <c r="V193" s="128"/>
      <c r="W193" s="128"/>
    </row>
    <row r="194" spans="1:23" ht="19.5" customHeight="1">
      <c r="A194" s="203" t="s">
        <v>103</v>
      </c>
      <c r="B194" s="148"/>
      <c r="C194" s="204"/>
      <c r="D194" s="205"/>
      <c r="E194" s="16"/>
      <c r="F194" s="16"/>
      <c r="G194" s="136"/>
      <c r="H194" s="136">
        <f>1026072.42-20600</f>
        <v>1005472.42</v>
      </c>
      <c r="I194" s="134"/>
      <c r="J194" s="136"/>
      <c r="K194" s="127"/>
      <c r="L194" s="36"/>
      <c r="M194" s="36"/>
      <c r="N194" s="143"/>
      <c r="O194" s="143"/>
      <c r="P194" s="16"/>
      <c r="Q194" s="128"/>
      <c r="R194" s="128"/>
      <c r="S194" s="128"/>
      <c r="T194" s="128"/>
      <c r="U194" s="128"/>
      <c r="V194" s="128"/>
      <c r="W194" s="128"/>
    </row>
    <row r="195" spans="1:23" ht="19.5" customHeight="1">
      <c r="A195" s="203" t="s">
        <v>100</v>
      </c>
      <c r="B195" s="148"/>
      <c r="C195" s="204"/>
      <c r="D195" s="205"/>
      <c r="E195" s="16"/>
      <c r="F195" s="16"/>
      <c r="G195" s="136"/>
      <c r="H195" s="136">
        <f>H194-140000</f>
        <v>865472.42</v>
      </c>
      <c r="I195" s="134"/>
      <c r="J195" s="37"/>
      <c r="K195" s="127"/>
      <c r="L195" s="36"/>
      <c r="M195" s="36"/>
      <c r="N195" s="143"/>
      <c r="O195" s="143"/>
      <c r="P195" s="16"/>
      <c r="Q195" s="128"/>
      <c r="R195" s="128"/>
      <c r="S195" s="128"/>
      <c r="T195" s="128"/>
      <c r="U195" s="128"/>
      <c r="V195" s="128"/>
      <c r="W195" s="128"/>
    </row>
    <row r="196" spans="1:23" ht="19.5" customHeight="1">
      <c r="A196" s="148" t="s">
        <v>101</v>
      </c>
      <c r="B196" s="148"/>
      <c r="C196" s="204"/>
      <c r="D196" s="205"/>
      <c r="E196" s="16"/>
      <c r="F196" s="16"/>
      <c r="G196" s="136"/>
      <c r="H196" s="136"/>
      <c r="I196" s="134"/>
      <c r="J196" s="37"/>
      <c r="K196" s="127"/>
      <c r="L196" s="36"/>
      <c r="M196" s="36"/>
      <c r="N196" s="143"/>
      <c r="O196" s="143"/>
      <c r="P196" s="16"/>
      <c r="Q196" s="128"/>
      <c r="R196" s="128"/>
      <c r="S196" s="128"/>
      <c r="T196" s="128"/>
      <c r="U196" s="128"/>
      <c r="V196" s="128"/>
      <c r="W196" s="128"/>
    </row>
    <row r="197" spans="1:23" ht="19.5" customHeight="1">
      <c r="A197" s="148"/>
      <c r="B197" s="148" t="s">
        <v>123</v>
      </c>
      <c r="C197" s="204"/>
      <c r="D197" s="171"/>
      <c r="E197" s="16"/>
      <c r="F197" s="16"/>
      <c r="G197" s="136"/>
      <c r="H197" s="136">
        <v>950299.6</v>
      </c>
      <c r="I197" s="134"/>
      <c r="J197" s="225"/>
      <c r="K197" s="127"/>
      <c r="L197" s="36"/>
      <c r="M197" s="36"/>
      <c r="N197" s="143"/>
      <c r="O197" s="143"/>
      <c r="P197" s="16"/>
      <c r="Q197" s="128"/>
      <c r="R197" s="128"/>
      <c r="S197" s="128"/>
      <c r="T197" s="128"/>
      <c r="U197" s="128"/>
      <c r="V197" s="128"/>
      <c r="W197" s="128"/>
    </row>
    <row r="198" spans="1:23" ht="19.5" customHeight="1">
      <c r="A198" s="148"/>
      <c r="B198" s="148" t="s">
        <v>102</v>
      </c>
      <c r="C198" s="204"/>
      <c r="D198" s="171"/>
      <c r="E198" s="16"/>
      <c r="F198" s="16"/>
      <c r="G198" s="136"/>
      <c r="H198" s="136">
        <f>H197-140000</f>
        <v>810299.6</v>
      </c>
      <c r="I198" s="134"/>
      <c r="J198" s="225"/>
      <c r="K198" s="127"/>
      <c r="L198" s="36"/>
      <c r="M198" s="36"/>
      <c r="N198" s="143"/>
      <c r="O198" s="143"/>
      <c r="P198" s="16"/>
      <c r="Q198" s="128"/>
      <c r="R198" s="128"/>
      <c r="S198" s="128"/>
      <c r="T198" s="128"/>
      <c r="U198" s="128"/>
      <c r="V198" s="128"/>
      <c r="W198" s="128"/>
    </row>
    <row r="199" spans="1:23" ht="19.5" customHeight="1">
      <c r="A199" s="148"/>
      <c r="B199" s="148"/>
      <c r="C199" s="204"/>
      <c r="D199" s="171"/>
      <c r="E199" s="16"/>
      <c r="F199" s="16"/>
      <c r="G199" s="136"/>
      <c r="H199" s="136"/>
      <c r="I199" s="134"/>
      <c r="J199" s="225"/>
      <c r="K199" s="127"/>
      <c r="L199" s="36"/>
      <c r="M199" s="36"/>
      <c r="N199" s="143"/>
      <c r="O199" s="143"/>
      <c r="P199" s="16"/>
      <c r="Q199" s="128"/>
      <c r="R199" s="128"/>
      <c r="S199" s="128"/>
      <c r="T199" s="128"/>
      <c r="U199" s="128"/>
      <c r="V199" s="128"/>
      <c r="W199" s="128"/>
    </row>
    <row r="200" spans="1:23" ht="19.5" customHeight="1">
      <c r="A200" s="148"/>
      <c r="B200" s="148"/>
      <c r="C200" s="204"/>
      <c r="D200" s="171"/>
      <c r="E200" s="16"/>
      <c r="F200" s="16"/>
      <c r="G200" s="136"/>
      <c r="H200" s="136"/>
      <c r="I200" s="134"/>
      <c r="J200" s="225"/>
      <c r="K200" s="127"/>
      <c r="L200" s="36"/>
      <c r="M200" s="36"/>
      <c r="N200" s="143"/>
      <c r="O200" s="143"/>
      <c r="P200" s="16"/>
      <c r="Q200" s="128"/>
      <c r="R200" s="128"/>
      <c r="S200" s="128"/>
      <c r="T200" s="128"/>
      <c r="U200" s="128"/>
      <c r="V200" s="128"/>
      <c r="W200" s="128"/>
    </row>
    <row r="201" spans="1:23" ht="19.5" customHeight="1">
      <c r="A201" s="203" t="s">
        <v>383</v>
      </c>
      <c r="B201" s="148"/>
      <c r="C201" s="204"/>
      <c r="D201" s="19"/>
      <c r="E201" s="19"/>
      <c r="F201" s="19"/>
      <c r="G201" s="136"/>
      <c r="H201" s="136">
        <f>H204+H207</f>
        <v>1384547</v>
      </c>
      <c r="I201" s="134"/>
      <c r="J201" s="225"/>
      <c r="K201" s="127"/>
      <c r="L201" s="36"/>
      <c r="M201" s="36"/>
      <c r="N201" s="143"/>
      <c r="O201" s="143"/>
      <c r="P201" s="16"/>
      <c r="Q201" s="128"/>
      <c r="R201" s="128"/>
      <c r="S201" s="128"/>
      <c r="T201" s="128"/>
      <c r="U201" s="128"/>
      <c r="V201" s="128"/>
      <c r="W201" s="128"/>
    </row>
    <row r="202" spans="1:23" ht="19.5" customHeight="1">
      <c r="A202" s="148" t="s">
        <v>100</v>
      </c>
      <c r="B202" s="148"/>
      <c r="C202" s="204"/>
      <c r="D202" s="19"/>
      <c r="E202" s="16"/>
      <c r="F202" s="16"/>
      <c r="G202" s="136"/>
      <c r="H202" s="136">
        <f>H205+H208</f>
        <v>377547</v>
      </c>
      <c r="I202" s="134"/>
      <c r="J202" s="225"/>
      <c r="K202" s="127"/>
      <c r="L202" s="36"/>
      <c r="M202" s="36"/>
      <c r="N202" s="143"/>
      <c r="O202" s="143"/>
      <c r="P202" s="16"/>
      <c r="Q202" s="128"/>
      <c r="R202" s="128"/>
      <c r="S202" s="128"/>
      <c r="T202" s="128"/>
      <c r="U202" s="128"/>
      <c r="V202" s="128"/>
      <c r="W202" s="128"/>
    </row>
    <row r="203" spans="1:23" ht="19.5" customHeight="1">
      <c r="A203" s="148"/>
      <c r="B203" s="148" t="s">
        <v>67</v>
      </c>
      <c r="C203" s="204"/>
      <c r="D203" s="19"/>
      <c r="E203" s="16"/>
      <c r="F203" s="16"/>
      <c r="G203" s="136"/>
      <c r="H203" s="136"/>
      <c r="I203" s="134"/>
      <c r="J203" s="225"/>
      <c r="K203" s="127"/>
      <c r="L203" s="36"/>
      <c r="M203" s="36"/>
      <c r="N203" s="143"/>
      <c r="O203" s="143"/>
      <c r="P203" s="16"/>
      <c r="Q203" s="128"/>
      <c r="R203" s="128"/>
      <c r="S203" s="128"/>
      <c r="T203" s="128"/>
      <c r="U203" s="128"/>
      <c r="V203" s="128"/>
      <c r="W203" s="128"/>
    </row>
    <row r="204" spans="1:23" ht="19.5" customHeight="1">
      <c r="A204" s="148"/>
      <c r="B204" s="148" t="s">
        <v>384</v>
      </c>
      <c r="C204" s="204"/>
      <c r="D204" s="205"/>
      <c r="E204" s="16"/>
      <c r="F204" s="16"/>
      <c r="G204" s="136"/>
      <c r="H204" s="136">
        <v>920347</v>
      </c>
      <c r="I204" s="134"/>
      <c r="J204" s="225"/>
      <c r="K204" s="127"/>
      <c r="L204" s="36"/>
      <c r="M204" s="36"/>
      <c r="N204" s="143"/>
      <c r="O204" s="143"/>
      <c r="P204" s="16"/>
      <c r="Q204" s="128"/>
      <c r="R204" s="128"/>
      <c r="S204" s="128"/>
      <c r="T204" s="128"/>
      <c r="U204" s="128"/>
      <c r="V204" s="128"/>
      <c r="W204" s="128"/>
    </row>
    <row r="205" spans="1:23" ht="19.5" customHeight="1">
      <c r="A205" s="148"/>
      <c r="B205" s="148" t="s">
        <v>102</v>
      </c>
      <c r="C205" s="204"/>
      <c r="D205" s="205"/>
      <c r="E205" s="16"/>
      <c r="F205" s="16"/>
      <c r="G205" s="136"/>
      <c r="H205" s="136">
        <f>H204-730000</f>
        <v>190347</v>
      </c>
      <c r="I205" s="134"/>
      <c r="J205" s="225"/>
      <c r="K205" s="127"/>
      <c r="L205" s="36"/>
      <c r="M205" s="36"/>
      <c r="N205" s="143"/>
      <c r="O205" s="143"/>
      <c r="P205" s="16"/>
      <c r="Q205" s="128"/>
      <c r="R205" s="128"/>
      <c r="S205" s="128"/>
      <c r="T205" s="128"/>
      <c r="U205" s="128"/>
      <c r="V205" s="128"/>
      <c r="W205" s="128"/>
    </row>
    <row r="206" spans="1:23" ht="19.5" customHeight="1">
      <c r="A206" s="148"/>
      <c r="B206" s="148"/>
      <c r="C206" s="149"/>
      <c r="D206" s="19"/>
      <c r="E206" s="16"/>
      <c r="F206" s="16"/>
      <c r="G206" s="136"/>
      <c r="H206" s="136"/>
      <c r="I206" s="134"/>
      <c r="J206" s="225"/>
      <c r="K206" s="127"/>
      <c r="L206" s="36"/>
      <c r="M206" s="36"/>
      <c r="N206" s="143"/>
      <c r="O206" s="143"/>
      <c r="P206" s="16"/>
      <c r="Q206" s="128"/>
      <c r="R206" s="128"/>
      <c r="S206" s="128"/>
      <c r="T206" s="128"/>
      <c r="U206" s="128"/>
      <c r="V206" s="128"/>
      <c r="W206" s="128"/>
    </row>
    <row r="207" spans="1:23" ht="19.5" customHeight="1">
      <c r="A207" s="148"/>
      <c r="B207" s="148" t="s">
        <v>123</v>
      </c>
      <c r="C207" s="204"/>
      <c r="D207" s="19"/>
      <c r="E207" s="16"/>
      <c r="F207" s="16"/>
      <c r="G207" s="136"/>
      <c r="H207" s="136">
        <v>464200</v>
      </c>
      <c r="I207" s="134"/>
      <c r="J207" s="225"/>
      <c r="K207" s="127"/>
      <c r="L207" s="36"/>
      <c r="M207" s="36"/>
      <c r="N207" s="143"/>
      <c r="O207" s="143"/>
      <c r="P207" s="16"/>
      <c r="Q207" s="128"/>
      <c r="R207" s="128"/>
      <c r="S207" s="128"/>
      <c r="T207" s="128"/>
      <c r="U207" s="128"/>
      <c r="V207" s="128"/>
      <c r="W207" s="128"/>
    </row>
    <row r="208" spans="1:23" ht="19.5" customHeight="1">
      <c r="A208" s="148"/>
      <c r="B208" s="148" t="s">
        <v>102</v>
      </c>
      <c r="C208" s="204"/>
      <c r="D208" s="19"/>
      <c r="E208" s="16"/>
      <c r="F208" s="16"/>
      <c r="G208" s="136"/>
      <c r="H208" s="136">
        <f>H207-277000</f>
        <v>187200</v>
      </c>
      <c r="I208" s="134"/>
      <c r="J208" s="225"/>
      <c r="K208" s="127"/>
      <c r="L208" s="36"/>
      <c r="M208" s="36"/>
      <c r="N208" s="143"/>
      <c r="O208" s="143"/>
      <c r="P208" s="16"/>
      <c r="Q208" s="128"/>
      <c r="R208" s="128"/>
      <c r="S208" s="128"/>
      <c r="T208" s="128"/>
      <c r="U208" s="128"/>
      <c r="V208" s="128"/>
      <c r="W208" s="128"/>
    </row>
    <row r="209" spans="1:23" ht="19.5" customHeight="1">
      <c r="A209" s="148"/>
      <c r="B209" s="148"/>
      <c r="C209" s="204"/>
      <c r="D209" s="171"/>
      <c r="E209" s="16"/>
      <c r="F209" s="16"/>
      <c r="G209" s="136"/>
      <c r="H209" s="136"/>
      <c r="I209" s="134"/>
      <c r="J209" s="225"/>
      <c r="K209" s="127"/>
      <c r="L209" s="36"/>
      <c r="M209" s="36"/>
      <c r="N209" s="143"/>
      <c r="O209" s="143"/>
      <c r="P209" s="16"/>
      <c r="Q209" s="128"/>
      <c r="R209" s="128"/>
      <c r="S209" s="128"/>
      <c r="T209" s="128"/>
      <c r="U209" s="128"/>
      <c r="V209" s="128"/>
      <c r="W209" s="128"/>
    </row>
    <row r="210" spans="1:23" ht="19.5" customHeight="1">
      <c r="A210" s="148"/>
      <c r="B210" s="148"/>
      <c r="C210" s="204"/>
      <c r="D210" s="171"/>
      <c r="E210" s="16"/>
      <c r="F210" s="16"/>
      <c r="G210" s="136"/>
      <c r="H210" s="136"/>
      <c r="I210" s="134"/>
      <c r="J210" s="225"/>
      <c r="K210" s="127"/>
      <c r="L210" s="36"/>
      <c r="M210" s="36"/>
      <c r="N210" s="143"/>
      <c r="O210" s="143"/>
      <c r="P210" s="16"/>
      <c r="Q210" s="128"/>
      <c r="R210" s="128"/>
      <c r="S210" s="128"/>
      <c r="T210" s="128"/>
      <c r="U210" s="128"/>
      <c r="V210" s="128"/>
      <c r="W210" s="128"/>
    </row>
    <row r="211" spans="1:23" ht="19.5" customHeight="1">
      <c r="A211" s="148"/>
      <c r="B211" s="148"/>
      <c r="C211" s="204"/>
      <c r="D211" s="171"/>
      <c r="E211" s="16"/>
      <c r="F211" s="16"/>
      <c r="G211" s="136"/>
      <c r="H211" s="136"/>
      <c r="I211" s="134"/>
      <c r="J211" s="225"/>
      <c r="K211" s="127"/>
      <c r="L211" s="36"/>
      <c r="M211" s="36"/>
      <c r="N211" s="143"/>
      <c r="O211" s="143"/>
      <c r="P211" s="16"/>
      <c r="Q211" s="128"/>
      <c r="R211" s="128"/>
      <c r="S211" s="128"/>
      <c r="T211" s="128"/>
      <c r="U211" s="128"/>
      <c r="V211" s="128"/>
      <c r="W211" s="128"/>
    </row>
    <row r="212" spans="1:23" ht="19.5" customHeight="1">
      <c r="A212" s="422" t="s">
        <v>412</v>
      </c>
      <c r="B212" s="148"/>
      <c r="C212" s="204"/>
      <c r="D212" s="171"/>
      <c r="E212" s="16"/>
      <c r="F212" s="16"/>
      <c r="G212" s="136"/>
      <c r="H212" s="136"/>
      <c r="I212" s="134"/>
      <c r="J212" s="225"/>
      <c r="K212" s="127"/>
      <c r="L212" s="36"/>
      <c r="M212" s="36"/>
      <c r="N212" s="143"/>
      <c r="O212" s="143"/>
      <c r="P212" s="16"/>
      <c r="Q212" s="128"/>
      <c r="R212" s="128"/>
      <c r="S212" s="128"/>
      <c r="T212" s="128"/>
      <c r="U212" s="128"/>
      <c r="V212" s="128"/>
      <c r="W212" s="128"/>
    </row>
    <row r="213" spans="1:23" ht="19.5" customHeight="1">
      <c r="A213" s="148"/>
      <c r="B213" s="148"/>
      <c r="C213" s="204"/>
      <c r="D213" s="171"/>
      <c r="E213" s="16"/>
      <c r="F213" s="16"/>
      <c r="G213" s="136"/>
      <c r="H213" s="136"/>
      <c r="I213" s="134"/>
      <c r="J213" s="225"/>
      <c r="K213" s="127"/>
      <c r="L213" s="36"/>
      <c r="M213" s="36"/>
      <c r="N213" s="143"/>
      <c r="O213" s="143"/>
      <c r="P213" s="16"/>
      <c r="Q213" s="128"/>
      <c r="R213" s="128"/>
      <c r="S213" s="128"/>
      <c r="T213" s="128"/>
      <c r="U213" s="128"/>
      <c r="V213" s="128"/>
      <c r="W213" s="128"/>
    </row>
    <row r="214" spans="1:23" ht="19.5" customHeight="1">
      <c r="A214" s="148" t="s">
        <v>406</v>
      </c>
      <c r="B214" s="148"/>
      <c r="C214" s="204"/>
      <c r="D214" s="171"/>
      <c r="E214" s="16"/>
      <c r="F214" s="16"/>
      <c r="G214" s="136"/>
      <c r="H214" s="136"/>
      <c r="I214" s="134"/>
      <c r="J214" s="225"/>
      <c r="K214" s="127"/>
      <c r="L214" s="36"/>
      <c r="M214" s="36"/>
      <c r="N214" s="143"/>
      <c r="O214" s="143"/>
      <c r="P214" s="16"/>
      <c r="Q214" s="128"/>
      <c r="R214" s="128"/>
      <c r="S214" s="128"/>
      <c r="T214" s="128"/>
      <c r="U214" s="128"/>
      <c r="V214" s="128"/>
      <c r="W214" s="128"/>
    </row>
    <row r="215" spans="1:23" ht="19.5" customHeight="1">
      <c r="A215" s="148"/>
      <c r="B215" s="148"/>
      <c r="C215" s="204"/>
      <c r="D215" s="171"/>
      <c r="E215" s="16"/>
      <c r="F215" s="16"/>
      <c r="G215" s="136"/>
      <c r="H215" s="136"/>
      <c r="I215" s="134"/>
      <c r="J215" s="225"/>
      <c r="K215" s="127"/>
      <c r="L215" s="36"/>
      <c r="M215" s="36"/>
      <c r="N215" s="143"/>
      <c r="O215" s="143"/>
      <c r="P215" s="16"/>
      <c r="Q215" s="128"/>
      <c r="R215" s="128"/>
      <c r="S215" s="128"/>
      <c r="T215" s="128"/>
      <c r="U215" s="128"/>
      <c r="V215" s="128"/>
      <c r="W215" s="128"/>
    </row>
    <row r="216" spans="1:23" ht="19.5" customHeight="1">
      <c r="A216" s="148"/>
      <c r="B216" s="148"/>
      <c r="C216" s="204"/>
      <c r="D216" s="171"/>
      <c r="E216" s="16"/>
      <c r="F216" s="16"/>
      <c r="G216" s="136"/>
      <c r="H216" s="136"/>
      <c r="I216" s="134"/>
      <c r="J216" s="225"/>
      <c r="K216" s="127"/>
      <c r="L216" s="36"/>
      <c r="M216" s="36"/>
      <c r="N216" s="143"/>
      <c r="O216" s="143"/>
      <c r="P216" s="16"/>
      <c r="Q216" s="128"/>
      <c r="R216" s="128"/>
      <c r="S216" s="128"/>
      <c r="T216" s="128"/>
      <c r="U216" s="128"/>
      <c r="V216" s="128"/>
      <c r="W216" s="128"/>
    </row>
    <row r="217" spans="1:23" ht="19.5" customHeight="1">
      <c r="A217" s="422" t="s">
        <v>413</v>
      </c>
      <c r="B217" s="422"/>
      <c r="C217" s="423"/>
      <c r="D217" s="424"/>
      <c r="E217" s="19"/>
      <c r="F217" s="425"/>
      <c r="G217" s="136"/>
      <c r="H217" s="136"/>
      <c r="I217" s="134"/>
      <c r="J217" s="225"/>
      <c r="K217" s="127"/>
      <c r="L217" s="36"/>
      <c r="M217" s="36"/>
      <c r="N217" s="143"/>
      <c r="O217" s="143"/>
      <c r="P217" s="16"/>
      <c r="Q217" s="128"/>
      <c r="R217" s="128"/>
      <c r="S217" s="128"/>
      <c r="T217" s="128"/>
      <c r="U217" s="128"/>
      <c r="V217" s="128"/>
      <c r="W217" s="128"/>
    </row>
    <row r="218" spans="1:23" ht="19.5" customHeight="1">
      <c r="A218" s="422"/>
      <c r="B218" s="422"/>
      <c r="C218" s="423"/>
      <c r="D218" s="424"/>
      <c r="E218" s="19"/>
      <c r="F218" s="425"/>
      <c r="G218" s="136"/>
      <c r="H218" s="136"/>
      <c r="I218" s="134"/>
      <c r="J218" s="225"/>
      <c r="K218" s="127"/>
      <c r="L218" s="36"/>
      <c r="M218" s="36"/>
      <c r="N218" s="143"/>
      <c r="O218" s="143"/>
      <c r="P218" s="16"/>
      <c r="Q218" s="128"/>
      <c r="R218" s="128"/>
      <c r="S218" s="128"/>
      <c r="T218" s="128"/>
      <c r="U218" s="128"/>
      <c r="V218" s="128"/>
      <c r="W218" s="128"/>
    </row>
    <row r="219" spans="1:23" ht="19.5" customHeight="1">
      <c r="A219" s="65"/>
      <c r="B219" s="65"/>
      <c r="C219" s="146"/>
      <c r="D219" s="18"/>
      <c r="E219" s="16"/>
      <c r="F219" s="16"/>
      <c r="G219" s="136"/>
      <c r="H219" s="136"/>
      <c r="I219" s="134"/>
      <c r="J219" s="225"/>
      <c r="K219" s="127"/>
      <c r="L219" s="36"/>
      <c r="M219" s="36"/>
      <c r="N219" s="143"/>
      <c r="O219" s="143"/>
      <c r="P219" s="16"/>
      <c r="Q219" s="128"/>
      <c r="R219" s="128"/>
      <c r="S219" s="128"/>
      <c r="T219" s="128"/>
      <c r="U219" s="128"/>
      <c r="V219" s="128"/>
      <c r="W219" s="128"/>
    </row>
    <row r="220" spans="1:23" ht="19.5" customHeight="1">
      <c r="A220" s="148" t="s">
        <v>405</v>
      </c>
      <c r="B220" s="65"/>
      <c r="C220" s="146"/>
      <c r="D220" s="18"/>
      <c r="E220" s="16"/>
      <c r="F220" s="16"/>
      <c r="G220" s="136"/>
      <c r="H220" s="136"/>
      <c r="I220" s="134"/>
      <c r="J220" s="225"/>
      <c r="K220" s="127"/>
      <c r="L220" s="36"/>
      <c r="M220" s="36"/>
      <c r="N220" s="143"/>
      <c r="O220" s="143"/>
      <c r="P220" s="16"/>
      <c r="Q220" s="128"/>
      <c r="R220" s="128"/>
      <c r="S220" s="128"/>
      <c r="T220" s="128"/>
      <c r="U220" s="128"/>
      <c r="V220" s="128"/>
      <c r="W220" s="128"/>
    </row>
    <row r="221" spans="1:23" ht="19.5" customHeight="1">
      <c r="A221" s="148" t="s">
        <v>400</v>
      </c>
      <c r="B221" s="65"/>
      <c r="C221" s="146"/>
      <c r="D221" s="18"/>
      <c r="E221" s="16"/>
      <c r="F221" s="16"/>
      <c r="G221" s="136"/>
      <c r="H221" s="136"/>
      <c r="I221" s="134"/>
      <c r="J221" s="225"/>
      <c r="K221" s="127"/>
      <c r="L221" s="36"/>
      <c r="M221" s="36"/>
      <c r="N221" s="143"/>
      <c r="O221" s="143"/>
      <c r="P221" s="16"/>
      <c r="Q221" s="128"/>
      <c r="R221" s="128"/>
      <c r="S221" s="128"/>
      <c r="T221" s="128"/>
      <c r="U221" s="128"/>
      <c r="V221" s="128"/>
      <c r="W221" s="128"/>
    </row>
    <row r="222" spans="1:23" ht="19.5" customHeight="1">
      <c r="A222" s="148"/>
      <c r="B222" s="65"/>
      <c r="C222" s="146"/>
      <c r="D222" s="18"/>
      <c r="E222" s="16"/>
      <c r="F222" s="16"/>
      <c r="G222" s="136"/>
      <c r="H222" s="136"/>
      <c r="I222" s="134"/>
      <c r="J222" s="225"/>
      <c r="K222" s="127"/>
      <c r="L222" s="36"/>
      <c r="M222" s="36"/>
      <c r="N222" s="143"/>
      <c r="O222" s="143"/>
      <c r="P222" s="16"/>
      <c r="Q222" s="128"/>
      <c r="R222" s="128"/>
      <c r="S222" s="128"/>
      <c r="T222" s="128"/>
      <c r="U222" s="128"/>
      <c r="V222" s="128"/>
      <c r="W222" s="128"/>
    </row>
    <row r="223" spans="1:23" ht="19.5" customHeight="1">
      <c r="A223" s="148" t="s">
        <v>401</v>
      </c>
      <c r="B223" s="148"/>
      <c r="C223" s="204"/>
      <c r="D223" s="205"/>
      <c r="E223" s="19"/>
      <c r="F223" s="19"/>
      <c r="G223" s="430"/>
      <c r="H223" s="136"/>
      <c r="I223" s="134"/>
      <c r="J223" s="225"/>
      <c r="K223" s="127"/>
      <c r="L223" s="36"/>
      <c r="M223" s="36"/>
      <c r="N223" s="143"/>
      <c r="O223" s="143"/>
      <c r="P223" s="16"/>
      <c r="Q223" s="128"/>
      <c r="R223" s="128"/>
      <c r="S223" s="128"/>
      <c r="T223" s="128"/>
      <c r="U223" s="128"/>
      <c r="V223" s="128"/>
      <c r="W223" s="128"/>
    </row>
    <row r="224" spans="1:23" ht="19.5" customHeight="1">
      <c r="A224" s="148" t="s">
        <v>402</v>
      </c>
      <c r="B224" s="148"/>
      <c r="C224" s="204"/>
      <c r="D224" s="205"/>
      <c r="E224" s="19"/>
      <c r="F224" s="19"/>
      <c r="G224" s="430"/>
      <c r="H224" s="136"/>
      <c r="I224" s="134"/>
      <c r="J224" s="225"/>
      <c r="K224" s="127"/>
      <c r="L224" s="36"/>
      <c r="M224" s="36"/>
      <c r="N224" s="143"/>
      <c r="O224" s="143"/>
      <c r="P224" s="16"/>
      <c r="Q224" s="128"/>
      <c r="R224" s="128"/>
      <c r="S224" s="128"/>
      <c r="T224" s="128"/>
      <c r="U224" s="128"/>
      <c r="V224" s="128"/>
      <c r="W224" s="128"/>
    </row>
    <row r="225" spans="1:23" ht="19.5" customHeight="1">
      <c r="A225" s="148"/>
      <c r="B225" s="148"/>
      <c r="C225" s="204"/>
      <c r="D225" s="205"/>
      <c r="E225" s="19"/>
      <c r="F225" s="19"/>
      <c r="G225" s="430"/>
      <c r="H225" s="136"/>
      <c r="I225" s="134"/>
      <c r="J225" s="225"/>
      <c r="K225" s="127"/>
      <c r="L225" s="36"/>
      <c r="M225" s="36"/>
      <c r="N225" s="143"/>
      <c r="O225" s="143"/>
      <c r="P225" s="16"/>
      <c r="Q225" s="128"/>
      <c r="R225" s="128"/>
      <c r="S225" s="128"/>
      <c r="T225" s="128"/>
      <c r="U225" s="128"/>
      <c r="V225" s="128"/>
      <c r="W225" s="128"/>
    </row>
    <row r="226" spans="1:23" ht="19.5" customHeight="1">
      <c r="A226" s="148" t="s">
        <v>404</v>
      </c>
      <c r="B226" s="148"/>
      <c r="C226" s="204"/>
      <c r="D226" s="205"/>
      <c r="E226" s="19"/>
      <c r="F226" s="19"/>
      <c r="G226" s="430"/>
      <c r="H226" s="136"/>
      <c r="I226" s="134"/>
      <c r="J226" s="225"/>
      <c r="K226" s="127"/>
      <c r="L226" s="36"/>
      <c r="M226" s="36"/>
      <c r="N226" s="143"/>
      <c r="O226" s="143"/>
      <c r="P226" s="16"/>
      <c r="Q226" s="128"/>
      <c r="R226" s="128"/>
      <c r="S226" s="128"/>
      <c r="T226" s="128"/>
      <c r="U226" s="128"/>
      <c r="V226" s="128"/>
      <c r="W226" s="128"/>
    </row>
    <row r="227" spans="1:23" ht="19.5" customHeight="1">
      <c r="A227" s="148"/>
      <c r="B227" s="148"/>
      <c r="C227" s="204"/>
      <c r="D227" s="171"/>
      <c r="E227" s="16"/>
      <c r="F227" s="16"/>
      <c r="G227" s="136"/>
      <c r="H227" s="136"/>
      <c r="I227" s="134"/>
      <c r="J227" s="225"/>
      <c r="K227" s="127"/>
      <c r="L227" s="36"/>
      <c r="M227" s="36"/>
      <c r="N227" s="143"/>
      <c r="O227" s="143"/>
      <c r="P227" s="16"/>
      <c r="Q227" s="128"/>
      <c r="R227" s="128"/>
      <c r="S227" s="128"/>
      <c r="T227" s="128"/>
      <c r="U227" s="128"/>
      <c r="V227" s="128"/>
      <c r="W227" s="128"/>
    </row>
    <row r="228" spans="1:23" ht="19.5" customHeight="1">
      <c r="A228" s="148"/>
      <c r="B228" s="148"/>
      <c r="C228" s="204"/>
      <c r="D228" s="171"/>
      <c r="E228" s="16"/>
      <c r="F228" s="16"/>
      <c r="G228" s="136"/>
      <c r="H228" s="136"/>
      <c r="I228" s="134"/>
      <c r="J228" s="225"/>
      <c r="K228" s="127"/>
      <c r="L228" s="36"/>
      <c r="M228" s="36"/>
      <c r="N228" s="143"/>
      <c r="O228" s="143"/>
      <c r="P228" s="16"/>
      <c r="Q228" s="128"/>
      <c r="R228" s="128"/>
      <c r="S228" s="128"/>
      <c r="T228" s="128"/>
      <c r="U228" s="128"/>
      <c r="V228" s="128"/>
      <c r="W228" s="128"/>
    </row>
    <row r="229" spans="1:23" ht="19.5" customHeight="1">
      <c r="A229" s="92" t="s">
        <v>104</v>
      </c>
      <c r="B229" s="148"/>
      <c r="C229" s="149"/>
      <c r="D229" s="19"/>
      <c r="E229" s="16"/>
      <c r="F229" s="16"/>
      <c r="G229" s="136"/>
      <c r="H229" s="136"/>
      <c r="I229" s="134"/>
      <c r="J229" s="37"/>
      <c r="K229" s="127"/>
      <c r="L229" s="36"/>
      <c r="M229" s="36"/>
      <c r="N229" s="143"/>
      <c r="O229" s="143"/>
      <c r="P229" s="16"/>
      <c r="Q229" s="128"/>
      <c r="R229" s="128"/>
      <c r="S229" s="128"/>
      <c r="T229" s="128"/>
      <c r="U229" s="128"/>
      <c r="V229" s="128"/>
      <c r="W229" s="128"/>
    </row>
    <row r="230" spans="1:13" ht="19.5" customHeight="1">
      <c r="A230" s="92"/>
      <c r="B230" s="92"/>
      <c r="C230" s="172"/>
      <c r="D230" s="173"/>
      <c r="E230" s="173"/>
      <c r="F230" s="174"/>
      <c r="G230" s="173"/>
      <c r="H230" s="136"/>
      <c r="I230" s="66"/>
      <c r="J230" s="1"/>
      <c r="K230" s="175"/>
      <c r="L230" s="4"/>
      <c r="M230" s="4"/>
    </row>
    <row r="231" spans="1:13" ht="19.5" customHeight="1">
      <c r="A231" s="176" t="s">
        <v>105</v>
      </c>
      <c r="B231" s="176"/>
      <c r="C231" s="177"/>
      <c r="D231" s="178"/>
      <c r="E231" s="178"/>
      <c r="F231" s="179"/>
      <c r="G231" s="178"/>
      <c r="H231" s="17"/>
      <c r="I231" s="66"/>
      <c r="J231" s="1"/>
      <c r="K231" s="175"/>
      <c r="L231" s="4"/>
      <c r="M231" s="4"/>
    </row>
    <row r="232" spans="1:13" ht="19.5" customHeight="1">
      <c r="A232" s="176"/>
      <c r="B232" s="176"/>
      <c r="C232" s="177"/>
      <c r="D232" s="178"/>
      <c r="E232" s="178"/>
      <c r="F232" s="179"/>
      <c r="G232" s="178"/>
      <c r="H232" s="17"/>
      <c r="I232" s="66"/>
      <c r="J232" s="1"/>
      <c r="K232" s="175"/>
      <c r="L232" s="4"/>
      <c r="M232" s="4"/>
    </row>
    <row r="233" spans="1:13" ht="19.5" customHeight="1">
      <c r="A233" s="176"/>
      <c r="B233" s="176"/>
      <c r="C233" s="177"/>
      <c r="D233" s="178"/>
      <c r="E233" s="178"/>
      <c r="F233" s="179"/>
      <c r="G233" s="178"/>
      <c r="H233" s="17"/>
      <c r="I233" s="66"/>
      <c r="J233" s="1"/>
      <c r="K233" s="175"/>
      <c r="L233" s="4"/>
      <c r="M233" s="4"/>
    </row>
    <row r="234" spans="1:13" ht="19.5" customHeight="1">
      <c r="A234" s="92" t="s">
        <v>37</v>
      </c>
      <c r="B234" s="92"/>
      <c r="C234" s="172"/>
      <c r="D234" s="173"/>
      <c r="E234" s="173"/>
      <c r="F234" s="174"/>
      <c r="G234" s="173"/>
      <c r="H234" s="136"/>
      <c r="I234" s="66"/>
      <c r="J234" s="1"/>
      <c r="K234" s="175"/>
      <c r="L234" s="4"/>
      <c r="M234" s="4"/>
    </row>
    <row r="235" spans="1:13" ht="19.5" customHeight="1">
      <c r="A235" s="92"/>
      <c r="B235" s="92"/>
      <c r="C235" s="172"/>
      <c r="D235" s="173"/>
      <c r="E235" s="173"/>
      <c r="F235" s="174"/>
      <c r="G235" s="173"/>
      <c r="H235" s="136"/>
      <c r="I235" s="66"/>
      <c r="J235" s="1"/>
      <c r="K235" s="175"/>
      <c r="L235" s="4"/>
      <c r="M235" s="4"/>
    </row>
    <row r="236" spans="1:13" ht="19.5" customHeight="1">
      <c r="A236" s="176" t="s">
        <v>106</v>
      </c>
      <c r="B236" s="176"/>
      <c r="C236" s="177"/>
      <c r="D236" s="178"/>
      <c r="E236" s="178"/>
      <c r="F236" s="179"/>
      <c r="G236" s="178"/>
      <c r="I236" s="180"/>
      <c r="J236" s="1"/>
      <c r="K236" s="175"/>
      <c r="L236" s="2"/>
      <c r="M236" s="4"/>
    </row>
    <row r="237" spans="1:13" ht="19.5" customHeight="1">
      <c r="A237" s="176"/>
      <c r="B237" s="176"/>
      <c r="C237" s="177"/>
      <c r="D237" s="178"/>
      <c r="E237" s="178"/>
      <c r="F237" s="179"/>
      <c r="G237" s="178"/>
      <c r="I237" s="180"/>
      <c r="J237" s="1"/>
      <c r="K237" s="175"/>
      <c r="L237" s="2"/>
      <c r="M237" s="4"/>
    </row>
    <row r="238" spans="1:13" ht="19.5" customHeight="1">
      <c r="A238" s="176"/>
      <c r="B238" s="176"/>
      <c r="C238" s="177"/>
      <c r="D238" s="178"/>
      <c r="E238" s="178"/>
      <c r="F238" s="179"/>
      <c r="G238" s="178"/>
      <c r="I238" s="180"/>
      <c r="J238" s="1"/>
      <c r="K238" s="175"/>
      <c r="L238" s="2"/>
      <c r="M238" s="4"/>
    </row>
    <row r="239" spans="1:11" ht="19.5" customHeight="1">
      <c r="A239" s="89"/>
      <c r="B239" s="89"/>
      <c r="C239" s="90"/>
      <c r="D239" s="181"/>
      <c r="E239" s="181"/>
      <c r="F239" s="182" t="s">
        <v>107</v>
      </c>
      <c r="G239" s="181"/>
      <c r="I239" s="66"/>
      <c r="K239" s="68"/>
    </row>
    <row r="240" spans="1:11" ht="19.5" customHeight="1">
      <c r="A240" s="89"/>
      <c r="B240" s="89"/>
      <c r="C240" s="90"/>
      <c r="D240" s="181"/>
      <c r="E240" s="181"/>
      <c r="F240" s="182" t="s">
        <v>108</v>
      </c>
      <c r="G240" s="181"/>
      <c r="I240" s="66"/>
      <c r="K240" s="68"/>
    </row>
    <row r="241" spans="1:11" ht="19.5" customHeight="1">
      <c r="A241" s="89"/>
      <c r="B241" s="89"/>
      <c r="C241" s="90"/>
      <c r="D241" s="181"/>
      <c r="E241" s="181"/>
      <c r="F241" s="182"/>
      <c r="G241" s="181"/>
      <c r="I241" s="66"/>
      <c r="K241" s="68"/>
    </row>
    <row r="242" spans="1:11" ht="19.5" customHeight="1">
      <c r="A242" s="89"/>
      <c r="B242" s="89"/>
      <c r="C242" s="90"/>
      <c r="D242" s="181"/>
      <c r="E242" s="181"/>
      <c r="F242" s="183" t="s">
        <v>109</v>
      </c>
      <c r="G242" s="181"/>
      <c r="I242" s="66"/>
      <c r="K242" s="68"/>
    </row>
    <row r="243" spans="1:11" ht="19.5" customHeight="1">
      <c r="A243" s="62"/>
      <c r="B243" s="62"/>
      <c r="C243" s="62"/>
      <c r="I243" s="66"/>
      <c r="K243" s="68"/>
    </row>
    <row r="244" spans="1:11" ht="19.5" customHeight="1">
      <c r="A244" s="62"/>
      <c r="B244" s="62"/>
      <c r="C244" s="62"/>
      <c r="I244" s="66"/>
      <c r="K244" s="68"/>
    </row>
    <row r="245" spans="1:11" ht="19.5" customHeight="1">
      <c r="A245" s="62"/>
      <c r="B245" s="62"/>
      <c r="C245" s="62"/>
      <c r="H245" s="173"/>
      <c r="I245" s="66"/>
      <c r="K245" s="68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42">
      <selection activeCell="J145" sqref="J145"/>
    </sheetView>
  </sheetViews>
  <sheetFormatPr defaultColWidth="9.140625" defaultRowHeight="12.75"/>
  <cols>
    <col min="1" max="1" width="4.57421875" style="678" customWidth="1"/>
    <col min="2" max="2" width="5.140625" style="57" customWidth="1"/>
    <col min="3" max="3" width="6.57421875" style="57" customWidth="1"/>
    <col min="4" max="4" width="5.28125" style="679" customWidth="1"/>
    <col min="5" max="5" width="50.421875" style="561" customWidth="1"/>
    <col min="6" max="6" width="14.8515625" style="678" customWidth="1"/>
    <col min="7" max="7" width="13.421875" style="678" customWidth="1"/>
    <col min="8" max="8" width="7.421875" style="57" customWidth="1"/>
    <col min="9" max="9" width="20.8515625" style="57" customWidth="1"/>
    <col min="10" max="10" width="14.7109375" style="483" customWidth="1"/>
    <col min="11" max="11" width="11.7109375" style="483" bestFit="1" customWidth="1"/>
    <col min="12" max="13" width="9.140625" style="483" customWidth="1"/>
    <col min="14" max="16384" width="9.140625" style="57" customWidth="1"/>
  </cols>
  <sheetData>
    <row r="1" spans="1:7" ht="20.25">
      <c r="A1" s="481"/>
      <c r="B1" s="433"/>
      <c r="C1" s="433"/>
      <c r="D1" s="481"/>
      <c r="E1" s="272"/>
      <c r="F1" s="482" t="s">
        <v>207</v>
      </c>
      <c r="G1" s="275"/>
    </row>
    <row r="2" spans="1:7" ht="18.75">
      <c r="A2" s="481"/>
      <c r="B2" s="433"/>
      <c r="C2" s="433"/>
      <c r="D2" s="481"/>
      <c r="E2" s="272"/>
      <c r="F2" s="88" t="s">
        <v>381</v>
      </c>
      <c r="G2" s="275"/>
    </row>
    <row r="3" spans="1:7" ht="18.75">
      <c r="A3" s="481"/>
      <c r="B3" s="433"/>
      <c r="C3" s="433"/>
      <c r="D3" s="481"/>
      <c r="E3" s="272"/>
      <c r="F3" s="88" t="s">
        <v>108</v>
      </c>
      <c r="G3" s="275"/>
    </row>
    <row r="4" spans="1:7" ht="15.75">
      <c r="A4" s="481"/>
      <c r="B4" s="433"/>
      <c r="C4" s="433"/>
      <c r="D4" s="481"/>
      <c r="E4" s="272"/>
      <c r="F4" s="1" t="s">
        <v>382</v>
      </c>
      <c r="G4" s="275"/>
    </row>
    <row r="5" spans="1:7" ht="12.75">
      <c r="A5" s="481"/>
      <c r="B5" s="433"/>
      <c r="C5" s="433"/>
      <c r="D5" s="481"/>
      <c r="E5" s="272"/>
      <c r="F5" s="275"/>
      <c r="G5" s="275"/>
    </row>
    <row r="6" spans="1:7" ht="12.75">
      <c r="A6" s="481"/>
      <c r="B6" s="433"/>
      <c r="C6" s="433"/>
      <c r="D6" s="481"/>
      <c r="E6" s="272"/>
      <c r="F6" s="275"/>
      <c r="G6" s="275"/>
    </row>
    <row r="7" spans="1:7" ht="19.5">
      <c r="A7" s="481"/>
      <c r="B7" s="484"/>
      <c r="C7" s="485" t="s">
        <v>208</v>
      </c>
      <c r="D7" s="486"/>
      <c r="E7" s="487"/>
      <c r="F7" s="488"/>
      <c r="G7" s="488"/>
    </row>
    <row r="8" spans="1:7" ht="19.5">
      <c r="A8" s="481"/>
      <c r="B8" s="484"/>
      <c r="C8" s="485" t="s">
        <v>209</v>
      </c>
      <c r="D8" s="486"/>
      <c r="E8" s="487"/>
      <c r="F8" s="488"/>
      <c r="G8" s="489"/>
    </row>
    <row r="9" spans="1:7" ht="18.75">
      <c r="A9" s="481"/>
      <c r="B9" s="484"/>
      <c r="C9" s="490"/>
      <c r="D9" s="486"/>
      <c r="E9" s="487"/>
      <c r="F9" s="488"/>
      <c r="G9" s="488"/>
    </row>
    <row r="10" spans="1:7" ht="12.75">
      <c r="A10" s="481"/>
      <c r="B10" s="484" t="s">
        <v>68</v>
      </c>
      <c r="C10" s="491"/>
      <c r="D10" s="492"/>
      <c r="E10" s="487"/>
      <c r="F10" s="493" t="s">
        <v>78</v>
      </c>
      <c r="G10" s="493"/>
    </row>
    <row r="11" spans="1:7" ht="18.75" customHeight="1">
      <c r="A11" s="494"/>
      <c r="B11" s="495"/>
      <c r="C11" s="496"/>
      <c r="D11" s="497"/>
      <c r="E11" s="498"/>
      <c r="F11" s="499" t="s">
        <v>210</v>
      </c>
      <c r="G11" s="500"/>
    </row>
    <row r="12" spans="1:7" ht="16.5" customHeight="1">
      <c r="A12" s="501" t="s">
        <v>211</v>
      </c>
      <c r="B12" s="502" t="s">
        <v>79</v>
      </c>
      <c r="C12" s="503" t="s">
        <v>76</v>
      </c>
      <c r="D12" s="503" t="s">
        <v>71</v>
      </c>
      <c r="E12" s="504" t="s">
        <v>212</v>
      </c>
      <c r="F12" s="505"/>
      <c r="G12" s="304" t="s">
        <v>67</v>
      </c>
    </row>
    <row r="13" spans="1:10" ht="46.5" customHeight="1">
      <c r="A13" s="506"/>
      <c r="B13" s="507"/>
      <c r="C13" s="508"/>
      <c r="D13" s="509"/>
      <c r="E13" s="510"/>
      <c r="F13" s="511" t="s">
        <v>213</v>
      </c>
      <c r="G13" s="512" t="s">
        <v>214</v>
      </c>
      <c r="I13" s="513"/>
      <c r="J13" s="514"/>
    </row>
    <row r="14" spans="1:10" ht="21" customHeight="1">
      <c r="A14" s="494"/>
      <c r="B14" s="515" t="s">
        <v>215</v>
      </c>
      <c r="C14" s="516"/>
      <c r="D14" s="517"/>
      <c r="E14" s="518"/>
      <c r="F14" s="519">
        <f>F15+F42+F52+F60+F65+F68+F105+F108+F112+F121+F150+F156</f>
        <v>48866862.23</v>
      </c>
      <c r="G14" s="519">
        <f>G15+G42+G52+G60+G65+G68+G105+G108+G112+G121+G150+G156</f>
        <v>8868191.52</v>
      </c>
      <c r="I14" s="514"/>
      <c r="J14" s="514"/>
    </row>
    <row r="15" spans="1:10" ht="19.5" customHeight="1">
      <c r="A15" s="195"/>
      <c r="B15" s="251">
        <v>600</v>
      </c>
      <c r="C15" s="251"/>
      <c r="D15" s="393"/>
      <c r="E15" s="520" t="s">
        <v>160</v>
      </c>
      <c r="F15" s="521">
        <f>F16+F18</f>
        <v>12474568.569999998</v>
      </c>
      <c r="G15" s="522">
        <f>G16+G18</f>
        <v>2500000</v>
      </c>
      <c r="I15" s="523"/>
      <c r="J15" s="523"/>
    </row>
    <row r="16" spans="1:13" s="530" customFormat="1" ht="19.5" customHeight="1">
      <c r="A16" s="506"/>
      <c r="B16" s="524"/>
      <c r="C16" s="525">
        <v>60004</v>
      </c>
      <c r="D16" s="526"/>
      <c r="E16" s="527" t="s">
        <v>216</v>
      </c>
      <c r="F16" s="528">
        <f>F17</f>
        <v>20000</v>
      </c>
      <c r="G16" s="529"/>
      <c r="I16" s="531"/>
      <c r="J16" s="531"/>
      <c r="K16" s="532"/>
      <c r="L16" s="532"/>
      <c r="M16" s="532"/>
    </row>
    <row r="17" spans="1:13" s="530" customFormat="1" ht="19.5" customHeight="1">
      <c r="A17" s="506">
        <v>1</v>
      </c>
      <c r="B17" s="524"/>
      <c r="C17" s="525"/>
      <c r="D17" s="526">
        <v>6050</v>
      </c>
      <c r="E17" s="527" t="s">
        <v>217</v>
      </c>
      <c r="F17" s="528">
        <v>20000</v>
      </c>
      <c r="G17" s="529"/>
      <c r="I17" s="531"/>
      <c r="J17" s="531"/>
      <c r="K17" s="532"/>
      <c r="L17" s="532"/>
      <c r="M17" s="532"/>
    </row>
    <row r="18" spans="1:7" ht="18" customHeight="1">
      <c r="A18" s="506"/>
      <c r="B18" s="533"/>
      <c r="C18" s="534">
        <v>60016</v>
      </c>
      <c r="D18" s="535"/>
      <c r="E18" s="536" t="s">
        <v>218</v>
      </c>
      <c r="F18" s="537">
        <f>SUM(F19:F41)</f>
        <v>12454568.569999998</v>
      </c>
      <c r="G18" s="538">
        <f>SUM(G19:G41)</f>
        <v>2500000</v>
      </c>
    </row>
    <row r="19" spans="1:13" s="542" customFormat="1" ht="26.25" customHeight="1">
      <c r="A19" s="195">
        <v>2</v>
      </c>
      <c r="B19" s="539"/>
      <c r="C19" s="540"/>
      <c r="D19" s="526">
        <v>6050</v>
      </c>
      <c r="E19" s="194" t="s">
        <v>219</v>
      </c>
      <c r="F19" s="529">
        <f>3013000-46563.41+1702980.52</f>
        <v>4669417.109999999</v>
      </c>
      <c r="G19" s="529">
        <v>2000000</v>
      </c>
      <c r="H19" s="541"/>
      <c r="I19" s="541"/>
      <c r="J19" s="541"/>
      <c r="K19" s="541"/>
      <c r="L19" s="541"/>
      <c r="M19" s="541"/>
    </row>
    <row r="20" spans="1:13" s="542" customFormat="1" ht="38.25" customHeight="1">
      <c r="A20" s="195">
        <v>3</v>
      </c>
      <c r="B20" s="539"/>
      <c r="C20" s="540"/>
      <c r="D20" s="526">
        <v>6050</v>
      </c>
      <c r="E20" s="543" t="s">
        <v>220</v>
      </c>
      <c r="F20" s="528">
        <v>1857.05</v>
      </c>
      <c r="G20" s="529">
        <v>0</v>
      </c>
      <c r="H20" s="541"/>
      <c r="J20" s="541"/>
      <c r="K20" s="541"/>
      <c r="L20" s="541"/>
      <c r="M20" s="541"/>
    </row>
    <row r="21" spans="1:13" s="542" customFormat="1" ht="29.25" customHeight="1">
      <c r="A21" s="195">
        <v>4</v>
      </c>
      <c r="B21" s="544"/>
      <c r="C21" s="545"/>
      <c r="D21" s="526">
        <v>6050</v>
      </c>
      <c r="E21" s="546" t="s">
        <v>221</v>
      </c>
      <c r="F21" s="528">
        <f>1500000-15444.76-5872.57-700000</f>
        <v>778682.6699999999</v>
      </c>
      <c r="G21" s="529">
        <v>0</v>
      </c>
      <c r="I21" s="541"/>
      <c r="J21" s="541"/>
      <c r="K21" s="541"/>
      <c r="L21" s="541"/>
      <c r="M21" s="541"/>
    </row>
    <row r="22" spans="1:13" s="542" customFormat="1" ht="31.5" customHeight="1">
      <c r="A22" s="195">
        <v>5</v>
      </c>
      <c r="B22" s="544"/>
      <c r="C22" s="545"/>
      <c r="D22" s="526">
        <v>6050</v>
      </c>
      <c r="E22" s="546" t="s">
        <v>222</v>
      </c>
      <c r="F22" s="528">
        <f>90000-7000</f>
        <v>83000</v>
      </c>
      <c r="G22" s="529">
        <v>0</v>
      </c>
      <c r="J22" s="541"/>
      <c r="K22" s="541"/>
      <c r="L22" s="541"/>
      <c r="M22" s="541"/>
    </row>
    <row r="23" spans="1:13" s="542" customFormat="1" ht="27" customHeight="1">
      <c r="A23" s="195">
        <v>6</v>
      </c>
      <c r="B23" s="544"/>
      <c r="C23" s="545"/>
      <c r="D23" s="526">
        <v>6050</v>
      </c>
      <c r="E23" s="546" t="s">
        <v>223</v>
      </c>
      <c r="F23" s="528">
        <f>2000000-78000</f>
        <v>1922000</v>
      </c>
      <c r="G23" s="529">
        <f>104918.45+100000</f>
        <v>204918.45</v>
      </c>
      <c r="J23" s="541"/>
      <c r="K23" s="541"/>
      <c r="L23" s="541"/>
      <c r="M23" s="541"/>
    </row>
    <row r="24" spans="1:13" s="542" customFormat="1" ht="23.25" customHeight="1">
      <c r="A24" s="195">
        <v>7</v>
      </c>
      <c r="B24" s="544"/>
      <c r="C24" s="545"/>
      <c r="D24" s="526">
        <v>6050</v>
      </c>
      <c r="E24" s="546" t="s">
        <v>224</v>
      </c>
      <c r="F24" s="528">
        <f>1200000+52435.98</f>
        <v>1252435.98</v>
      </c>
      <c r="G24" s="529">
        <f>400000-104918.45</f>
        <v>295081.55</v>
      </c>
      <c r="J24" s="541"/>
      <c r="K24" s="541"/>
      <c r="L24" s="541"/>
      <c r="M24" s="541"/>
    </row>
    <row r="25" spans="1:13" s="542" customFormat="1" ht="48.75" customHeight="1">
      <c r="A25" s="195">
        <v>8</v>
      </c>
      <c r="B25" s="544"/>
      <c r="C25" s="545"/>
      <c r="D25" s="526">
        <v>6050</v>
      </c>
      <c r="E25" s="546" t="s">
        <v>225</v>
      </c>
      <c r="F25" s="528">
        <f>148000-8000-41000</f>
        <v>99000</v>
      </c>
      <c r="G25" s="529">
        <v>0</v>
      </c>
      <c r="J25" s="541"/>
      <c r="K25" s="541"/>
      <c r="L25" s="541"/>
      <c r="M25" s="541"/>
    </row>
    <row r="26" spans="1:13" s="542" customFormat="1" ht="24.75" customHeight="1">
      <c r="A26" s="195">
        <v>9</v>
      </c>
      <c r="B26" s="544"/>
      <c r="C26" s="545"/>
      <c r="D26" s="526">
        <v>6050</v>
      </c>
      <c r="E26" s="546" t="s">
        <v>226</v>
      </c>
      <c r="F26" s="528">
        <f>45000+32121</f>
        <v>77121</v>
      </c>
      <c r="G26" s="529">
        <v>0</v>
      </c>
      <c r="J26" s="541"/>
      <c r="K26" s="541"/>
      <c r="L26" s="541"/>
      <c r="M26" s="541"/>
    </row>
    <row r="27" spans="1:13" s="542" customFormat="1" ht="32.25" customHeight="1">
      <c r="A27" s="506">
        <v>10</v>
      </c>
      <c r="B27" s="544"/>
      <c r="C27" s="545"/>
      <c r="D27" s="526">
        <v>6050</v>
      </c>
      <c r="E27" s="546" t="s">
        <v>227</v>
      </c>
      <c r="F27" s="528">
        <f>500+41000</f>
        <v>41500</v>
      </c>
      <c r="G27" s="529">
        <v>0</v>
      </c>
      <c r="J27" s="541"/>
      <c r="K27" s="541"/>
      <c r="L27" s="541"/>
      <c r="M27" s="541"/>
    </row>
    <row r="28" spans="1:13" s="542" customFormat="1" ht="29.25" customHeight="1">
      <c r="A28" s="506">
        <v>11</v>
      </c>
      <c r="B28" s="544"/>
      <c r="C28" s="545"/>
      <c r="D28" s="526">
        <v>6050</v>
      </c>
      <c r="E28" s="546" t="s">
        <v>228</v>
      </c>
      <c r="F28" s="528">
        <f>21000-5095.24</f>
        <v>15904.76</v>
      </c>
      <c r="G28" s="529">
        <v>0</v>
      </c>
      <c r="J28" s="541"/>
      <c r="K28" s="541"/>
      <c r="L28" s="541"/>
      <c r="M28" s="541"/>
    </row>
    <row r="29" spans="1:13" s="542" customFormat="1" ht="30.75" customHeight="1">
      <c r="A29" s="506">
        <v>12</v>
      </c>
      <c r="B29" s="544"/>
      <c r="C29" s="545"/>
      <c r="D29" s="526">
        <v>6050</v>
      </c>
      <c r="E29" s="546" t="s">
        <v>229</v>
      </c>
      <c r="F29" s="528">
        <v>30000</v>
      </c>
      <c r="G29" s="529">
        <v>0</v>
      </c>
      <c r="J29" s="541"/>
      <c r="K29" s="541"/>
      <c r="L29" s="541"/>
      <c r="M29" s="541"/>
    </row>
    <row r="30" spans="1:13" s="542" customFormat="1" ht="30.75" customHeight="1">
      <c r="A30" s="506">
        <v>13</v>
      </c>
      <c r="B30" s="544"/>
      <c r="C30" s="501"/>
      <c r="D30" s="526">
        <v>6050</v>
      </c>
      <c r="E30" s="546" t="s">
        <v>230</v>
      </c>
      <c r="F30" s="528">
        <f>3000+2500000</f>
        <v>2503000</v>
      </c>
      <c r="G30" s="529">
        <v>0</v>
      </c>
      <c r="J30" s="541"/>
      <c r="K30" s="541"/>
      <c r="L30" s="541"/>
      <c r="M30" s="541"/>
    </row>
    <row r="31" spans="1:13" s="542" customFormat="1" ht="30.75" customHeight="1">
      <c r="A31" s="506">
        <v>14</v>
      </c>
      <c r="B31" s="544"/>
      <c r="C31" s="501"/>
      <c r="D31" s="526">
        <v>6050</v>
      </c>
      <c r="E31" s="546" t="s">
        <v>231</v>
      </c>
      <c r="F31" s="528">
        <v>64000</v>
      </c>
      <c r="G31" s="529"/>
      <c r="J31" s="541"/>
      <c r="K31" s="541"/>
      <c r="L31" s="541"/>
      <c r="M31" s="541"/>
    </row>
    <row r="32" spans="1:13" s="542" customFormat="1" ht="30.75" customHeight="1">
      <c r="A32" s="506">
        <v>15</v>
      </c>
      <c r="B32" s="544"/>
      <c r="C32" s="501"/>
      <c r="D32" s="526">
        <v>6050</v>
      </c>
      <c r="E32" s="546" t="s">
        <v>232</v>
      </c>
      <c r="F32" s="528">
        <f>18995+23450-18995</f>
        <v>23450</v>
      </c>
      <c r="G32" s="529"/>
      <c r="J32" s="541"/>
      <c r="K32" s="541"/>
      <c r="L32" s="541"/>
      <c r="M32" s="541"/>
    </row>
    <row r="33" spans="1:13" s="542" customFormat="1" ht="30.75" customHeight="1">
      <c r="A33" s="506">
        <v>16</v>
      </c>
      <c r="B33" s="544"/>
      <c r="C33" s="501"/>
      <c r="D33" s="526">
        <v>6050</v>
      </c>
      <c r="E33" s="546" t="s">
        <v>233</v>
      </c>
      <c r="F33" s="528">
        <v>300000</v>
      </c>
      <c r="G33" s="529"/>
      <c r="J33" s="541"/>
      <c r="K33" s="541"/>
      <c r="L33" s="541"/>
      <c r="M33" s="541"/>
    </row>
    <row r="34" spans="1:13" s="542" customFormat="1" ht="30.75" customHeight="1">
      <c r="A34" s="506">
        <v>17</v>
      </c>
      <c r="B34" s="544"/>
      <c r="C34" s="501"/>
      <c r="D34" s="526">
        <v>6050</v>
      </c>
      <c r="E34" s="546" t="s">
        <v>234</v>
      </c>
      <c r="F34" s="528">
        <v>70000</v>
      </c>
      <c r="G34" s="529"/>
      <c r="J34" s="541"/>
      <c r="K34" s="541"/>
      <c r="L34" s="541"/>
      <c r="M34" s="541"/>
    </row>
    <row r="35" spans="1:13" s="542" customFormat="1" ht="30.75" customHeight="1">
      <c r="A35" s="506">
        <v>18</v>
      </c>
      <c r="B35" s="544"/>
      <c r="C35" s="501"/>
      <c r="D35" s="526">
        <v>6050</v>
      </c>
      <c r="E35" s="546" t="s">
        <v>235</v>
      </c>
      <c r="F35" s="528">
        <v>60000</v>
      </c>
      <c r="G35" s="529"/>
      <c r="J35" s="541"/>
      <c r="K35" s="541"/>
      <c r="L35" s="541"/>
      <c r="M35" s="541"/>
    </row>
    <row r="36" spans="1:13" s="542" customFormat="1" ht="30.75" customHeight="1">
      <c r="A36" s="506">
        <v>19</v>
      </c>
      <c r="B36" s="544"/>
      <c r="C36" s="501"/>
      <c r="D36" s="526">
        <v>6050</v>
      </c>
      <c r="E36" s="546" t="s">
        <v>236</v>
      </c>
      <c r="F36" s="528">
        <v>20000</v>
      </c>
      <c r="G36" s="529"/>
      <c r="J36" s="541"/>
      <c r="K36" s="541"/>
      <c r="L36" s="541"/>
      <c r="M36" s="541"/>
    </row>
    <row r="37" spans="1:13" s="542" customFormat="1" ht="30.75" customHeight="1">
      <c r="A37" s="506">
        <v>20</v>
      </c>
      <c r="B37" s="544"/>
      <c r="C37" s="501"/>
      <c r="D37" s="526">
        <v>6050</v>
      </c>
      <c r="E37" s="546" t="s">
        <v>237</v>
      </c>
      <c r="F37" s="528">
        <v>220000</v>
      </c>
      <c r="G37" s="529"/>
      <c r="J37" s="541"/>
      <c r="K37" s="541"/>
      <c r="L37" s="541"/>
      <c r="M37" s="541"/>
    </row>
    <row r="38" spans="1:13" s="542" customFormat="1" ht="30.75" customHeight="1">
      <c r="A38" s="506">
        <v>21</v>
      </c>
      <c r="B38" s="544"/>
      <c r="C38" s="501"/>
      <c r="D38" s="526">
        <v>6050</v>
      </c>
      <c r="E38" s="546" t="s">
        <v>238</v>
      </c>
      <c r="F38" s="528">
        <v>51660</v>
      </c>
      <c r="G38" s="529"/>
      <c r="J38" s="541"/>
      <c r="K38" s="541"/>
      <c r="L38" s="541"/>
      <c r="M38" s="541"/>
    </row>
    <row r="39" spans="1:13" s="542" customFormat="1" ht="30.75" customHeight="1">
      <c r="A39" s="506">
        <v>22</v>
      </c>
      <c r="B39" s="544"/>
      <c r="C39" s="501"/>
      <c r="D39" s="526">
        <v>6050</v>
      </c>
      <c r="E39" s="546" t="s">
        <v>239</v>
      </c>
      <c r="F39" s="528">
        <v>1000</v>
      </c>
      <c r="G39" s="529"/>
      <c r="J39" s="541"/>
      <c r="K39" s="541"/>
      <c r="L39" s="541"/>
      <c r="M39" s="541"/>
    </row>
    <row r="40" spans="1:13" s="542" customFormat="1" ht="30.75" customHeight="1">
      <c r="A40" s="506">
        <v>23</v>
      </c>
      <c r="B40" s="544"/>
      <c r="C40" s="501"/>
      <c r="D40" s="526">
        <v>6050</v>
      </c>
      <c r="E40" s="546" t="s">
        <v>240</v>
      </c>
      <c r="F40" s="528">
        <v>50000</v>
      </c>
      <c r="G40" s="529"/>
      <c r="J40" s="541"/>
      <c r="K40" s="541"/>
      <c r="L40" s="541"/>
      <c r="M40" s="541"/>
    </row>
    <row r="41" spans="1:13" s="542" customFormat="1" ht="28.5" customHeight="1">
      <c r="A41" s="506">
        <v>24</v>
      </c>
      <c r="B41" s="544"/>
      <c r="C41" s="501"/>
      <c r="D41" s="526">
        <v>6050</v>
      </c>
      <c r="E41" s="546" t="s">
        <v>241</v>
      </c>
      <c r="F41" s="528">
        <f>100000+20540</f>
        <v>120540</v>
      </c>
      <c r="G41" s="529">
        <v>0</v>
      </c>
      <c r="J41" s="541"/>
      <c r="K41" s="541"/>
      <c r="L41" s="541"/>
      <c r="M41" s="541"/>
    </row>
    <row r="42" spans="1:7" ht="27" customHeight="1">
      <c r="A42" s="547"/>
      <c r="B42" s="251">
        <v>700</v>
      </c>
      <c r="C42" s="251"/>
      <c r="D42" s="393"/>
      <c r="E42" s="548" t="s">
        <v>242</v>
      </c>
      <c r="F42" s="549">
        <f>F43+F46</f>
        <v>1827516</v>
      </c>
      <c r="G42" s="550">
        <f>G43+G46</f>
        <v>0</v>
      </c>
    </row>
    <row r="43" spans="1:7" ht="27" customHeight="1">
      <c r="A43" s="195"/>
      <c r="B43" s="551"/>
      <c r="C43" s="552">
        <v>70005</v>
      </c>
      <c r="D43" s="535"/>
      <c r="E43" s="536" t="s">
        <v>243</v>
      </c>
      <c r="F43" s="537">
        <f>SUM(F44:F45)</f>
        <v>937910</v>
      </c>
      <c r="G43" s="538">
        <f>SUM(G45:G45)</f>
        <v>0</v>
      </c>
    </row>
    <row r="44" spans="1:13" s="530" customFormat="1" ht="27" customHeight="1">
      <c r="A44" s="195">
        <v>25</v>
      </c>
      <c r="B44" s="324"/>
      <c r="C44" s="524"/>
      <c r="D44" s="526">
        <v>6050</v>
      </c>
      <c r="E44" s="546" t="s">
        <v>244</v>
      </c>
      <c r="F44" s="553">
        <v>17600</v>
      </c>
      <c r="G44" s="554"/>
      <c r="J44" s="532"/>
      <c r="K44" s="532"/>
      <c r="L44" s="532"/>
      <c r="M44" s="532"/>
    </row>
    <row r="45" spans="1:7" ht="30" customHeight="1">
      <c r="A45" s="195">
        <v>26</v>
      </c>
      <c r="B45" s="324"/>
      <c r="C45" s="555"/>
      <c r="D45" s="526">
        <v>6060</v>
      </c>
      <c r="E45" s="546" t="s">
        <v>245</v>
      </c>
      <c r="F45" s="554">
        <f>866460+45000+2500+7500-1150</f>
        <v>920310</v>
      </c>
      <c r="G45" s="554">
        <v>0</v>
      </c>
    </row>
    <row r="46" spans="1:7" ht="24.75" customHeight="1">
      <c r="A46" s="195"/>
      <c r="B46" s="556"/>
      <c r="C46" s="557">
        <v>70095</v>
      </c>
      <c r="D46" s="558"/>
      <c r="E46" s="536" t="s">
        <v>246</v>
      </c>
      <c r="F46" s="537">
        <f>SUM(F47:F51)</f>
        <v>889606</v>
      </c>
      <c r="G46" s="538">
        <f>SUM(G47:G51)</f>
        <v>0</v>
      </c>
    </row>
    <row r="47" spans="1:7" ht="34.5" customHeight="1">
      <c r="A47" s="195">
        <v>27</v>
      </c>
      <c r="B47" s="556"/>
      <c r="C47" s="559"/>
      <c r="D47" s="195">
        <v>6050</v>
      </c>
      <c r="E47" s="194" t="s">
        <v>247</v>
      </c>
      <c r="F47" s="554">
        <f>574383+10000+156073+7000+1150</f>
        <v>748606</v>
      </c>
      <c r="G47" s="554">
        <v>0</v>
      </c>
    </row>
    <row r="48" spans="1:7" ht="34.5" customHeight="1">
      <c r="A48" s="195">
        <v>28</v>
      </c>
      <c r="B48" s="556"/>
      <c r="C48" s="559"/>
      <c r="D48" s="195">
        <v>6050</v>
      </c>
      <c r="E48" s="194" t="s">
        <v>248</v>
      </c>
      <c r="F48" s="554">
        <v>75000</v>
      </c>
      <c r="G48" s="554"/>
    </row>
    <row r="49" spans="1:7" ht="28.5" customHeight="1">
      <c r="A49" s="195">
        <v>29</v>
      </c>
      <c r="B49" s="556"/>
      <c r="C49" s="560"/>
      <c r="D49" s="195">
        <v>6050</v>
      </c>
      <c r="E49" s="194" t="s">
        <v>249</v>
      </c>
      <c r="F49" s="554">
        <v>60000</v>
      </c>
      <c r="G49" s="554"/>
    </row>
    <row r="50" spans="1:7" ht="48.75" customHeight="1">
      <c r="A50" s="195">
        <v>30</v>
      </c>
      <c r="B50" s="556"/>
      <c r="C50" s="560"/>
      <c r="D50" s="195">
        <v>6050</v>
      </c>
      <c r="E50" s="194" t="s">
        <v>250</v>
      </c>
      <c r="F50" s="554">
        <v>5000</v>
      </c>
      <c r="G50" s="554"/>
    </row>
    <row r="51" spans="1:13" s="561" customFormat="1" ht="36.75" customHeight="1">
      <c r="A51" s="195">
        <v>31</v>
      </c>
      <c r="B51" s="324"/>
      <c r="C51" s="555"/>
      <c r="D51" s="195">
        <v>6050</v>
      </c>
      <c r="E51" s="194" t="s">
        <v>251</v>
      </c>
      <c r="F51" s="554">
        <f>11000-10000</f>
        <v>1000</v>
      </c>
      <c r="G51" s="554">
        <v>0</v>
      </c>
      <c r="J51" s="562"/>
      <c r="K51" s="562"/>
      <c r="L51" s="562"/>
      <c r="M51" s="562"/>
    </row>
    <row r="52" spans="1:7" ht="27" customHeight="1">
      <c r="A52" s="397"/>
      <c r="B52" s="251">
        <v>750</v>
      </c>
      <c r="C52" s="251"/>
      <c r="D52" s="393"/>
      <c r="E52" s="398" t="s">
        <v>162</v>
      </c>
      <c r="F52" s="563">
        <f>F53+F56+F58</f>
        <v>861100</v>
      </c>
      <c r="G52" s="564">
        <f>G53+G58</f>
        <v>0</v>
      </c>
    </row>
    <row r="53" spans="1:7" ht="30.75" customHeight="1">
      <c r="A53" s="195"/>
      <c r="B53" s="565"/>
      <c r="C53" s="551">
        <v>75023</v>
      </c>
      <c r="D53" s="558"/>
      <c r="E53" s="566" t="s">
        <v>252</v>
      </c>
      <c r="F53" s="567">
        <f>SUM(F54:F55)</f>
        <v>258000</v>
      </c>
      <c r="G53" s="568">
        <f>SUM(G55:G55)</f>
        <v>0</v>
      </c>
    </row>
    <row r="54" spans="1:13" s="530" customFormat="1" ht="30.75" customHeight="1">
      <c r="A54" s="195">
        <v>32</v>
      </c>
      <c r="B54" s="312"/>
      <c r="C54" s="321"/>
      <c r="D54" s="195">
        <v>6050</v>
      </c>
      <c r="E54" s="569" t="s">
        <v>253</v>
      </c>
      <c r="F54" s="554">
        <v>18000</v>
      </c>
      <c r="G54" s="570"/>
      <c r="J54" s="532"/>
      <c r="K54" s="532"/>
      <c r="L54" s="532"/>
      <c r="M54" s="532"/>
    </row>
    <row r="55" spans="1:7" ht="28.5" customHeight="1">
      <c r="A55" s="195">
        <v>33</v>
      </c>
      <c r="B55" s="571"/>
      <c r="C55" s="572"/>
      <c r="D55" s="573">
        <v>6060</v>
      </c>
      <c r="E55" s="574" t="s">
        <v>254</v>
      </c>
      <c r="F55" s="575">
        <f>250000+300000-310000</f>
        <v>240000</v>
      </c>
      <c r="G55" s="576">
        <v>0</v>
      </c>
    </row>
    <row r="56" spans="1:7" ht="28.5" customHeight="1">
      <c r="A56" s="195"/>
      <c r="B56" s="571"/>
      <c r="C56" s="572">
        <v>75075</v>
      </c>
      <c r="D56" s="577"/>
      <c r="E56" s="578" t="s">
        <v>255</v>
      </c>
      <c r="F56" s="575">
        <f>F57</f>
        <v>8100</v>
      </c>
      <c r="G56" s="570"/>
    </row>
    <row r="57" spans="1:7" ht="28.5" customHeight="1">
      <c r="A57" s="195">
        <v>34</v>
      </c>
      <c r="B57" s="571"/>
      <c r="C57" s="572"/>
      <c r="D57" s="526">
        <v>6060</v>
      </c>
      <c r="E57" s="579" t="s">
        <v>256</v>
      </c>
      <c r="F57" s="580">
        <v>8100</v>
      </c>
      <c r="G57" s="570"/>
    </row>
    <row r="58" spans="1:7" ht="21.75" customHeight="1">
      <c r="A58" s="195"/>
      <c r="B58" s="581"/>
      <c r="C58" s="534">
        <v>75095</v>
      </c>
      <c r="D58" s="558"/>
      <c r="E58" s="566" t="s">
        <v>246</v>
      </c>
      <c r="F58" s="567">
        <f>SUM(F59:F59)</f>
        <v>595000</v>
      </c>
      <c r="G58" s="568">
        <f>SUM(G59:G59)</f>
        <v>0</v>
      </c>
    </row>
    <row r="59" spans="1:7" ht="33" customHeight="1">
      <c r="A59" s="195">
        <v>35</v>
      </c>
      <c r="B59" s="581"/>
      <c r="C59" s="559"/>
      <c r="D59" s="577">
        <v>6050</v>
      </c>
      <c r="E59" s="194" t="s">
        <v>257</v>
      </c>
      <c r="F59" s="554">
        <f>950000-300000-55000</f>
        <v>595000</v>
      </c>
      <c r="G59" s="554">
        <v>0</v>
      </c>
    </row>
    <row r="60" spans="1:7" ht="30" customHeight="1">
      <c r="A60" s="397"/>
      <c r="B60" s="251">
        <v>754</v>
      </c>
      <c r="C60" s="251"/>
      <c r="D60" s="397"/>
      <c r="E60" s="582" t="s">
        <v>258</v>
      </c>
      <c r="F60" s="550">
        <f>F61+F63</f>
        <v>23000</v>
      </c>
      <c r="G60" s="550">
        <f>G61+G63</f>
        <v>0</v>
      </c>
    </row>
    <row r="61" spans="1:7" ht="21.75" customHeight="1">
      <c r="A61" s="195"/>
      <c r="B61" s="333"/>
      <c r="C61" s="551">
        <v>75412</v>
      </c>
      <c r="D61" s="583"/>
      <c r="E61" s="584" t="s">
        <v>259</v>
      </c>
      <c r="F61" s="538">
        <f>F62</f>
        <v>6000</v>
      </c>
      <c r="G61" s="538">
        <f>G62</f>
        <v>0</v>
      </c>
    </row>
    <row r="62" spans="1:7" ht="27.75" customHeight="1">
      <c r="A62" s="195">
        <v>36</v>
      </c>
      <c r="B62" s="305"/>
      <c r="C62" s="321"/>
      <c r="D62" s="526">
        <v>6060</v>
      </c>
      <c r="E62" s="546" t="s">
        <v>260</v>
      </c>
      <c r="F62" s="554">
        <v>6000</v>
      </c>
      <c r="G62" s="554"/>
    </row>
    <row r="63" spans="1:7" ht="22.5" customHeight="1">
      <c r="A63" s="195"/>
      <c r="B63" s="333"/>
      <c r="C63" s="557">
        <v>75414</v>
      </c>
      <c r="D63" s="583"/>
      <c r="E63" s="584" t="s">
        <v>261</v>
      </c>
      <c r="F63" s="567">
        <f>SUM(F64)</f>
        <v>17000</v>
      </c>
      <c r="G63" s="568">
        <f>SUM(G64)</f>
        <v>0</v>
      </c>
    </row>
    <row r="64" spans="1:7" ht="26.25" customHeight="1">
      <c r="A64" s="195">
        <v>37</v>
      </c>
      <c r="B64" s="324"/>
      <c r="C64" s="585"/>
      <c r="D64" s="577">
        <v>6060</v>
      </c>
      <c r="E64" s="546" t="s">
        <v>260</v>
      </c>
      <c r="F64" s="529">
        <v>17000</v>
      </c>
      <c r="G64" s="529">
        <v>0</v>
      </c>
    </row>
    <row r="65" spans="1:7" ht="21.75" customHeight="1">
      <c r="A65" s="406"/>
      <c r="B65" s="251">
        <v>758</v>
      </c>
      <c r="C65" s="251"/>
      <c r="D65" s="393"/>
      <c r="E65" s="548" t="s">
        <v>262</v>
      </c>
      <c r="F65" s="549">
        <f>F66</f>
        <v>190347</v>
      </c>
      <c r="G65" s="550">
        <f>G66</f>
        <v>0</v>
      </c>
    </row>
    <row r="66" spans="1:7" ht="22.5" customHeight="1">
      <c r="A66" s="501"/>
      <c r="B66" s="586"/>
      <c r="C66" s="587">
        <v>75818</v>
      </c>
      <c r="D66" s="558"/>
      <c r="E66" s="566" t="s">
        <v>263</v>
      </c>
      <c r="F66" s="567">
        <f>F67</f>
        <v>190347</v>
      </c>
      <c r="G66" s="568">
        <f>G67</f>
        <v>0</v>
      </c>
    </row>
    <row r="67" spans="1:7" ht="28.5" customHeight="1">
      <c r="A67" s="501"/>
      <c r="B67" s="298"/>
      <c r="C67" s="585"/>
      <c r="D67" s="577">
        <v>6800</v>
      </c>
      <c r="E67" s="588" t="s">
        <v>264</v>
      </c>
      <c r="F67" s="705">
        <f>400000-200000+24500-10000+174688-2498-40000-6000-101073-30478-5492+739700-35000+55000-18000-25000-730000</f>
        <v>190347</v>
      </c>
      <c r="G67" s="529">
        <f>500000-500000</f>
        <v>0</v>
      </c>
    </row>
    <row r="68" spans="1:7" ht="24.75" customHeight="1">
      <c r="A68" s="506"/>
      <c r="B68" s="247">
        <v>801</v>
      </c>
      <c r="C68" s="585"/>
      <c r="D68" s="577"/>
      <c r="E68" s="589" t="s">
        <v>80</v>
      </c>
      <c r="F68" s="563">
        <f>F69+F79+F93+F96+F103</f>
        <v>1608578.7</v>
      </c>
      <c r="G68" s="564">
        <f>G69+G79+G93+G96</f>
        <v>0</v>
      </c>
    </row>
    <row r="69" spans="1:7" ht="24" customHeight="1">
      <c r="A69" s="577"/>
      <c r="B69" s="586"/>
      <c r="C69" s="533">
        <v>80101</v>
      </c>
      <c r="D69" s="558"/>
      <c r="E69" s="566" t="s">
        <v>265</v>
      </c>
      <c r="F69" s="567">
        <f>SUM(F70:F78)</f>
        <v>1040478</v>
      </c>
      <c r="G69" s="568">
        <f>SUM(G70:G78)</f>
        <v>0</v>
      </c>
    </row>
    <row r="70" spans="1:7" ht="34.5" customHeight="1">
      <c r="A70" s="577">
        <v>38</v>
      </c>
      <c r="B70" s="333"/>
      <c r="C70" s="590"/>
      <c r="D70" s="526">
        <v>6050</v>
      </c>
      <c r="E70" s="194" t="s">
        <v>266</v>
      </c>
      <c r="F70" s="553">
        <f>40000+30000</f>
        <v>70000</v>
      </c>
      <c r="G70" s="529">
        <v>0</v>
      </c>
    </row>
    <row r="71" spans="1:9" ht="23.25" customHeight="1">
      <c r="A71" s="577">
        <v>39</v>
      </c>
      <c r="B71" s="333"/>
      <c r="C71" s="533"/>
      <c r="D71" s="526">
        <v>6050</v>
      </c>
      <c r="E71" s="546" t="s">
        <v>267</v>
      </c>
      <c r="F71" s="553">
        <f>600000-89889</f>
        <v>510111</v>
      </c>
      <c r="G71" s="529">
        <v>0</v>
      </c>
      <c r="I71" s="591"/>
    </row>
    <row r="72" spans="1:9" ht="27.75" customHeight="1">
      <c r="A72" s="577">
        <v>40</v>
      </c>
      <c r="B72" s="333"/>
      <c r="C72" s="533"/>
      <c r="D72" s="526">
        <v>6050</v>
      </c>
      <c r="E72" s="546" t="s">
        <v>268</v>
      </c>
      <c r="F72" s="553">
        <v>89889</v>
      </c>
      <c r="G72" s="529"/>
      <c r="I72" s="591"/>
    </row>
    <row r="73" spans="1:7" ht="23.25" customHeight="1">
      <c r="A73" s="577">
        <v>41</v>
      </c>
      <c r="B73" s="333"/>
      <c r="C73" s="533"/>
      <c r="D73" s="592">
        <v>6050</v>
      </c>
      <c r="E73" s="193" t="s">
        <v>269</v>
      </c>
      <c r="F73" s="554">
        <v>9000</v>
      </c>
      <c r="G73" s="529">
        <v>0</v>
      </c>
    </row>
    <row r="74" spans="1:7" ht="34.5" customHeight="1">
      <c r="A74" s="577">
        <v>42</v>
      </c>
      <c r="B74" s="298"/>
      <c r="C74" s="533"/>
      <c r="D74" s="592">
        <v>6050</v>
      </c>
      <c r="E74" s="193" t="s">
        <v>270</v>
      </c>
      <c r="F74" s="554">
        <v>50000</v>
      </c>
      <c r="G74" s="529">
        <v>0</v>
      </c>
    </row>
    <row r="75" spans="1:7" ht="34.5" customHeight="1">
      <c r="A75" s="577">
        <v>43</v>
      </c>
      <c r="B75" s="298"/>
      <c r="C75" s="533"/>
      <c r="D75" s="592">
        <v>6050</v>
      </c>
      <c r="E75" s="193" t="s">
        <v>271</v>
      </c>
      <c r="F75" s="554">
        <f>30478+200000</f>
        <v>230478</v>
      </c>
      <c r="G75" s="529">
        <v>0</v>
      </c>
    </row>
    <row r="76" spans="1:7" ht="23.25" customHeight="1">
      <c r="A76" s="577">
        <v>44</v>
      </c>
      <c r="B76" s="298"/>
      <c r="C76" s="533"/>
      <c r="D76" s="592">
        <v>6050</v>
      </c>
      <c r="E76" s="193" t="s">
        <v>272</v>
      </c>
      <c r="F76" s="554">
        <v>60000</v>
      </c>
      <c r="G76" s="529"/>
    </row>
    <row r="77" spans="1:7" ht="24.75" customHeight="1">
      <c r="A77" s="577">
        <v>45</v>
      </c>
      <c r="B77" s="298"/>
      <c r="C77" s="524"/>
      <c r="D77" s="592">
        <v>6060</v>
      </c>
      <c r="E77" s="194" t="s">
        <v>273</v>
      </c>
      <c r="F77" s="554">
        <v>15000</v>
      </c>
      <c r="G77" s="529">
        <v>0</v>
      </c>
    </row>
    <row r="78" spans="1:7" ht="34.5" customHeight="1">
      <c r="A78" s="577">
        <v>46</v>
      </c>
      <c r="B78" s="298"/>
      <c r="C78" s="585"/>
      <c r="D78" s="592">
        <v>6060</v>
      </c>
      <c r="E78" s="194" t="s">
        <v>274</v>
      </c>
      <c r="F78" s="554">
        <v>6000</v>
      </c>
      <c r="G78" s="529">
        <v>0</v>
      </c>
    </row>
    <row r="79" spans="1:7" ht="27.75" customHeight="1">
      <c r="A79" s="577"/>
      <c r="B79" s="333"/>
      <c r="C79" s="552">
        <v>80104</v>
      </c>
      <c r="D79" s="535"/>
      <c r="E79" s="536" t="s">
        <v>275</v>
      </c>
      <c r="F79" s="537">
        <f>SUM(F80:F92)</f>
        <v>245893</v>
      </c>
      <c r="G79" s="538">
        <f>SUM(G80:G92)</f>
        <v>0</v>
      </c>
    </row>
    <row r="80" spans="1:13" s="530" customFormat="1" ht="25.5" customHeight="1">
      <c r="A80" s="577">
        <v>47</v>
      </c>
      <c r="B80" s="298"/>
      <c r="C80" s="555"/>
      <c r="D80" s="592">
        <v>6050</v>
      </c>
      <c r="E80" s="546" t="s">
        <v>276</v>
      </c>
      <c r="F80" s="553">
        <f>26000+78000-13000</f>
        <v>91000</v>
      </c>
      <c r="G80" s="554">
        <v>0</v>
      </c>
      <c r="J80" s="532"/>
      <c r="K80" s="532"/>
      <c r="L80" s="532"/>
      <c r="M80" s="532"/>
    </row>
    <row r="81" spans="1:13" s="530" customFormat="1" ht="25.5" customHeight="1">
      <c r="A81" s="577">
        <v>48</v>
      </c>
      <c r="B81" s="298"/>
      <c r="C81" s="524"/>
      <c r="D81" s="592">
        <v>6050</v>
      </c>
      <c r="E81" s="546" t="s">
        <v>277</v>
      </c>
      <c r="F81" s="553">
        <v>40000</v>
      </c>
      <c r="G81" s="554"/>
      <c r="J81" s="532"/>
      <c r="K81" s="532"/>
      <c r="L81" s="532"/>
      <c r="M81" s="532"/>
    </row>
    <row r="82" spans="1:13" s="530" customFormat="1" ht="25.5" customHeight="1">
      <c r="A82" s="577">
        <v>49</v>
      </c>
      <c r="B82" s="298"/>
      <c r="C82" s="524"/>
      <c r="D82" s="592">
        <v>6050</v>
      </c>
      <c r="E82" s="546" t="s">
        <v>278</v>
      </c>
      <c r="F82" s="553">
        <v>11600</v>
      </c>
      <c r="G82" s="554"/>
      <c r="J82" s="532"/>
      <c r="K82" s="532"/>
      <c r="L82" s="532"/>
      <c r="M82" s="532"/>
    </row>
    <row r="83" spans="1:13" s="530" customFormat="1" ht="25.5" customHeight="1">
      <c r="A83" s="577">
        <v>50</v>
      </c>
      <c r="B83" s="298"/>
      <c r="C83" s="524"/>
      <c r="D83" s="592">
        <v>6050</v>
      </c>
      <c r="E83" s="546" t="s">
        <v>279</v>
      </c>
      <c r="F83" s="553">
        <v>8000</v>
      </c>
      <c r="G83" s="554"/>
      <c r="J83" s="532"/>
      <c r="K83" s="532"/>
      <c r="L83" s="532"/>
      <c r="M83" s="532"/>
    </row>
    <row r="84" spans="1:13" s="530" customFormat="1" ht="25.5" customHeight="1">
      <c r="A84" s="577">
        <v>51</v>
      </c>
      <c r="B84" s="298"/>
      <c r="C84" s="524"/>
      <c r="D84" s="592">
        <v>6060</v>
      </c>
      <c r="E84" s="546" t="s">
        <v>280</v>
      </c>
      <c r="F84" s="553">
        <f>7500-827</f>
        <v>6673</v>
      </c>
      <c r="G84" s="554"/>
      <c r="J84" s="532"/>
      <c r="K84" s="532"/>
      <c r="L84" s="532"/>
      <c r="M84" s="532"/>
    </row>
    <row r="85" spans="1:13" s="530" customFormat="1" ht="25.5" customHeight="1">
      <c r="A85" s="577">
        <v>52</v>
      </c>
      <c r="B85" s="298"/>
      <c r="C85" s="524"/>
      <c r="D85" s="592">
        <v>6060</v>
      </c>
      <c r="E85" s="546" t="s">
        <v>281</v>
      </c>
      <c r="F85" s="553">
        <v>20000</v>
      </c>
      <c r="G85" s="554"/>
      <c r="J85" s="532"/>
      <c r="K85" s="532"/>
      <c r="L85" s="532"/>
      <c r="M85" s="532"/>
    </row>
    <row r="86" spans="1:13" s="530" customFormat="1" ht="25.5" customHeight="1">
      <c r="A86" s="577">
        <v>53</v>
      </c>
      <c r="B86" s="298"/>
      <c r="C86" s="524"/>
      <c r="D86" s="592">
        <v>6060</v>
      </c>
      <c r="E86" s="546" t="s">
        <v>282</v>
      </c>
      <c r="F86" s="553">
        <v>20000</v>
      </c>
      <c r="G86" s="554"/>
      <c r="J86" s="532"/>
      <c r="K86" s="532"/>
      <c r="L86" s="532"/>
      <c r="M86" s="532"/>
    </row>
    <row r="87" spans="1:13" s="530" customFormat="1" ht="25.5" customHeight="1">
      <c r="A87" s="577">
        <v>54</v>
      </c>
      <c r="B87" s="298"/>
      <c r="C87" s="524"/>
      <c r="D87" s="592">
        <v>6060</v>
      </c>
      <c r="E87" s="546" t="s">
        <v>283</v>
      </c>
      <c r="F87" s="553">
        <v>5000</v>
      </c>
      <c r="G87" s="554"/>
      <c r="J87" s="532"/>
      <c r="K87" s="532"/>
      <c r="L87" s="532"/>
      <c r="M87" s="532"/>
    </row>
    <row r="88" spans="1:13" s="530" customFormat="1" ht="25.5" customHeight="1">
      <c r="A88" s="577">
        <v>55</v>
      </c>
      <c r="B88" s="298"/>
      <c r="C88" s="524"/>
      <c r="D88" s="592">
        <v>6060</v>
      </c>
      <c r="E88" s="546" t="s">
        <v>284</v>
      </c>
      <c r="F88" s="553">
        <v>7300</v>
      </c>
      <c r="G88" s="554"/>
      <c r="J88" s="532"/>
      <c r="K88" s="532"/>
      <c r="L88" s="532"/>
      <c r="M88" s="532"/>
    </row>
    <row r="89" spans="1:13" s="530" customFormat="1" ht="25.5" customHeight="1">
      <c r="A89" s="577">
        <v>56</v>
      </c>
      <c r="B89" s="298"/>
      <c r="C89" s="524"/>
      <c r="D89" s="592">
        <v>6060</v>
      </c>
      <c r="E89" s="546" t="s">
        <v>285</v>
      </c>
      <c r="F89" s="553">
        <v>10320</v>
      </c>
      <c r="G89" s="554"/>
      <c r="J89" s="532"/>
      <c r="K89" s="532"/>
      <c r="L89" s="532"/>
      <c r="M89" s="532"/>
    </row>
    <row r="90" spans="1:7" ht="30" customHeight="1">
      <c r="A90" s="577">
        <v>57</v>
      </c>
      <c r="B90" s="298"/>
      <c r="C90" s="524"/>
      <c r="D90" s="195">
        <v>6060</v>
      </c>
      <c r="E90" s="194" t="s">
        <v>286</v>
      </c>
      <c r="F90" s="554">
        <v>11000</v>
      </c>
      <c r="G90" s="529">
        <v>0</v>
      </c>
    </row>
    <row r="91" spans="1:7" ht="29.25" customHeight="1">
      <c r="A91" s="577">
        <v>58</v>
      </c>
      <c r="B91" s="298"/>
      <c r="C91" s="524"/>
      <c r="D91" s="195">
        <v>6060</v>
      </c>
      <c r="E91" s="194" t="s">
        <v>287</v>
      </c>
      <c r="F91" s="554">
        <v>7000</v>
      </c>
      <c r="G91" s="529">
        <v>0</v>
      </c>
    </row>
    <row r="92" spans="1:7" ht="30" customHeight="1">
      <c r="A92" s="577">
        <v>59</v>
      </c>
      <c r="B92" s="298"/>
      <c r="C92" s="524"/>
      <c r="D92" s="195">
        <v>6060</v>
      </c>
      <c r="E92" s="194" t="s">
        <v>288</v>
      </c>
      <c r="F92" s="554">
        <v>8000</v>
      </c>
      <c r="G92" s="529">
        <v>0</v>
      </c>
    </row>
    <row r="93" spans="1:7" ht="19.5" customHeight="1">
      <c r="A93" s="577"/>
      <c r="B93" s="298"/>
      <c r="C93" s="552">
        <v>80110</v>
      </c>
      <c r="D93" s="535"/>
      <c r="E93" s="536" t="s">
        <v>289</v>
      </c>
      <c r="F93" s="537">
        <f>F94+F95</f>
        <v>250000</v>
      </c>
      <c r="G93" s="538">
        <f>G95</f>
        <v>0</v>
      </c>
    </row>
    <row r="94" spans="1:13" s="530" customFormat="1" ht="23.25" customHeight="1">
      <c r="A94" s="577">
        <v>60</v>
      </c>
      <c r="B94" s="298"/>
      <c r="C94" s="555"/>
      <c r="D94" s="593">
        <v>6050</v>
      </c>
      <c r="E94" s="546" t="s">
        <v>290</v>
      </c>
      <c r="F94" s="553">
        <v>220000</v>
      </c>
      <c r="G94" s="554">
        <v>0</v>
      </c>
      <c r="J94" s="532"/>
      <c r="K94" s="532"/>
      <c r="L94" s="532"/>
      <c r="M94" s="532"/>
    </row>
    <row r="95" spans="1:7" ht="31.5" customHeight="1">
      <c r="A95" s="577">
        <v>61</v>
      </c>
      <c r="B95" s="298"/>
      <c r="C95" s="533"/>
      <c r="D95" s="594">
        <v>6050</v>
      </c>
      <c r="E95" s="194" t="s">
        <v>291</v>
      </c>
      <c r="F95" s="553">
        <v>30000</v>
      </c>
      <c r="G95" s="554">
        <v>0</v>
      </c>
    </row>
    <row r="96" spans="1:13" s="595" customFormat="1" ht="22.5" customHeight="1">
      <c r="A96" s="558"/>
      <c r="B96" s="333"/>
      <c r="C96" s="552">
        <v>80148</v>
      </c>
      <c r="D96" s="535"/>
      <c r="E96" s="536" t="s">
        <v>292</v>
      </c>
      <c r="F96" s="537">
        <f>SUM(F97:F102)</f>
        <v>42208</v>
      </c>
      <c r="G96" s="538">
        <f>SUM(G97:G102)</f>
        <v>0</v>
      </c>
      <c r="J96" s="596"/>
      <c r="K96" s="596"/>
      <c r="L96" s="596"/>
      <c r="M96" s="596"/>
    </row>
    <row r="97" spans="1:7" ht="27" customHeight="1">
      <c r="A97" s="577">
        <v>62</v>
      </c>
      <c r="B97" s="298"/>
      <c r="C97" s="533"/>
      <c r="D97" s="195">
        <v>6060</v>
      </c>
      <c r="E97" s="194" t="s">
        <v>293</v>
      </c>
      <c r="F97" s="553">
        <f>12000-5400</f>
        <v>6600</v>
      </c>
      <c r="G97" s="554">
        <v>0</v>
      </c>
    </row>
    <row r="98" spans="1:7" ht="27" customHeight="1">
      <c r="A98" s="577">
        <v>63</v>
      </c>
      <c r="B98" s="298"/>
      <c r="C98" s="533"/>
      <c r="D98" s="195">
        <v>6060</v>
      </c>
      <c r="E98" s="194" t="s">
        <v>294</v>
      </c>
      <c r="F98" s="553">
        <v>5400</v>
      </c>
      <c r="G98" s="554">
        <v>0</v>
      </c>
    </row>
    <row r="99" spans="1:7" ht="27" customHeight="1">
      <c r="A99" s="577">
        <v>64</v>
      </c>
      <c r="B99" s="298"/>
      <c r="C99" s="533"/>
      <c r="D99" s="195">
        <v>6060</v>
      </c>
      <c r="E99" s="194" t="s">
        <v>295</v>
      </c>
      <c r="F99" s="553">
        <f>12000-2442</f>
        <v>9558</v>
      </c>
      <c r="G99" s="554">
        <v>0</v>
      </c>
    </row>
    <row r="100" spans="1:7" ht="27" customHeight="1">
      <c r="A100" s="577">
        <v>65</v>
      </c>
      <c r="B100" s="298"/>
      <c r="C100" s="533"/>
      <c r="D100" s="195">
        <v>6060</v>
      </c>
      <c r="E100" s="194" t="s">
        <v>296</v>
      </c>
      <c r="F100" s="553">
        <v>7000</v>
      </c>
      <c r="G100" s="554">
        <v>0</v>
      </c>
    </row>
    <row r="101" spans="1:7" ht="27.75" customHeight="1">
      <c r="A101" s="577">
        <v>66</v>
      </c>
      <c r="B101" s="298"/>
      <c r="C101" s="524"/>
      <c r="D101" s="195">
        <v>6060</v>
      </c>
      <c r="E101" s="194" t="s">
        <v>297</v>
      </c>
      <c r="F101" s="553">
        <f>6200-550</f>
        <v>5650</v>
      </c>
      <c r="G101" s="529">
        <v>0</v>
      </c>
    </row>
    <row r="102" spans="1:7" ht="27.75" customHeight="1">
      <c r="A102" s="577">
        <v>67</v>
      </c>
      <c r="B102" s="293"/>
      <c r="C102" s="524"/>
      <c r="D102" s="195">
        <v>6060</v>
      </c>
      <c r="E102" s="194" t="s">
        <v>298</v>
      </c>
      <c r="F102" s="553">
        <v>8000</v>
      </c>
      <c r="G102" s="529">
        <v>0</v>
      </c>
    </row>
    <row r="103" spans="1:13" s="595" customFormat="1" ht="27.75" customHeight="1">
      <c r="A103" s="558"/>
      <c r="B103" s="597"/>
      <c r="C103" s="557">
        <v>80195</v>
      </c>
      <c r="D103" s="598"/>
      <c r="E103" s="599" t="s">
        <v>246</v>
      </c>
      <c r="F103" s="537">
        <f>F104</f>
        <v>29999.7</v>
      </c>
      <c r="G103" s="537">
        <f>G104</f>
        <v>0</v>
      </c>
      <c r="J103" s="596"/>
      <c r="K103" s="596"/>
      <c r="L103" s="596"/>
      <c r="M103" s="596"/>
    </row>
    <row r="104" spans="1:7" ht="27.75" customHeight="1">
      <c r="A104" s="577">
        <v>68</v>
      </c>
      <c r="B104" s="600"/>
      <c r="C104" s="524"/>
      <c r="D104" s="592">
        <v>6050</v>
      </c>
      <c r="E104" s="194" t="s">
        <v>299</v>
      </c>
      <c r="F104" s="553">
        <v>29999.7</v>
      </c>
      <c r="G104" s="529">
        <v>0</v>
      </c>
    </row>
    <row r="105" spans="1:13" s="601" customFormat="1" ht="18.75" customHeight="1">
      <c r="A105" s="397"/>
      <c r="B105" s="600">
        <v>851</v>
      </c>
      <c r="C105" s="251"/>
      <c r="D105" s="385"/>
      <c r="E105" s="398" t="s">
        <v>81</v>
      </c>
      <c r="F105" s="549">
        <f>F106</f>
        <v>7500</v>
      </c>
      <c r="G105" s="550">
        <f>G106</f>
        <v>0</v>
      </c>
      <c r="J105" s="602"/>
      <c r="K105" s="602"/>
      <c r="L105" s="602"/>
      <c r="M105" s="602"/>
    </row>
    <row r="106" spans="1:13" s="595" customFormat="1" ht="19.5" customHeight="1">
      <c r="A106" s="583"/>
      <c r="B106" s="603"/>
      <c r="C106" s="557">
        <v>85154</v>
      </c>
      <c r="D106" s="583"/>
      <c r="E106" s="599" t="s">
        <v>300</v>
      </c>
      <c r="F106" s="537">
        <f>F107</f>
        <v>7500</v>
      </c>
      <c r="G106" s="604"/>
      <c r="J106" s="596"/>
      <c r="K106" s="596"/>
      <c r="L106" s="596"/>
      <c r="M106" s="596"/>
    </row>
    <row r="107" spans="1:7" ht="33.75" customHeight="1">
      <c r="A107" s="195">
        <v>69</v>
      </c>
      <c r="B107" s="305"/>
      <c r="C107" s="324"/>
      <c r="D107" s="526">
        <v>6220</v>
      </c>
      <c r="E107" s="546" t="s">
        <v>301</v>
      </c>
      <c r="F107" s="528">
        <v>7500</v>
      </c>
      <c r="G107" s="529">
        <v>0</v>
      </c>
    </row>
    <row r="108" spans="1:7" ht="20.25" customHeight="1">
      <c r="A108" s="195"/>
      <c r="B108" s="605">
        <v>852</v>
      </c>
      <c r="C108" s="251"/>
      <c r="D108" s="385"/>
      <c r="E108" s="398" t="s">
        <v>110</v>
      </c>
      <c r="F108" s="549">
        <f>F109</f>
        <v>55000</v>
      </c>
      <c r="G108" s="550">
        <f>G109</f>
        <v>0</v>
      </c>
    </row>
    <row r="109" spans="1:13" s="595" customFormat="1" ht="25.5" customHeight="1">
      <c r="A109" s="583"/>
      <c r="B109" s="606"/>
      <c r="C109" s="557">
        <v>85219</v>
      </c>
      <c r="D109" s="583"/>
      <c r="E109" s="599" t="s">
        <v>302</v>
      </c>
      <c r="F109" s="537">
        <f>F110+F111</f>
        <v>55000</v>
      </c>
      <c r="G109" s="604"/>
      <c r="J109" s="596"/>
      <c r="K109" s="596"/>
      <c r="L109" s="596"/>
      <c r="M109" s="596"/>
    </row>
    <row r="110" spans="1:7" ht="34.5" customHeight="1">
      <c r="A110" s="195">
        <v>70</v>
      </c>
      <c r="B110" s="305"/>
      <c r="C110" s="324"/>
      <c r="D110" s="526">
        <v>6050</v>
      </c>
      <c r="E110" s="546" t="s">
        <v>303</v>
      </c>
      <c r="F110" s="528">
        <v>15000</v>
      </c>
      <c r="G110" s="529">
        <v>0</v>
      </c>
    </row>
    <row r="111" spans="1:7" ht="34.5" customHeight="1">
      <c r="A111" s="195">
        <v>71</v>
      </c>
      <c r="B111" s="305"/>
      <c r="C111" s="324"/>
      <c r="D111" s="593">
        <v>6060</v>
      </c>
      <c r="E111" s="546" t="s">
        <v>304</v>
      </c>
      <c r="F111" s="528">
        <v>40000</v>
      </c>
      <c r="G111" s="529"/>
    </row>
    <row r="112" spans="1:7" ht="30" customHeight="1">
      <c r="A112" s="195"/>
      <c r="B112" s="247">
        <v>853</v>
      </c>
      <c r="C112" s="242"/>
      <c r="D112" s="593"/>
      <c r="E112" s="548" t="s">
        <v>82</v>
      </c>
      <c r="F112" s="549">
        <f>F113+F116</f>
        <v>908534.88</v>
      </c>
      <c r="G112" s="550">
        <f>G116</f>
        <v>0</v>
      </c>
    </row>
    <row r="113" spans="1:13" s="595" customFormat="1" ht="30" customHeight="1">
      <c r="A113" s="607"/>
      <c r="B113" s="551"/>
      <c r="C113" s="552">
        <v>85305</v>
      </c>
      <c r="D113" s="608"/>
      <c r="E113" s="536" t="s">
        <v>305</v>
      </c>
      <c r="F113" s="537">
        <f>F114+F115</f>
        <v>66553</v>
      </c>
      <c r="G113" s="538"/>
      <c r="J113" s="596"/>
      <c r="K113" s="596"/>
      <c r="L113" s="596"/>
      <c r="M113" s="596"/>
    </row>
    <row r="114" spans="1:7" ht="37.5" customHeight="1">
      <c r="A114" s="594">
        <v>72</v>
      </c>
      <c r="B114" s="247"/>
      <c r="C114" s="609"/>
      <c r="D114" s="593">
        <v>6050</v>
      </c>
      <c r="E114" s="610" t="s">
        <v>306</v>
      </c>
      <c r="F114" s="553">
        <v>2618</v>
      </c>
      <c r="G114" s="550"/>
    </row>
    <row r="115" spans="1:7" ht="38.25" customHeight="1">
      <c r="A115" s="594">
        <v>73</v>
      </c>
      <c r="B115" s="247"/>
      <c r="C115" s="609"/>
      <c r="D115" s="593">
        <v>6050</v>
      </c>
      <c r="E115" s="610" t="s">
        <v>307</v>
      </c>
      <c r="F115" s="553">
        <v>63935</v>
      </c>
      <c r="G115" s="550"/>
    </row>
    <row r="116" spans="1:7" ht="24" customHeight="1">
      <c r="A116" s="594">
        <v>74</v>
      </c>
      <c r="B116" s="247"/>
      <c r="C116" s="552">
        <v>85395</v>
      </c>
      <c r="D116" s="608"/>
      <c r="E116" s="536" t="s">
        <v>308</v>
      </c>
      <c r="F116" s="537">
        <f>SUM(F117:F120)</f>
        <v>841981.88</v>
      </c>
      <c r="G116" s="538">
        <f>SUM(G117:G120)</f>
        <v>0</v>
      </c>
    </row>
    <row r="117" spans="1:7" ht="34.5" customHeight="1">
      <c r="A117" s="713">
        <v>75</v>
      </c>
      <c r="B117" s="611"/>
      <c r="C117" s="533"/>
      <c r="D117" s="195">
        <v>6237</v>
      </c>
      <c r="E117" s="184" t="s">
        <v>309</v>
      </c>
      <c r="F117" s="553">
        <v>35684.6</v>
      </c>
      <c r="G117" s="538">
        <v>0</v>
      </c>
    </row>
    <row r="118" spans="1:7" ht="34.5" customHeight="1">
      <c r="A118" s="714"/>
      <c r="B118" s="611"/>
      <c r="C118" s="533"/>
      <c r="D118" s="195">
        <v>6239</v>
      </c>
      <c r="E118" s="184" t="s">
        <v>309</v>
      </c>
      <c r="F118" s="553">
        <v>6297.28</v>
      </c>
      <c r="G118" s="538">
        <v>0</v>
      </c>
    </row>
    <row r="119" spans="1:7" ht="36.75" customHeight="1">
      <c r="A119" s="612">
        <v>76</v>
      </c>
      <c r="B119" s="298"/>
      <c r="C119" s="559"/>
      <c r="D119" s="593">
        <v>6237</v>
      </c>
      <c r="E119" s="546" t="s">
        <v>117</v>
      </c>
      <c r="F119" s="528">
        <v>680000</v>
      </c>
      <c r="G119" s="529">
        <v>0</v>
      </c>
    </row>
    <row r="120" spans="1:7" ht="31.5" customHeight="1">
      <c r="A120" s="613"/>
      <c r="B120" s="293"/>
      <c r="C120" s="555"/>
      <c r="D120" s="593">
        <v>6239</v>
      </c>
      <c r="E120" s="546" t="s">
        <v>117</v>
      </c>
      <c r="F120" s="528">
        <v>120000</v>
      </c>
      <c r="G120" s="529">
        <v>0</v>
      </c>
    </row>
    <row r="121" spans="1:7" ht="30" customHeight="1">
      <c r="A121" s="397"/>
      <c r="B121" s="293">
        <v>900</v>
      </c>
      <c r="C121" s="251"/>
      <c r="D121" s="393"/>
      <c r="E121" s="548" t="s">
        <v>310</v>
      </c>
      <c r="F121" s="549">
        <f>F122+F125+F127+F137</f>
        <v>29132173.18</v>
      </c>
      <c r="G121" s="550">
        <f>G122+G125+G127+G137</f>
        <v>5716191.52</v>
      </c>
    </row>
    <row r="122" spans="1:7" ht="21" customHeight="1">
      <c r="A122" s="397"/>
      <c r="B122" s="298"/>
      <c r="C122" s="556">
        <v>90002</v>
      </c>
      <c r="D122" s="558"/>
      <c r="E122" s="536" t="s">
        <v>311</v>
      </c>
      <c r="F122" s="537">
        <f>SUM(F123:F124)</f>
        <v>42000</v>
      </c>
      <c r="G122" s="538">
        <f>SUM(G123:G124)</f>
        <v>42000</v>
      </c>
    </row>
    <row r="123" spans="1:7" ht="36" customHeight="1">
      <c r="A123" s="195">
        <v>77</v>
      </c>
      <c r="B123" s="305"/>
      <c r="C123" s="247"/>
      <c r="D123" s="526">
        <v>6220</v>
      </c>
      <c r="E123" s="578" t="s">
        <v>312</v>
      </c>
      <c r="F123" s="614">
        <v>12000</v>
      </c>
      <c r="G123" s="615">
        <v>12000</v>
      </c>
    </row>
    <row r="124" spans="1:7" ht="36" customHeight="1">
      <c r="A124" s="195">
        <v>78</v>
      </c>
      <c r="B124" s="305"/>
      <c r="C124" s="293"/>
      <c r="D124" s="526">
        <v>6230</v>
      </c>
      <c r="E124" s="409" t="s">
        <v>312</v>
      </c>
      <c r="F124" s="614">
        <v>30000</v>
      </c>
      <c r="G124" s="615">
        <v>30000</v>
      </c>
    </row>
    <row r="125" spans="1:13" s="595" customFormat="1" ht="29.25" customHeight="1">
      <c r="A125" s="583"/>
      <c r="B125" s="606"/>
      <c r="C125" s="534">
        <v>90004</v>
      </c>
      <c r="D125" s="535"/>
      <c r="E125" s="616" t="s">
        <v>313</v>
      </c>
      <c r="F125" s="617">
        <f>F126</f>
        <v>25000</v>
      </c>
      <c r="G125" s="618"/>
      <c r="J125" s="596"/>
      <c r="K125" s="596"/>
      <c r="L125" s="596"/>
      <c r="M125" s="596"/>
    </row>
    <row r="126" spans="1:7" ht="36" customHeight="1">
      <c r="A126" s="195">
        <v>79</v>
      </c>
      <c r="B126" s="305"/>
      <c r="C126" s="293"/>
      <c r="D126" s="526">
        <v>6050</v>
      </c>
      <c r="E126" s="546" t="s">
        <v>314</v>
      </c>
      <c r="F126" s="614">
        <v>25000</v>
      </c>
      <c r="G126" s="615"/>
    </row>
    <row r="127" spans="1:7" ht="29.25" customHeight="1">
      <c r="A127" s="195"/>
      <c r="B127" s="556"/>
      <c r="C127" s="557">
        <v>90015</v>
      </c>
      <c r="D127" s="558"/>
      <c r="E127" s="536" t="s">
        <v>315</v>
      </c>
      <c r="F127" s="537">
        <f>SUM(F128:F136)</f>
        <v>3945025.01</v>
      </c>
      <c r="G127" s="538">
        <f>SUM(G128:G134)</f>
        <v>0</v>
      </c>
    </row>
    <row r="128" spans="1:7" ht="33" customHeight="1">
      <c r="A128" s="195">
        <v>80</v>
      </c>
      <c r="B128" s="312"/>
      <c r="C128" s="619"/>
      <c r="D128" s="573">
        <v>6050</v>
      </c>
      <c r="E128" s="620" t="s">
        <v>316</v>
      </c>
      <c r="F128" s="614">
        <v>1149.61</v>
      </c>
      <c r="G128" s="615">
        <v>0</v>
      </c>
    </row>
    <row r="129" spans="1:7" ht="24.75" customHeight="1">
      <c r="A129" s="195">
        <v>81</v>
      </c>
      <c r="B129" s="312"/>
      <c r="C129" s="619"/>
      <c r="D129" s="573">
        <v>6050</v>
      </c>
      <c r="E129" s="409" t="s">
        <v>317</v>
      </c>
      <c r="F129" s="614">
        <v>442.17</v>
      </c>
      <c r="G129" s="615">
        <v>0</v>
      </c>
    </row>
    <row r="130" spans="1:7" ht="28.5" customHeight="1">
      <c r="A130" s="195">
        <v>82</v>
      </c>
      <c r="B130" s="312"/>
      <c r="C130" s="324"/>
      <c r="D130" s="573">
        <v>6050</v>
      </c>
      <c r="E130" s="409" t="s">
        <v>318</v>
      </c>
      <c r="F130" s="614">
        <v>6000</v>
      </c>
      <c r="G130" s="615"/>
    </row>
    <row r="131" spans="1:7" ht="40.5" customHeight="1">
      <c r="A131" s="195">
        <v>83</v>
      </c>
      <c r="B131" s="312"/>
      <c r="C131" s="324"/>
      <c r="D131" s="573">
        <v>6050</v>
      </c>
      <c r="E131" s="409" t="s">
        <v>319</v>
      </c>
      <c r="F131" s="614">
        <v>20000</v>
      </c>
      <c r="G131" s="615"/>
    </row>
    <row r="132" spans="1:7" ht="36.75" customHeight="1">
      <c r="A132" s="195">
        <v>84</v>
      </c>
      <c r="B132" s="312"/>
      <c r="C132" s="324"/>
      <c r="D132" s="573">
        <v>6050</v>
      </c>
      <c r="E132" s="409" t="s">
        <v>320</v>
      </c>
      <c r="F132" s="614">
        <v>10000</v>
      </c>
      <c r="G132" s="615"/>
    </row>
    <row r="133" spans="1:7" ht="32.25" customHeight="1">
      <c r="A133" s="195">
        <v>85</v>
      </c>
      <c r="B133" s="312"/>
      <c r="C133" s="324"/>
      <c r="D133" s="573">
        <v>6050</v>
      </c>
      <c r="E133" s="409" t="s">
        <v>321</v>
      </c>
      <c r="F133" s="614">
        <v>18000</v>
      </c>
      <c r="G133" s="615"/>
    </row>
    <row r="134" spans="1:7" ht="33.75" customHeight="1">
      <c r="A134" s="195">
        <v>86</v>
      </c>
      <c r="B134" s="312"/>
      <c r="C134" s="619"/>
      <c r="D134" s="573">
        <v>6050</v>
      </c>
      <c r="E134" s="409" t="s">
        <v>203</v>
      </c>
      <c r="F134" s="614">
        <f>3760327-2+1+10000+45000</f>
        <v>3815326</v>
      </c>
      <c r="G134" s="615">
        <v>0</v>
      </c>
    </row>
    <row r="135" spans="1:7" ht="33.75" customHeight="1">
      <c r="A135" s="195">
        <v>87</v>
      </c>
      <c r="B135" s="312"/>
      <c r="C135" s="619"/>
      <c r="D135" s="526">
        <v>6060</v>
      </c>
      <c r="E135" s="409" t="s">
        <v>322</v>
      </c>
      <c r="F135" s="614">
        <v>55112.23</v>
      </c>
      <c r="G135" s="615"/>
    </row>
    <row r="136" spans="1:7" ht="33.75" customHeight="1">
      <c r="A136" s="195">
        <v>88</v>
      </c>
      <c r="B136" s="312"/>
      <c r="C136" s="324"/>
      <c r="D136" s="526">
        <v>6060</v>
      </c>
      <c r="E136" s="409" t="s">
        <v>323</v>
      </c>
      <c r="F136" s="614">
        <v>18995</v>
      </c>
      <c r="G136" s="615"/>
    </row>
    <row r="137" spans="1:7" ht="30.75" customHeight="1">
      <c r="A137" s="195" t="s">
        <v>68</v>
      </c>
      <c r="B137" s="556"/>
      <c r="C137" s="557">
        <v>90095</v>
      </c>
      <c r="D137" s="558"/>
      <c r="E137" s="536" t="s">
        <v>246</v>
      </c>
      <c r="F137" s="537">
        <f>SUM(F138:F149)</f>
        <v>25120148.17</v>
      </c>
      <c r="G137" s="538">
        <f>SUM(G138:G149)</f>
        <v>5674191.52</v>
      </c>
    </row>
    <row r="138" spans="1:13" s="530" customFormat="1" ht="33" customHeight="1">
      <c r="A138" s="494">
        <v>89</v>
      </c>
      <c r="B138" s="621"/>
      <c r="C138" s="619"/>
      <c r="D138" s="526">
        <v>6010</v>
      </c>
      <c r="E138" s="546" t="s">
        <v>324</v>
      </c>
      <c r="F138" s="553">
        <f>182470-11590</f>
        <v>170880</v>
      </c>
      <c r="G138" s="554">
        <f>175999-11590</f>
        <v>164409</v>
      </c>
      <c r="I138" s="532"/>
      <c r="J138" s="532"/>
      <c r="K138" s="532"/>
      <c r="L138" s="532"/>
      <c r="M138" s="532"/>
    </row>
    <row r="139" spans="1:13" s="530" customFormat="1" ht="32.25" customHeight="1">
      <c r="A139" s="494">
        <v>90</v>
      </c>
      <c r="B139" s="621"/>
      <c r="C139" s="619"/>
      <c r="D139" s="577">
        <v>6010</v>
      </c>
      <c r="E139" s="546" t="s">
        <v>325</v>
      </c>
      <c r="F139" s="553">
        <f>328000+3892000</f>
        <v>4220000</v>
      </c>
      <c r="G139" s="554">
        <v>328000</v>
      </c>
      <c r="J139" s="532"/>
      <c r="K139" s="532"/>
      <c r="L139" s="532"/>
      <c r="M139" s="532"/>
    </row>
    <row r="140" spans="1:13" s="530" customFormat="1" ht="32.25" customHeight="1">
      <c r="A140" s="494">
        <v>91</v>
      </c>
      <c r="B140" s="621"/>
      <c r="C140" s="619"/>
      <c r="D140" s="526">
        <v>6010</v>
      </c>
      <c r="E140" s="194" t="s">
        <v>326</v>
      </c>
      <c r="F140" s="553">
        <v>72254</v>
      </c>
      <c r="G140" s="554"/>
      <c r="J140" s="532"/>
      <c r="K140" s="532"/>
      <c r="L140" s="532"/>
      <c r="M140" s="532"/>
    </row>
    <row r="141" spans="1:13" s="530" customFormat="1" ht="32.25" customHeight="1">
      <c r="A141" s="494">
        <v>92</v>
      </c>
      <c r="B141" s="621"/>
      <c r="C141" s="619"/>
      <c r="D141" s="526">
        <v>6010</v>
      </c>
      <c r="E141" s="194" t="s">
        <v>327</v>
      </c>
      <c r="F141" s="553">
        <v>107746</v>
      </c>
      <c r="G141" s="554"/>
      <c r="J141" s="532"/>
      <c r="K141" s="532"/>
      <c r="L141" s="532"/>
      <c r="M141" s="532"/>
    </row>
    <row r="142" spans="1:13" s="530" customFormat="1" ht="32.25" customHeight="1">
      <c r="A142" s="494">
        <v>93</v>
      </c>
      <c r="B142" s="621"/>
      <c r="C142" s="619"/>
      <c r="D142" s="526">
        <v>6010</v>
      </c>
      <c r="E142" s="622" t="s">
        <v>328</v>
      </c>
      <c r="F142" s="553">
        <v>48000</v>
      </c>
      <c r="G142" s="554">
        <v>11590</v>
      </c>
      <c r="J142" s="532"/>
      <c r="K142" s="532"/>
      <c r="L142" s="532"/>
      <c r="M142" s="532"/>
    </row>
    <row r="143" spans="1:13" s="530" customFormat="1" ht="27" customHeight="1">
      <c r="A143" s="494">
        <v>94</v>
      </c>
      <c r="B143" s="621"/>
      <c r="C143" s="324"/>
      <c r="D143" s="526">
        <v>6050</v>
      </c>
      <c r="E143" s="546" t="s">
        <v>329</v>
      </c>
      <c r="F143" s="553">
        <f>200000-50000</f>
        <v>150000</v>
      </c>
      <c r="G143" s="554">
        <v>0</v>
      </c>
      <c r="J143" s="532"/>
      <c r="K143" s="532"/>
      <c r="L143" s="532"/>
      <c r="M143" s="532"/>
    </row>
    <row r="144" spans="1:7" ht="25.5" customHeight="1">
      <c r="A144" s="494">
        <v>95</v>
      </c>
      <c r="B144" s="623"/>
      <c r="C144" s="624"/>
      <c r="D144" s="526">
        <v>6050</v>
      </c>
      <c r="E144" s="194" t="s">
        <v>330</v>
      </c>
      <c r="F144" s="706">
        <f>500000+1476+3600000+3307000</f>
        <v>7408476</v>
      </c>
      <c r="G144" s="554">
        <v>500000</v>
      </c>
    </row>
    <row r="145" spans="1:7" ht="45.75" customHeight="1">
      <c r="A145" s="494">
        <v>96</v>
      </c>
      <c r="B145" s="623"/>
      <c r="C145" s="556"/>
      <c r="D145" s="526">
        <v>6050</v>
      </c>
      <c r="E145" s="546" t="s">
        <v>331</v>
      </c>
      <c r="F145" s="553">
        <v>15000</v>
      </c>
      <c r="G145" s="554">
        <v>15000</v>
      </c>
    </row>
    <row r="146" spans="1:7" ht="36.75" customHeight="1">
      <c r="A146" s="494">
        <v>97</v>
      </c>
      <c r="B146" s="623"/>
      <c r="C146" s="556"/>
      <c r="D146" s="526">
        <v>6050</v>
      </c>
      <c r="E146" s="546" t="s">
        <v>332</v>
      </c>
      <c r="F146" s="553">
        <v>180000</v>
      </c>
      <c r="G146" s="554"/>
    </row>
    <row r="147" spans="1:9" ht="29.25" customHeight="1">
      <c r="A147" s="494">
        <v>98</v>
      </c>
      <c r="B147" s="623"/>
      <c r="C147" s="624"/>
      <c r="D147" s="526">
        <v>6057</v>
      </c>
      <c r="E147" s="409" t="s">
        <v>333</v>
      </c>
      <c r="F147" s="614">
        <v>7482653.84</v>
      </c>
      <c r="G147" s="615"/>
      <c r="I147" s="483"/>
    </row>
    <row r="148" spans="1:9" ht="22.5" customHeight="1">
      <c r="A148" s="494">
        <v>99</v>
      </c>
      <c r="B148" s="625"/>
      <c r="C148" s="626"/>
      <c r="D148" s="526">
        <v>6059</v>
      </c>
      <c r="E148" s="409" t="s">
        <v>333</v>
      </c>
      <c r="F148" s="614">
        <f>1320468.33+3544670</f>
        <v>4865138.33</v>
      </c>
      <c r="G148" s="615">
        <f>784794+3422398.52+88000+55000-95000</f>
        <v>4255192.52</v>
      </c>
      <c r="I148" s="483"/>
    </row>
    <row r="149" spans="1:9" ht="30.75" customHeight="1">
      <c r="A149" s="195">
        <v>100</v>
      </c>
      <c r="B149" s="625"/>
      <c r="C149" s="185"/>
      <c r="D149" s="526">
        <v>6230</v>
      </c>
      <c r="E149" s="409" t="s">
        <v>334</v>
      </c>
      <c r="F149" s="614">
        <f>600000-200000</f>
        <v>400000</v>
      </c>
      <c r="G149" s="615">
        <f>600000-200000</f>
        <v>400000</v>
      </c>
      <c r="I149" s="483"/>
    </row>
    <row r="150" spans="1:13" s="601" customFormat="1" ht="27.75" customHeight="1">
      <c r="A150" s="397"/>
      <c r="B150" s="627">
        <v>921</v>
      </c>
      <c r="C150" s="627"/>
      <c r="D150" s="397"/>
      <c r="E150" s="628" t="s">
        <v>118</v>
      </c>
      <c r="F150" s="629">
        <f>F151</f>
        <v>1166543.9</v>
      </c>
      <c r="G150" s="630">
        <f>G151</f>
        <v>652000</v>
      </c>
      <c r="J150" s="602"/>
      <c r="K150" s="602"/>
      <c r="L150" s="602"/>
      <c r="M150" s="602"/>
    </row>
    <row r="151" spans="1:13" s="595" customFormat="1" ht="27" customHeight="1">
      <c r="A151" s="631" t="s">
        <v>68</v>
      </c>
      <c r="B151" s="632"/>
      <c r="C151" s="633">
        <v>92109</v>
      </c>
      <c r="D151" s="634"/>
      <c r="E151" s="616" t="s">
        <v>335</v>
      </c>
      <c r="F151" s="635">
        <f>SUM(F152:F155)</f>
        <v>1166543.9</v>
      </c>
      <c r="G151" s="636">
        <f>SUM(G152:G155)</f>
        <v>652000</v>
      </c>
      <c r="J151" s="596"/>
      <c r="K151" s="596"/>
      <c r="L151" s="596"/>
      <c r="M151" s="596"/>
    </row>
    <row r="152" spans="1:7" ht="35.25" customHeight="1">
      <c r="A152" s="195">
        <v>101</v>
      </c>
      <c r="B152" s="625"/>
      <c r="C152" s="637"/>
      <c r="D152" s="577">
        <v>6050</v>
      </c>
      <c r="E152" s="409" t="s">
        <v>336</v>
      </c>
      <c r="F152" s="614">
        <f>1428930-574386.1+262000-55000</f>
        <v>1061543.9</v>
      </c>
      <c r="G152" s="615">
        <f>700000-350000+262000-55000</f>
        <v>557000</v>
      </c>
    </row>
    <row r="153" spans="1:7" ht="34.5" customHeight="1">
      <c r="A153" s="195">
        <v>102</v>
      </c>
      <c r="B153" s="625"/>
      <c r="C153" s="185"/>
      <c r="D153" s="577">
        <v>6220</v>
      </c>
      <c r="E153" s="409" t="s">
        <v>337</v>
      </c>
      <c r="F153" s="614">
        <v>10000</v>
      </c>
      <c r="G153" s="615"/>
    </row>
    <row r="154" spans="1:7" ht="34.5" customHeight="1">
      <c r="A154" s="494">
        <v>103</v>
      </c>
      <c r="B154" s="625"/>
      <c r="C154" s="185"/>
      <c r="D154" s="594">
        <v>6220</v>
      </c>
      <c r="E154" s="409" t="s">
        <v>170</v>
      </c>
      <c r="F154" s="614">
        <v>95000</v>
      </c>
      <c r="G154" s="615">
        <v>95000</v>
      </c>
    </row>
    <row r="155" spans="1:7" ht="40.5" customHeight="1">
      <c r="A155" s="494">
        <v>104</v>
      </c>
      <c r="B155" s="625"/>
      <c r="C155" s="185"/>
      <c r="D155" s="494">
        <v>6220</v>
      </c>
      <c r="E155" s="578" t="s">
        <v>338</v>
      </c>
      <c r="F155" s="614">
        <f>574386.1-574386.1</f>
        <v>0</v>
      </c>
      <c r="G155" s="615">
        <f>350000-350000</f>
        <v>0</v>
      </c>
    </row>
    <row r="156" spans="1:13" s="601" customFormat="1" ht="30.75" customHeight="1">
      <c r="A156" s="397"/>
      <c r="B156" s="638">
        <v>926</v>
      </c>
      <c r="C156" s="627"/>
      <c r="D156" s="397"/>
      <c r="E156" s="639" t="s">
        <v>339</v>
      </c>
      <c r="F156" s="640">
        <f>F157+F160</f>
        <v>612000</v>
      </c>
      <c r="G156" s="641"/>
      <c r="J156" s="602"/>
      <c r="K156" s="602"/>
      <c r="L156" s="602"/>
      <c r="M156" s="602"/>
    </row>
    <row r="157" spans="1:13" s="595" customFormat="1" ht="27.75" customHeight="1">
      <c r="A157" s="642"/>
      <c r="B157" s="632"/>
      <c r="C157" s="633">
        <v>92601</v>
      </c>
      <c r="D157" s="583"/>
      <c r="E157" s="536" t="s">
        <v>340</v>
      </c>
      <c r="F157" s="617">
        <f>SUM(F158:F159)</f>
        <v>170000</v>
      </c>
      <c r="G157" s="618"/>
      <c r="J157" s="596"/>
      <c r="K157" s="596"/>
      <c r="L157" s="596"/>
      <c r="M157" s="596"/>
    </row>
    <row r="158" spans="1:13" s="601" customFormat="1" ht="30.75" customHeight="1">
      <c r="A158" s="506">
        <v>105</v>
      </c>
      <c r="B158" s="643"/>
      <c r="C158" s="627"/>
      <c r="D158" s="577">
        <v>6050</v>
      </c>
      <c r="E158" s="578" t="s">
        <v>341</v>
      </c>
      <c r="F158" s="614">
        <v>60000</v>
      </c>
      <c r="G158" s="641"/>
      <c r="J158" s="602"/>
      <c r="K158" s="602"/>
      <c r="L158" s="602"/>
      <c r="M158" s="602"/>
    </row>
    <row r="159" spans="1:13" s="601" customFormat="1" ht="30.75" customHeight="1">
      <c r="A159" s="506">
        <v>106</v>
      </c>
      <c r="B159" s="643"/>
      <c r="C159" s="627"/>
      <c r="D159" s="577">
        <v>6050</v>
      </c>
      <c r="E159" s="578" t="s">
        <v>342</v>
      </c>
      <c r="F159" s="614">
        <v>110000</v>
      </c>
      <c r="G159" s="641"/>
      <c r="J159" s="602"/>
      <c r="K159" s="602"/>
      <c r="L159" s="602"/>
      <c r="M159" s="602"/>
    </row>
    <row r="160" spans="1:7" ht="29.25" customHeight="1">
      <c r="A160" s="506"/>
      <c r="B160" s="625"/>
      <c r="C160" s="346">
        <v>92604</v>
      </c>
      <c r="D160" s="195"/>
      <c r="E160" s="574" t="s">
        <v>343</v>
      </c>
      <c r="F160" s="614">
        <f>SUM(F161:F163)</f>
        <v>442000</v>
      </c>
      <c r="G160" s="615"/>
    </row>
    <row r="161" spans="1:7" ht="23.25" customHeight="1">
      <c r="A161" s="195">
        <v>107</v>
      </c>
      <c r="B161" s="625"/>
      <c r="C161" s="185"/>
      <c r="D161" s="577">
        <v>6050</v>
      </c>
      <c r="E161" s="578" t="s">
        <v>344</v>
      </c>
      <c r="F161" s="614">
        <v>180000</v>
      </c>
      <c r="G161" s="615"/>
    </row>
    <row r="162" spans="1:7" ht="23.25" customHeight="1">
      <c r="A162" s="195">
        <v>108</v>
      </c>
      <c r="B162" s="625"/>
      <c r="C162" s="185"/>
      <c r="D162" s="577">
        <v>6050</v>
      </c>
      <c r="E162" s="578" t="s">
        <v>345</v>
      </c>
      <c r="F162" s="614">
        <v>150000</v>
      </c>
      <c r="G162" s="615"/>
    </row>
    <row r="163" spans="1:7" ht="24" customHeight="1">
      <c r="A163" s="195">
        <v>109</v>
      </c>
      <c r="B163" s="625"/>
      <c r="C163" s="185"/>
      <c r="D163" s="195">
        <v>6060</v>
      </c>
      <c r="E163" s="574" t="s">
        <v>346</v>
      </c>
      <c r="F163" s="614">
        <v>112000</v>
      </c>
      <c r="G163" s="615"/>
    </row>
    <row r="164" spans="1:10" ht="30" customHeight="1">
      <c r="A164" s="195"/>
      <c r="B164" s="644" t="s">
        <v>347</v>
      </c>
      <c r="C164" s="645"/>
      <c r="D164" s="577"/>
      <c r="E164" s="646"/>
      <c r="F164" s="522">
        <f>F165+F178+F186+F189+F192+F182+F202+F206</f>
        <v>14815150</v>
      </c>
      <c r="G164" s="522">
        <f>G165+G178+G186+G189+G192+G182+G202+G206</f>
        <v>0</v>
      </c>
      <c r="J164" s="514"/>
    </row>
    <row r="165" spans="1:10" ht="26.25" customHeight="1">
      <c r="A165" s="397"/>
      <c r="B165" s="247">
        <v>600</v>
      </c>
      <c r="C165" s="251"/>
      <c r="D165" s="393"/>
      <c r="E165" s="548" t="s">
        <v>160</v>
      </c>
      <c r="F165" s="549">
        <f>F166</f>
        <v>12365850</v>
      </c>
      <c r="G165" s="550">
        <f>G166</f>
        <v>0</v>
      </c>
      <c r="J165" s="523"/>
    </row>
    <row r="166" spans="1:7" ht="27" customHeight="1">
      <c r="A166" s="195"/>
      <c r="B166" s="551"/>
      <c r="C166" s="557">
        <v>60015</v>
      </c>
      <c r="D166" s="535"/>
      <c r="E166" s="536" t="s">
        <v>348</v>
      </c>
      <c r="F166" s="537">
        <f>SUM(F167:F177)</f>
        <v>12365850</v>
      </c>
      <c r="G166" s="538">
        <f>SUM(G167:G177)</f>
        <v>0</v>
      </c>
    </row>
    <row r="167" spans="1:13" s="561" customFormat="1" ht="23.25" customHeight="1">
      <c r="A167" s="195">
        <v>110</v>
      </c>
      <c r="B167" s="312"/>
      <c r="C167" s="619"/>
      <c r="D167" s="526">
        <v>6050</v>
      </c>
      <c r="E167" s="578" t="s">
        <v>349</v>
      </c>
      <c r="F167" s="647">
        <f>3700000-3650000</f>
        <v>50000</v>
      </c>
      <c r="G167" s="615">
        <v>0</v>
      </c>
      <c r="J167" s="562"/>
      <c r="K167" s="562"/>
      <c r="L167" s="562"/>
      <c r="M167" s="562"/>
    </row>
    <row r="168" spans="1:13" s="561" customFormat="1" ht="27.75" customHeight="1">
      <c r="A168" s="195">
        <v>111</v>
      </c>
      <c r="B168" s="312"/>
      <c r="C168" s="619"/>
      <c r="D168" s="526">
        <v>6050</v>
      </c>
      <c r="E168" s="546" t="s">
        <v>350</v>
      </c>
      <c r="F168" s="528">
        <f>5000+500000</f>
        <v>505000</v>
      </c>
      <c r="G168" s="529">
        <v>0</v>
      </c>
      <c r="J168" s="562"/>
      <c r="K168" s="562"/>
      <c r="L168" s="562"/>
      <c r="M168" s="562"/>
    </row>
    <row r="169" spans="1:13" s="561" customFormat="1" ht="27.75" customHeight="1">
      <c r="A169" s="195">
        <v>112</v>
      </c>
      <c r="B169" s="312"/>
      <c r="C169" s="648"/>
      <c r="D169" s="526">
        <v>6050</v>
      </c>
      <c r="E169" s="546" t="s">
        <v>351</v>
      </c>
      <c r="F169" s="528">
        <v>64000</v>
      </c>
      <c r="G169" s="529"/>
      <c r="J169" s="562"/>
      <c r="K169" s="562"/>
      <c r="L169" s="562"/>
      <c r="M169" s="562"/>
    </row>
    <row r="170" spans="1:13" s="561" customFormat="1" ht="27.75" customHeight="1">
      <c r="A170" s="195">
        <v>113</v>
      </c>
      <c r="B170" s="312"/>
      <c r="C170" s="648"/>
      <c r="D170" s="526">
        <v>6050</v>
      </c>
      <c r="E170" s="546" t="s">
        <v>352</v>
      </c>
      <c r="F170" s="528">
        <v>18450</v>
      </c>
      <c r="G170" s="529"/>
      <c r="J170" s="562"/>
      <c r="K170" s="562"/>
      <c r="L170" s="562"/>
      <c r="M170" s="562"/>
    </row>
    <row r="171" spans="1:13" s="561" customFormat="1" ht="40.5" customHeight="1">
      <c r="A171" s="195">
        <v>114</v>
      </c>
      <c r="B171" s="312"/>
      <c r="C171" s="648"/>
      <c r="D171" s="526">
        <v>6050</v>
      </c>
      <c r="E171" s="546" t="s">
        <v>353</v>
      </c>
      <c r="F171" s="528">
        <v>3000</v>
      </c>
      <c r="G171" s="529"/>
      <c r="J171" s="562"/>
      <c r="K171" s="562"/>
      <c r="L171" s="562"/>
      <c r="M171" s="562"/>
    </row>
    <row r="172" spans="1:13" s="561" customFormat="1" ht="32.25" customHeight="1">
      <c r="A172" s="195">
        <v>115</v>
      </c>
      <c r="B172" s="312"/>
      <c r="C172" s="648"/>
      <c r="D172" s="526">
        <v>6050</v>
      </c>
      <c r="E172" s="546" t="s">
        <v>354</v>
      </c>
      <c r="F172" s="528">
        <v>103000</v>
      </c>
      <c r="G172" s="529"/>
      <c r="J172" s="562"/>
      <c r="K172" s="562"/>
      <c r="L172" s="562"/>
      <c r="M172" s="562"/>
    </row>
    <row r="173" spans="1:13" s="561" customFormat="1" ht="33.75" customHeight="1">
      <c r="A173" s="195">
        <v>116</v>
      </c>
      <c r="B173" s="312"/>
      <c r="C173" s="648"/>
      <c r="D173" s="526">
        <v>6050</v>
      </c>
      <c r="E173" s="546" t="s">
        <v>355</v>
      </c>
      <c r="F173" s="528">
        <v>25000</v>
      </c>
      <c r="G173" s="529"/>
      <c r="J173" s="562"/>
      <c r="K173" s="562"/>
      <c r="L173" s="562"/>
      <c r="M173" s="562"/>
    </row>
    <row r="174" spans="1:13" s="561" customFormat="1" ht="27" customHeight="1">
      <c r="A174" s="195">
        <v>117</v>
      </c>
      <c r="B174" s="312"/>
      <c r="C174" s="648"/>
      <c r="D174" s="526">
        <v>6050</v>
      </c>
      <c r="E174" s="546" t="s">
        <v>356</v>
      </c>
      <c r="F174" s="528">
        <v>119400</v>
      </c>
      <c r="G174" s="529"/>
      <c r="J174" s="562"/>
      <c r="K174" s="562"/>
      <c r="L174" s="562"/>
      <c r="M174" s="562"/>
    </row>
    <row r="175" spans="1:13" s="561" customFormat="1" ht="24.75" customHeight="1">
      <c r="A175" s="195">
        <v>118</v>
      </c>
      <c r="B175" s="312"/>
      <c r="C175" s="648"/>
      <c r="D175" s="526">
        <v>6050</v>
      </c>
      <c r="E175" s="546" t="s">
        <v>357</v>
      </c>
      <c r="F175" s="528">
        <v>400000</v>
      </c>
      <c r="G175" s="529"/>
      <c r="J175" s="562"/>
      <c r="K175" s="562"/>
      <c r="L175" s="562"/>
      <c r="M175" s="562"/>
    </row>
    <row r="176" spans="1:13" s="561" customFormat="1" ht="24.75" customHeight="1">
      <c r="A176" s="195">
        <v>119</v>
      </c>
      <c r="B176" s="312"/>
      <c r="C176" s="648"/>
      <c r="D176" s="526">
        <v>6050</v>
      </c>
      <c r="E176" s="546" t="s">
        <v>358</v>
      </c>
      <c r="F176" s="528">
        <v>50000</v>
      </c>
      <c r="G176" s="529"/>
      <c r="J176" s="562"/>
      <c r="K176" s="562"/>
      <c r="L176" s="562"/>
      <c r="M176" s="562"/>
    </row>
    <row r="177" spans="1:13" s="561" customFormat="1" ht="23.25" customHeight="1">
      <c r="A177" s="195">
        <v>120</v>
      </c>
      <c r="B177" s="312"/>
      <c r="C177" s="324"/>
      <c r="D177" s="526">
        <v>6050</v>
      </c>
      <c r="E177" s="649" t="s">
        <v>359</v>
      </c>
      <c r="F177" s="615">
        <f>5000000+6528000-500000</f>
        <v>11028000</v>
      </c>
      <c r="G177" s="615"/>
      <c r="J177" s="562"/>
      <c r="K177" s="562"/>
      <c r="L177" s="562"/>
      <c r="M177" s="562"/>
    </row>
    <row r="178" spans="1:13" s="651" customFormat="1" ht="22.5" customHeight="1">
      <c r="A178" s="397"/>
      <c r="B178" s="605">
        <v>630</v>
      </c>
      <c r="C178" s="251"/>
      <c r="D178" s="385"/>
      <c r="E178" s="650" t="s">
        <v>119</v>
      </c>
      <c r="F178" s="630">
        <f>F179</f>
        <v>221000</v>
      </c>
      <c r="G178" s="630">
        <f>G179</f>
        <v>0</v>
      </c>
      <c r="J178" s="652"/>
      <c r="K178" s="652"/>
      <c r="L178" s="652"/>
      <c r="M178" s="652"/>
    </row>
    <row r="179" spans="1:13" s="655" customFormat="1" ht="21" customHeight="1">
      <c r="A179" s="631"/>
      <c r="B179" s="603"/>
      <c r="C179" s="557">
        <v>63095</v>
      </c>
      <c r="D179" s="653"/>
      <c r="E179" s="654" t="s">
        <v>246</v>
      </c>
      <c r="F179" s="636">
        <f>SUM(F180:F181)</f>
        <v>221000</v>
      </c>
      <c r="G179" s="636">
        <f>SUM(G181:G181)</f>
        <v>0</v>
      </c>
      <c r="J179" s="656"/>
      <c r="K179" s="656"/>
      <c r="L179" s="656"/>
      <c r="M179" s="656"/>
    </row>
    <row r="180" spans="1:19" s="659" customFormat="1" ht="30" customHeight="1">
      <c r="A180" s="501">
        <v>121</v>
      </c>
      <c r="B180" s="312"/>
      <c r="C180" s="619"/>
      <c r="D180" s="657">
        <v>6050</v>
      </c>
      <c r="E180" s="578" t="s">
        <v>360</v>
      </c>
      <c r="F180" s="658">
        <v>220000</v>
      </c>
      <c r="G180" s="658"/>
      <c r="J180" s="660"/>
      <c r="K180" s="660"/>
      <c r="L180" s="660"/>
      <c r="M180" s="660"/>
      <c r="S180" s="660"/>
    </row>
    <row r="181" spans="1:13" s="561" customFormat="1" ht="28.5" customHeight="1">
      <c r="A181" s="195">
        <v>122</v>
      </c>
      <c r="B181" s="312"/>
      <c r="C181" s="619"/>
      <c r="D181" s="526">
        <v>6050</v>
      </c>
      <c r="E181" s="578" t="s">
        <v>361</v>
      </c>
      <c r="F181" s="615">
        <v>1000</v>
      </c>
      <c r="G181" s="615">
        <v>0</v>
      </c>
      <c r="I181" s="562"/>
      <c r="J181" s="562"/>
      <c r="K181" s="562"/>
      <c r="L181" s="562"/>
      <c r="M181" s="562"/>
    </row>
    <row r="182" spans="1:13" s="561" customFormat="1" ht="22.5" customHeight="1">
      <c r="A182" s="195"/>
      <c r="B182" s="605">
        <v>710</v>
      </c>
      <c r="C182" s="251"/>
      <c r="D182" s="385"/>
      <c r="E182" s="650" t="s">
        <v>362</v>
      </c>
      <c r="F182" s="630">
        <f>F183</f>
        <v>105000</v>
      </c>
      <c r="G182" s="630">
        <f>G183</f>
        <v>0</v>
      </c>
      <c r="I182" s="562"/>
      <c r="J182" s="562"/>
      <c r="K182" s="562"/>
      <c r="L182" s="562"/>
      <c r="M182" s="562"/>
    </row>
    <row r="183" spans="1:13" s="561" customFormat="1" ht="27" customHeight="1">
      <c r="A183" s="195"/>
      <c r="B183" s="603"/>
      <c r="C183" s="557">
        <v>71012</v>
      </c>
      <c r="D183" s="653"/>
      <c r="E183" s="654" t="s">
        <v>363</v>
      </c>
      <c r="F183" s="636">
        <f>SUM(F184:F185)</f>
        <v>105000</v>
      </c>
      <c r="G183" s="636">
        <f>SUM(G185:G185)</f>
        <v>0</v>
      </c>
      <c r="I183" s="562"/>
      <c r="J183" s="562"/>
      <c r="K183" s="562"/>
      <c r="L183" s="562"/>
      <c r="M183" s="562"/>
    </row>
    <row r="184" spans="1:13" s="659" customFormat="1" ht="36" customHeight="1">
      <c r="A184" s="195">
        <v>123</v>
      </c>
      <c r="B184" s="312"/>
      <c r="C184" s="324"/>
      <c r="D184" s="657">
        <v>6050</v>
      </c>
      <c r="E184" s="661" t="s">
        <v>364</v>
      </c>
      <c r="F184" s="658">
        <v>60000</v>
      </c>
      <c r="G184" s="658"/>
      <c r="I184" s="660"/>
      <c r="J184" s="660"/>
      <c r="K184" s="660"/>
      <c r="L184" s="660"/>
      <c r="M184" s="660"/>
    </row>
    <row r="185" spans="1:13" s="561" customFormat="1" ht="24.75" customHeight="1">
      <c r="A185" s="195">
        <v>124</v>
      </c>
      <c r="B185" s="312"/>
      <c r="C185" s="324"/>
      <c r="D185" s="526">
        <v>6060</v>
      </c>
      <c r="E185" s="578" t="s">
        <v>365</v>
      </c>
      <c r="F185" s="615">
        <v>45000</v>
      </c>
      <c r="G185" s="615">
        <v>0</v>
      </c>
      <c r="I185" s="562"/>
      <c r="J185" s="562"/>
      <c r="K185" s="562"/>
      <c r="L185" s="562"/>
      <c r="M185" s="562"/>
    </row>
    <row r="186" spans="1:13" s="47" customFormat="1" ht="24" customHeight="1">
      <c r="A186" s="397"/>
      <c r="B186" s="251">
        <v>754</v>
      </c>
      <c r="C186" s="251"/>
      <c r="D186" s="397"/>
      <c r="E186" s="589" t="s">
        <v>258</v>
      </c>
      <c r="F186" s="550">
        <f>F187</f>
        <v>400000</v>
      </c>
      <c r="G186" s="550">
        <f>G187</f>
        <v>0</v>
      </c>
      <c r="J186" s="662"/>
      <c r="K186" s="662"/>
      <c r="L186" s="3"/>
      <c r="M186" s="3"/>
    </row>
    <row r="187" spans="1:13" s="47" customFormat="1" ht="24" customHeight="1">
      <c r="A187" s="195"/>
      <c r="B187" s="556"/>
      <c r="C187" s="557">
        <v>75411</v>
      </c>
      <c r="D187" s="634"/>
      <c r="E187" s="566" t="s">
        <v>366</v>
      </c>
      <c r="F187" s="538">
        <f>SUM(F188:F188)</f>
        <v>400000</v>
      </c>
      <c r="G187" s="538">
        <f>SUM(G188:G188)</f>
        <v>0</v>
      </c>
      <c r="I187" s="662"/>
      <c r="J187" s="662"/>
      <c r="K187" s="662"/>
      <c r="L187" s="3"/>
      <c r="M187" s="3"/>
    </row>
    <row r="188" spans="1:13" s="47" customFormat="1" ht="58.5" customHeight="1">
      <c r="A188" s="494">
        <v>125</v>
      </c>
      <c r="B188" s="324"/>
      <c r="C188" s="524"/>
      <c r="D188" s="594">
        <v>6050</v>
      </c>
      <c r="E188" s="546" t="s">
        <v>367</v>
      </c>
      <c r="F188" s="554">
        <v>400000</v>
      </c>
      <c r="G188" s="554">
        <v>0</v>
      </c>
      <c r="I188" s="662"/>
      <c r="J188" s="662"/>
      <c r="K188" s="662"/>
      <c r="L188" s="3"/>
      <c r="M188" s="3"/>
    </row>
    <row r="189" spans="1:7" ht="21" customHeight="1">
      <c r="A189" s="397"/>
      <c r="B189" s="251">
        <v>758</v>
      </c>
      <c r="C189" s="251"/>
      <c r="D189" s="393"/>
      <c r="E189" s="548" t="s">
        <v>262</v>
      </c>
      <c r="F189" s="549">
        <f>F190</f>
        <v>187200</v>
      </c>
      <c r="G189" s="550">
        <f>G190</f>
        <v>0</v>
      </c>
    </row>
    <row r="190" spans="1:7" ht="22.5" customHeight="1">
      <c r="A190" s="501"/>
      <c r="B190" s="586"/>
      <c r="C190" s="587">
        <v>75818</v>
      </c>
      <c r="D190" s="558"/>
      <c r="E190" s="566" t="s">
        <v>263</v>
      </c>
      <c r="F190" s="567">
        <f>F191</f>
        <v>187200</v>
      </c>
      <c r="G190" s="568">
        <f>G191</f>
        <v>0</v>
      </c>
    </row>
    <row r="191" spans="1:9" ht="21.75" customHeight="1">
      <c r="A191" s="501"/>
      <c r="B191" s="298"/>
      <c r="C191" s="524"/>
      <c r="D191" s="577">
        <v>6800</v>
      </c>
      <c r="E191" s="588" t="s">
        <v>264</v>
      </c>
      <c r="F191" s="705">
        <f>658000-500000+80500-16200-8100-50000+600000-300000-277000</f>
        <v>187200</v>
      </c>
      <c r="G191" s="529">
        <f>500000-500000</f>
        <v>0</v>
      </c>
      <c r="I191" s="483"/>
    </row>
    <row r="192" spans="1:7" ht="24.75" customHeight="1">
      <c r="A192" s="494"/>
      <c r="B192" s="247">
        <v>801</v>
      </c>
      <c r="C192" s="251"/>
      <c r="D192" s="397"/>
      <c r="E192" s="582" t="s">
        <v>80</v>
      </c>
      <c r="F192" s="549">
        <f>F193+F198</f>
        <v>126000</v>
      </c>
      <c r="G192" s="550">
        <f>G193+G198</f>
        <v>0</v>
      </c>
    </row>
    <row r="193" spans="1:13" s="595" customFormat="1" ht="25.5" customHeight="1">
      <c r="A193" s="663"/>
      <c r="B193" s="551"/>
      <c r="C193" s="590">
        <v>80120</v>
      </c>
      <c r="D193" s="583"/>
      <c r="E193" s="584" t="s">
        <v>368</v>
      </c>
      <c r="F193" s="537">
        <f>SUM(F194:F197)</f>
        <v>101953</v>
      </c>
      <c r="G193" s="538">
        <f>SUM(G194:G197)</f>
        <v>0</v>
      </c>
      <c r="J193" s="596"/>
      <c r="K193" s="596"/>
      <c r="L193" s="596"/>
      <c r="M193" s="596"/>
    </row>
    <row r="194" spans="1:13" s="530" customFormat="1" ht="24.75" customHeight="1">
      <c r="A194" s="195">
        <v>126</v>
      </c>
      <c r="B194" s="312"/>
      <c r="C194" s="321"/>
      <c r="D194" s="573">
        <v>6050</v>
      </c>
      <c r="E194" s="569" t="s">
        <v>369</v>
      </c>
      <c r="F194" s="553">
        <v>45000</v>
      </c>
      <c r="G194" s="554">
        <v>0</v>
      </c>
      <c r="J194" s="532"/>
      <c r="K194" s="532"/>
      <c r="L194" s="532"/>
      <c r="M194" s="532"/>
    </row>
    <row r="195" spans="1:13" s="530" customFormat="1" ht="24" customHeight="1">
      <c r="A195" s="195">
        <v>127</v>
      </c>
      <c r="B195" s="312"/>
      <c r="C195" s="324"/>
      <c r="D195" s="592">
        <v>6050</v>
      </c>
      <c r="E195" s="194" t="s">
        <v>370</v>
      </c>
      <c r="F195" s="553">
        <v>50000</v>
      </c>
      <c r="G195" s="554">
        <v>0</v>
      </c>
      <c r="J195" s="532"/>
      <c r="K195" s="532"/>
      <c r="L195" s="532"/>
      <c r="M195" s="532"/>
    </row>
    <row r="196" spans="1:13" s="530" customFormat="1" ht="27.75" customHeight="1">
      <c r="A196" s="195">
        <v>128</v>
      </c>
      <c r="B196" s="312"/>
      <c r="C196" s="324"/>
      <c r="D196" s="592">
        <v>6060</v>
      </c>
      <c r="E196" s="194" t="s">
        <v>371</v>
      </c>
      <c r="F196" s="553">
        <v>1953</v>
      </c>
      <c r="G196" s="554">
        <v>0</v>
      </c>
      <c r="J196" s="532"/>
      <c r="K196" s="532"/>
      <c r="L196" s="532"/>
      <c r="M196" s="532"/>
    </row>
    <row r="197" spans="1:13" s="530" customFormat="1" ht="24.75" customHeight="1">
      <c r="A197" s="195">
        <v>129</v>
      </c>
      <c r="B197" s="312"/>
      <c r="C197" s="525"/>
      <c r="D197" s="573">
        <v>6060</v>
      </c>
      <c r="E197" s="569" t="s">
        <v>372</v>
      </c>
      <c r="F197" s="553">
        <v>5000</v>
      </c>
      <c r="G197" s="554">
        <v>0</v>
      </c>
      <c r="J197" s="532"/>
      <c r="K197" s="532"/>
      <c r="L197" s="532"/>
      <c r="M197" s="532"/>
    </row>
    <row r="198" spans="1:13" s="530" customFormat="1" ht="20.25" customHeight="1">
      <c r="A198" s="195"/>
      <c r="B198" s="524"/>
      <c r="C198" s="533">
        <v>80130</v>
      </c>
      <c r="D198" s="583"/>
      <c r="E198" s="584" t="s">
        <v>373</v>
      </c>
      <c r="F198" s="537">
        <f>SUM(F199:F201)</f>
        <v>24047</v>
      </c>
      <c r="G198" s="538">
        <f>SUM(G199:G201)</f>
        <v>0</v>
      </c>
      <c r="J198" s="532"/>
      <c r="K198" s="532"/>
      <c r="L198" s="532"/>
      <c r="M198" s="532"/>
    </row>
    <row r="199" spans="1:13" s="530" customFormat="1" ht="29.25" customHeight="1">
      <c r="A199" s="195">
        <v>130</v>
      </c>
      <c r="B199" s="621"/>
      <c r="C199" s="551"/>
      <c r="D199" s="592">
        <v>6060</v>
      </c>
      <c r="E199" s="194" t="s">
        <v>374</v>
      </c>
      <c r="F199" s="553">
        <v>6000</v>
      </c>
      <c r="G199" s="554">
        <v>0</v>
      </c>
      <c r="J199" s="532"/>
      <c r="K199" s="532"/>
      <c r="L199" s="532"/>
      <c r="M199" s="532"/>
    </row>
    <row r="200" spans="1:13" s="530" customFormat="1" ht="34.5" customHeight="1">
      <c r="A200" s="195">
        <v>131</v>
      </c>
      <c r="B200" s="621"/>
      <c r="C200" s="556"/>
      <c r="D200" s="592">
        <v>6060</v>
      </c>
      <c r="E200" s="194" t="s">
        <v>371</v>
      </c>
      <c r="F200" s="553">
        <v>8047</v>
      </c>
      <c r="G200" s="554">
        <v>0</v>
      </c>
      <c r="J200" s="532"/>
      <c r="K200" s="532"/>
      <c r="L200" s="532"/>
      <c r="M200" s="532"/>
    </row>
    <row r="201" spans="1:13" s="530" customFormat="1" ht="26.25" customHeight="1">
      <c r="A201" s="195">
        <v>132</v>
      </c>
      <c r="B201" s="621"/>
      <c r="C201" s="525"/>
      <c r="D201" s="592">
        <v>6060</v>
      </c>
      <c r="E201" s="194" t="s">
        <v>375</v>
      </c>
      <c r="F201" s="553">
        <v>10000</v>
      </c>
      <c r="G201" s="554">
        <v>0</v>
      </c>
      <c r="J201" s="532"/>
      <c r="K201" s="532"/>
      <c r="L201" s="532"/>
      <c r="M201" s="532"/>
    </row>
    <row r="202" spans="1:13" s="601" customFormat="1" ht="25.5" customHeight="1">
      <c r="A202" s="397"/>
      <c r="B202" s="251">
        <v>854</v>
      </c>
      <c r="C202" s="664"/>
      <c r="D202" s="393"/>
      <c r="E202" s="665" t="s">
        <v>120</v>
      </c>
      <c r="F202" s="549">
        <f>F203</f>
        <v>65300</v>
      </c>
      <c r="G202" s="550">
        <f>G203</f>
        <v>0</v>
      </c>
      <c r="J202" s="602"/>
      <c r="K202" s="602"/>
      <c r="L202" s="602"/>
      <c r="M202" s="602"/>
    </row>
    <row r="203" spans="1:13" s="595" customFormat="1" ht="24.75" customHeight="1">
      <c r="A203" s="583"/>
      <c r="B203" s="533"/>
      <c r="C203" s="552">
        <v>85403</v>
      </c>
      <c r="D203" s="666"/>
      <c r="E203" s="667" t="s">
        <v>376</v>
      </c>
      <c r="F203" s="537">
        <f>F204+F205</f>
        <v>65300</v>
      </c>
      <c r="G203" s="538">
        <f>G205</f>
        <v>0</v>
      </c>
      <c r="J203" s="596"/>
      <c r="K203" s="596"/>
      <c r="L203" s="596"/>
      <c r="M203" s="596"/>
    </row>
    <row r="204" spans="1:13" s="530" customFormat="1" ht="24.75" customHeight="1">
      <c r="A204" s="195">
        <v>133</v>
      </c>
      <c r="B204" s="524"/>
      <c r="C204" s="609"/>
      <c r="D204" s="668">
        <v>6060</v>
      </c>
      <c r="E204" s="669" t="s">
        <v>377</v>
      </c>
      <c r="F204" s="553">
        <v>53000</v>
      </c>
      <c r="G204" s="554"/>
      <c r="J204" s="532"/>
      <c r="K204" s="532"/>
      <c r="L204" s="532"/>
      <c r="M204" s="532"/>
    </row>
    <row r="205" spans="1:13" s="530" customFormat="1" ht="24" customHeight="1">
      <c r="A205" s="195">
        <v>134</v>
      </c>
      <c r="B205" s="524"/>
      <c r="C205" s="609"/>
      <c r="D205" s="195">
        <v>6060</v>
      </c>
      <c r="E205" s="194" t="s">
        <v>378</v>
      </c>
      <c r="F205" s="553">
        <v>12300</v>
      </c>
      <c r="G205" s="554">
        <v>0</v>
      </c>
      <c r="J205" s="532"/>
      <c r="K205" s="532"/>
      <c r="L205" s="532"/>
      <c r="M205" s="532"/>
    </row>
    <row r="206" spans="1:7" ht="20.25" customHeight="1">
      <c r="A206" s="397"/>
      <c r="B206" s="251">
        <v>926</v>
      </c>
      <c r="C206" s="251"/>
      <c r="D206" s="393"/>
      <c r="E206" s="548" t="s">
        <v>379</v>
      </c>
      <c r="F206" s="549">
        <f>F207</f>
        <v>1344800</v>
      </c>
      <c r="G206" s="550">
        <f>G207</f>
        <v>0</v>
      </c>
    </row>
    <row r="207" spans="1:7" ht="24" customHeight="1">
      <c r="A207" s="670"/>
      <c r="B207" s="586"/>
      <c r="C207" s="587">
        <v>92601</v>
      </c>
      <c r="D207" s="558"/>
      <c r="E207" s="536" t="s">
        <v>340</v>
      </c>
      <c r="F207" s="537">
        <f>SUM(F208:F208)</f>
        <v>1344800</v>
      </c>
      <c r="G207" s="538">
        <f>SUM(G208:G208)</f>
        <v>0</v>
      </c>
    </row>
    <row r="208" spans="1:7" ht="29.25" customHeight="1">
      <c r="A208" s="671">
        <v>135</v>
      </c>
      <c r="B208" s="333"/>
      <c r="C208" s="559"/>
      <c r="D208" s="594">
        <v>6050</v>
      </c>
      <c r="E208" s="194" t="s">
        <v>380</v>
      </c>
      <c r="F208" s="553">
        <v>1344800</v>
      </c>
      <c r="G208" s="554">
        <v>0</v>
      </c>
    </row>
    <row r="209" spans="1:10" ht="28.5" customHeight="1">
      <c r="A209" s="397"/>
      <c r="B209" s="672" t="s">
        <v>77</v>
      </c>
      <c r="C209" s="638"/>
      <c r="D209" s="396"/>
      <c r="E209" s="673"/>
      <c r="F209" s="522">
        <f>F14+F164</f>
        <v>63682012.23</v>
      </c>
      <c r="G209" s="522">
        <f>G14+G164</f>
        <v>8868191.52</v>
      </c>
      <c r="I209" s="514"/>
      <c r="J209" s="514"/>
    </row>
    <row r="210" spans="1:10" ht="21.75" customHeight="1">
      <c r="A210" s="481"/>
      <c r="B210" s="674"/>
      <c r="C210" s="674"/>
      <c r="D210" s="481"/>
      <c r="F210" s="675"/>
      <c r="G210" s="675"/>
      <c r="I210" s="523"/>
      <c r="J210" s="523"/>
    </row>
    <row r="211" spans="1:10" ht="22.5" customHeight="1">
      <c r="A211" s="481"/>
      <c r="B211" s="433"/>
      <c r="C211" s="433"/>
      <c r="D211" s="481"/>
      <c r="F211" s="676"/>
      <c r="G211" s="676"/>
      <c r="I211" s="483"/>
      <c r="J211" s="677"/>
    </row>
    <row r="212" spans="1:9" ht="12.75">
      <c r="A212" s="481"/>
      <c r="B212" s="433"/>
      <c r="C212" s="433"/>
      <c r="D212" s="481"/>
      <c r="F212" s="676"/>
      <c r="G212" s="676"/>
      <c r="H212" s="483"/>
      <c r="I212" s="483"/>
    </row>
    <row r="213" spans="6:9" ht="12.75">
      <c r="F213" s="541"/>
      <c r="G213" s="680"/>
      <c r="I213" s="483"/>
    </row>
    <row r="214" spans="6:9" ht="12.75">
      <c r="F214" s="681"/>
      <c r="G214" s="680"/>
      <c r="I214" s="483"/>
    </row>
    <row r="215" spans="6:9" ht="12.75">
      <c r="F215" s="680"/>
      <c r="G215" s="680"/>
      <c r="I215" s="483"/>
    </row>
    <row r="216" spans="6:9" ht="12.75">
      <c r="F216" s="680"/>
      <c r="G216" s="680"/>
      <c r="I216" s="483"/>
    </row>
    <row r="217" spans="6:7" ht="12.75">
      <c r="F217" s="680"/>
      <c r="G217" s="680"/>
    </row>
    <row r="218" spans="6:7" ht="12.75">
      <c r="F218" s="680"/>
      <c r="G218" s="680"/>
    </row>
    <row r="219" spans="6:7" ht="12.75">
      <c r="F219" s="680"/>
      <c r="G219" s="680"/>
    </row>
    <row r="220" spans="6:7" ht="12.75">
      <c r="F220" s="680"/>
      <c r="G220" s="680"/>
    </row>
    <row r="221" spans="6:7" ht="12.75">
      <c r="F221" s="680"/>
      <c r="G221" s="680"/>
    </row>
    <row r="222" spans="6:7" ht="12.75">
      <c r="F222" s="680"/>
      <c r="G222" s="680"/>
    </row>
    <row r="223" spans="6:7" ht="12.75">
      <c r="F223" s="680"/>
      <c r="G223" s="680"/>
    </row>
    <row r="224" spans="6:7" ht="12.75">
      <c r="F224" s="680"/>
      <c r="G224" s="680"/>
    </row>
  </sheetData>
  <sheetProtection/>
  <mergeCells count="1">
    <mergeCell ref="A117:A118"/>
  </mergeCells>
  <printOptions/>
  <pageMargins left="0.1968503937007874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52">
      <selection activeCell="F22" sqref="F22"/>
    </sheetView>
  </sheetViews>
  <sheetFormatPr defaultColWidth="9.140625" defaultRowHeight="12.75"/>
  <cols>
    <col min="1" max="1" width="4.57421875" style="217" customWidth="1"/>
    <col min="2" max="2" width="23.8515625" style="217" customWidth="1"/>
    <col min="3" max="3" width="47.28125" style="275" customWidth="1"/>
    <col min="4" max="4" width="18.57421875" style="217" customWidth="1"/>
    <col min="5" max="5" width="12.7109375" style="218" customWidth="1"/>
    <col min="6" max="6" width="19.00390625" style="217" customWidth="1"/>
    <col min="7" max="7" width="15.8515625" style="217" customWidth="1"/>
    <col min="8" max="16384" width="9.140625" style="217" customWidth="1"/>
  </cols>
  <sheetData>
    <row r="1" ht="19.5" customHeight="1">
      <c r="C1" s="270" t="s">
        <v>39</v>
      </c>
    </row>
    <row r="2" ht="19.5" customHeight="1">
      <c r="C2" s="238" t="s">
        <v>40</v>
      </c>
    </row>
    <row r="3" ht="19.5" customHeight="1">
      <c r="C3" s="238" t="s">
        <v>108</v>
      </c>
    </row>
    <row r="4" ht="17.25" customHeight="1">
      <c r="C4" s="88" t="s">
        <v>150</v>
      </c>
    </row>
    <row r="5" ht="14.25" customHeight="1">
      <c r="C5" s="238"/>
    </row>
    <row r="6" ht="14.25" customHeight="1">
      <c r="C6" s="238"/>
    </row>
    <row r="7" spans="1:5" s="240" customFormat="1" ht="19.5" customHeight="1">
      <c r="A7" s="239" t="s">
        <v>136</v>
      </c>
      <c r="B7" s="271"/>
      <c r="C7" s="272"/>
      <c r="D7" s="217"/>
      <c r="E7" s="218"/>
    </row>
    <row r="8" spans="1:5" s="240" customFormat="1" ht="19.5" customHeight="1">
      <c r="A8" s="239" t="s">
        <v>137</v>
      </c>
      <c r="B8" s="271"/>
      <c r="C8" s="272"/>
      <c r="D8" s="217"/>
      <c r="E8" s="218"/>
    </row>
    <row r="9" spans="1:3" ht="18.75" customHeight="1">
      <c r="A9" s="239" t="s">
        <v>138</v>
      </c>
      <c r="B9" s="273"/>
      <c r="C9" s="272"/>
    </row>
    <row r="10" spans="1:2" ht="13.5">
      <c r="A10" s="274" t="s">
        <v>68</v>
      </c>
      <c r="B10" s="241"/>
    </row>
    <row r="11" spans="3:4" ht="11.25" customHeight="1">
      <c r="C11" s="276"/>
      <c r="D11" s="277" t="s">
        <v>78</v>
      </c>
    </row>
    <row r="12" spans="1:4" ht="33" customHeight="1">
      <c r="A12" s="242" t="s">
        <v>79</v>
      </c>
      <c r="B12" s="242" t="s">
        <v>129</v>
      </c>
      <c r="C12" s="195" t="s">
        <v>130</v>
      </c>
      <c r="D12" s="243" t="s">
        <v>139</v>
      </c>
    </row>
    <row r="13" spans="1:5" s="273" customFormat="1" ht="22.5" customHeight="1">
      <c r="A13" s="278" t="s">
        <v>131</v>
      </c>
      <c r="B13" s="279"/>
      <c r="C13" s="280"/>
      <c r="D13" s="244">
        <f>D14+D18</f>
        <v>8978012.379999999</v>
      </c>
      <c r="E13" s="281"/>
    </row>
    <row r="14" spans="1:5" s="273" customFormat="1" ht="24.75" customHeight="1">
      <c r="A14" s="245" t="s">
        <v>140</v>
      </c>
      <c r="B14" s="282"/>
      <c r="C14" s="283"/>
      <c r="D14" s="244">
        <f>D15</f>
        <v>2612326</v>
      </c>
      <c r="E14" s="284"/>
    </row>
    <row r="15" spans="1:5" s="273" customFormat="1" ht="30" customHeight="1">
      <c r="A15" s="285">
        <v>801</v>
      </c>
      <c r="B15" s="286" t="s">
        <v>80</v>
      </c>
      <c r="C15" s="287"/>
      <c r="D15" s="288">
        <f>SUM(D16:D17)</f>
        <v>2612326</v>
      </c>
      <c r="E15" s="289"/>
    </row>
    <row r="16" spans="1:5" s="273" customFormat="1" ht="29.25" customHeight="1">
      <c r="A16" s="290"/>
      <c r="B16" s="291"/>
      <c r="C16" s="194" t="s">
        <v>141</v>
      </c>
      <c r="D16" s="246">
        <f>1982426-264000+76100</f>
        <v>1794526</v>
      </c>
      <c r="E16" s="281"/>
    </row>
    <row r="17" spans="1:5" s="273" customFormat="1" ht="33" customHeight="1">
      <c r="A17" s="290"/>
      <c r="B17" s="291"/>
      <c r="C17" s="194" t="s">
        <v>142</v>
      </c>
      <c r="D17" s="246">
        <v>817800</v>
      </c>
      <c r="E17" s="281"/>
    </row>
    <row r="18" spans="1:5" s="273" customFormat="1" ht="24.75" customHeight="1">
      <c r="A18" s="245" t="s">
        <v>132</v>
      </c>
      <c r="B18" s="282"/>
      <c r="C18" s="283"/>
      <c r="D18" s="292">
        <f>D19+D30+D35+D43+D47+D53</f>
        <v>6365686.38</v>
      </c>
      <c r="E18" s="281"/>
    </row>
    <row r="19" spans="1:5" s="273" customFormat="1" ht="21.75" customHeight="1">
      <c r="A19" s="293">
        <v>851</v>
      </c>
      <c r="B19" s="294" t="s">
        <v>81</v>
      </c>
      <c r="C19" s="295"/>
      <c r="D19" s="296">
        <f>SUM(D20:D29)</f>
        <v>996500</v>
      </c>
      <c r="E19" s="289"/>
    </row>
    <row r="20" spans="1:5" s="273" customFormat="1" ht="38.25" customHeight="1">
      <c r="A20" s="247"/>
      <c r="B20" s="297"/>
      <c r="C20" s="194" t="s">
        <v>0</v>
      </c>
      <c r="D20" s="246">
        <v>95000</v>
      </c>
      <c r="E20" s="281"/>
    </row>
    <row r="21" spans="1:5" s="273" customFormat="1" ht="27.75" customHeight="1">
      <c r="A21" s="298"/>
      <c r="B21" s="299"/>
      <c r="C21" s="194" t="s">
        <v>1</v>
      </c>
      <c r="D21" s="246">
        <v>440000</v>
      </c>
      <c r="E21" s="281"/>
    </row>
    <row r="22" spans="1:5" s="273" customFormat="1" ht="47.25" customHeight="1">
      <c r="A22" s="298"/>
      <c r="B22" s="300"/>
      <c r="C22" s="194" t="s">
        <v>2</v>
      </c>
      <c r="D22" s="246">
        <v>50000</v>
      </c>
      <c r="E22" s="281"/>
    </row>
    <row r="23" spans="1:5" s="273" customFormat="1" ht="27" customHeight="1">
      <c r="A23" s="298"/>
      <c r="B23" s="300"/>
      <c r="C23" s="194" t="s">
        <v>3</v>
      </c>
      <c r="D23" s="246">
        <v>10000</v>
      </c>
      <c r="E23" s="281"/>
    </row>
    <row r="24" spans="1:5" s="273" customFormat="1" ht="42" customHeight="1">
      <c r="A24" s="298"/>
      <c r="B24" s="300"/>
      <c r="C24" s="194" t="s">
        <v>4</v>
      </c>
      <c r="D24" s="246">
        <f>49500+70000</f>
        <v>119500</v>
      </c>
      <c r="E24" s="281"/>
    </row>
    <row r="25" spans="1:5" s="273" customFormat="1" ht="36" customHeight="1">
      <c r="A25" s="298"/>
      <c r="B25" s="300"/>
      <c r="C25" s="194" t="s">
        <v>5</v>
      </c>
      <c r="D25" s="246">
        <v>60000</v>
      </c>
      <c r="E25" s="281"/>
    </row>
    <row r="26" spans="1:5" s="273" customFormat="1" ht="27.75" customHeight="1">
      <c r="A26" s="298"/>
      <c r="B26" s="300"/>
      <c r="C26" s="194" t="s">
        <v>6</v>
      </c>
      <c r="D26" s="246">
        <v>101000</v>
      </c>
      <c r="E26" s="281"/>
    </row>
    <row r="27" spans="1:5" s="273" customFormat="1" ht="31.5" customHeight="1">
      <c r="A27" s="298"/>
      <c r="B27" s="300"/>
      <c r="C27" s="194" t="s">
        <v>7</v>
      </c>
      <c r="D27" s="246">
        <v>90000</v>
      </c>
      <c r="E27" s="281"/>
    </row>
    <row r="28" spans="1:5" s="273" customFormat="1" ht="33.75" customHeight="1">
      <c r="A28" s="298"/>
      <c r="B28" s="300"/>
      <c r="C28" s="194" t="s">
        <v>8</v>
      </c>
      <c r="D28" s="246">
        <v>25000</v>
      </c>
      <c r="E28" s="281"/>
    </row>
    <row r="29" spans="1:5" s="273" customFormat="1" ht="25.5" customHeight="1">
      <c r="A29" s="298"/>
      <c r="B29" s="300"/>
      <c r="C29" s="301" t="s">
        <v>9</v>
      </c>
      <c r="D29" s="186">
        <v>6000</v>
      </c>
      <c r="E29" s="281"/>
    </row>
    <row r="30" spans="1:5" s="273" customFormat="1" ht="21" customHeight="1">
      <c r="A30" s="247">
        <v>852</v>
      </c>
      <c r="B30" s="248" t="s">
        <v>110</v>
      </c>
      <c r="C30" s="295"/>
      <c r="D30" s="249">
        <f>SUM(D31:D34)</f>
        <v>1421000</v>
      </c>
      <c r="E30" s="281"/>
    </row>
    <row r="31" spans="1:5" s="273" customFormat="1" ht="37.5" customHeight="1">
      <c r="A31" s="302"/>
      <c r="B31" s="303"/>
      <c r="C31" s="304" t="s">
        <v>10</v>
      </c>
      <c r="D31" s="246">
        <f>950000+156000</f>
        <v>1106000</v>
      </c>
      <c r="E31" s="281"/>
    </row>
    <row r="32" spans="1:5" s="273" customFormat="1" ht="27" customHeight="1">
      <c r="A32" s="305"/>
      <c r="B32" s="250"/>
      <c r="C32" s="306" t="s">
        <v>11</v>
      </c>
      <c r="D32" s="246">
        <v>200000</v>
      </c>
      <c r="E32" s="281"/>
    </row>
    <row r="33" spans="1:5" s="273" customFormat="1" ht="38.25" customHeight="1">
      <c r="A33" s="305"/>
      <c r="B33" s="250"/>
      <c r="C33" s="306" t="s">
        <v>12</v>
      </c>
      <c r="D33" s="246">
        <v>85000</v>
      </c>
      <c r="E33" s="281"/>
    </row>
    <row r="34" spans="1:5" s="273" customFormat="1" ht="38.25" customHeight="1">
      <c r="A34" s="305"/>
      <c r="B34" s="250"/>
      <c r="C34" s="306" t="s">
        <v>13</v>
      </c>
      <c r="D34" s="246">
        <v>30000</v>
      </c>
      <c r="E34" s="281"/>
    </row>
    <row r="35" spans="1:5" s="273" customFormat="1" ht="39" customHeight="1">
      <c r="A35" s="251">
        <v>853</v>
      </c>
      <c r="B35" s="252" t="s">
        <v>82</v>
      </c>
      <c r="C35" s="307"/>
      <c r="D35" s="288">
        <f>SUM(D36:D42)</f>
        <v>1065193.38</v>
      </c>
      <c r="E35" s="281"/>
    </row>
    <row r="36" spans="1:5" s="273" customFormat="1" ht="30" customHeight="1">
      <c r="A36" s="305"/>
      <c r="B36" s="250"/>
      <c r="C36" s="307" t="s">
        <v>14</v>
      </c>
      <c r="D36" s="246">
        <f>177600-129600</f>
        <v>48000</v>
      </c>
      <c r="E36" s="281"/>
    </row>
    <row r="37" spans="1:5" s="273" customFormat="1" ht="30" customHeight="1">
      <c r="A37" s="305"/>
      <c r="B37" s="250"/>
      <c r="C37" s="308" t="s">
        <v>15</v>
      </c>
      <c r="D37" s="246">
        <v>54000</v>
      </c>
      <c r="E37" s="281"/>
    </row>
    <row r="38" spans="1:5" s="273" customFormat="1" ht="30" customHeight="1">
      <c r="A38" s="305"/>
      <c r="B38" s="250"/>
      <c r="C38" s="308" t="s">
        <v>16</v>
      </c>
      <c r="D38" s="246">
        <v>19800</v>
      </c>
      <c r="E38" s="281"/>
    </row>
    <row r="39" spans="1:5" s="273" customFormat="1" ht="30.75" customHeight="1">
      <c r="A39" s="305"/>
      <c r="B39" s="250"/>
      <c r="C39" s="308" t="s">
        <v>17</v>
      </c>
      <c r="D39" s="246">
        <v>9000</v>
      </c>
      <c r="E39" s="281"/>
    </row>
    <row r="40" spans="1:5" s="273" customFormat="1" ht="46.5" customHeight="1">
      <c r="A40" s="305"/>
      <c r="B40" s="309"/>
      <c r="C40" s="306" t="s">
        <v>18</v>
      </c>
      <c r="D40" s="246">
        <f>78549.77+13861.73</f>
        <v>92411.5</v>
      </c>
      <c r="E40" s="281"/>
    </row>
    <row r="41" spans="1:5" s="273" customFormat="1" ht="37.5" customHeight="1">
      <c r="A41" s="305"/>
      <c r="B41" s="309"/>
      <c r="C41" s="184" t="s">
        <v>19</v>
      </c>
      <c r="D41" s="246">
        <f>35684.6+6297.28</f>
        <v>41981.88</v>
      </c>
      <c r="E41" s="281"/>
    </row>
    <row r="42" spans="1:5" s="273" customFormat="1" ht="39.75" customHeight="1">
      <c r="A42" s="305"/>
      <c r="B42" s="309"/>
      <c r="C42" s="306" t="s">
        <v>117</v>
      </c>
      <c r="D42" s="246">
        <f>680000+120000</f>
        <v>800000</v>
      </c>
      <c r="E42" s="281"/>
    </row>
    <row r="43" spans="1:5" s="273" customFormat="1" ht="38.25" customHeight="1">
      <c r="A43" s="247">
        <v>900</v>
      </c>
      <c r="B43" s="253" t="s">
        <v>20</v>
      </c>
      <c r="C43" s="254"/>
      <c r="D43" s="244">
        <f>SUM(D44:D46)</f>
        <v>708000</v>
      </c>
      <c r="E43" s="281"/>
    </row>
    <row r="44" spans="1:5" s="273" customFormat="1" ht="53.25" customHeight="1">
      <c r="A44" s="310"/>
      <c r="B44" s="311"/>
      <c r="C44" s="255" t="s">
        <v>21</v>
      </c>
      <c r="D44" s="246">
        <f>271000+7000</f>
        <v>278000</v>
      </c>
      <c r="E44" s="281"/>
    </row>
    <row r="45" spans="1:5" s="315" customFormat="1" ht="34.5" customHeight="1">
      <c r="A45" s="312"/>
      <c r="B45" s="313"/>
      <c r="C45" s="256" t="s">
        <v>133</v>
      </c>
      <c r="D45" s="314">
        <v>30000</v>
      </c>
      <c r="E45" s="289"/>
    </row>
    <row r="46" spans="1:5" s="273" customFormat="1" ht="32.25" customHeight="1">
      <c r="A46" s="316"/>
      <c r="B46" s="317"/>
      <c r="C46" s="256" t="s">
        <v>22</v>
      </c>
      <c r="D46" s="246">
        <f>600000-200000</f>
        <v>400000</v>
      </c>
      <c r="E46" s="281"/>
    </row>
    <row r="47" spans="1:5" s="273" customFormat="1" ht="39" customHeight="1">
      <c r="A47" s="247">
        <v>921</v>
      </c>
      <c r="B47" s="318" t="s">
        <v>118</v>
      </c>
      <c r="C47" s="252"/>
      <c r="D47" s="244">
        <f>SUM(D48:D52)</f>
        <v>153000</v>
      </c>
      <c r="E47" s="281"/>
    </row>
    <row r="48" spans="1:5" s="273" customFormat="1" ht="35.25" customHeight="1">
      <c r="A48" s="310"/>
      <c r="B48" s="311"/>
      <c r="C48" s="319" t="s">
        <v>23</v>
      </c>
      <c r="D48" s="246">
        <v>25000</v>
      </c>
      <c r="E48" s="281"/>
    </row>
    <row r="49" spans="1:5" s="273" customFormat="1" ht="35.25" customHeight="1">
      <c r="A49" s="312"/>
      <c r="B49" s="313"/>
      <c r="C49" s="194" t="s">
        <v>24</v>
      </c>
      <c r="D49" s="246">
        <v>25000</v>
      </c>
      <c r="E49" s="281"/>
    </row>
    <row r="50" spans="1:5" s="273" customFormat="1" ht="35.25" customHeight="1">
      <c r="A50" s="312"/>
      <c r="B50" s="313"/>
      <c r="C50" s="304" t="s">
        <v>25</v>
      </c>
      <c r="D50" s="246">
        <v>30000</v>
      </c>
      <c r="E50" s="281"/>
    </row>
    <row r="51" spans="1:5" s="273" customFormat="1" ht="27" customHeight="1">
      <c r="A51" s="312"/>
      <c r="B51" s="313"/>
      <c r="C51" s="257" t="s">
        <v>26</v>
      </c>
      <c r="D51" s="246">
        <v>28000</v>
      </c>
      <c r="E51" s="281"/>
    </row>
    <row r="52" spans="1:5" s="273" customFormat="1" ht="32.25" customHeight="1">
      <c r="A52" s="316"/>
      <c r="B52" s="317"/>
      <c r="C52" s="257" t="s">
        <v>27</v>
      </c>
      <c r="D52" s="246">
        <v>45000</v>
      </c>
      <c r="E52" s="281"/>
    </row>
    <row r="53" spans="1:5" s="273" customFormat="1" ht="34.5" customHeight="1">
      <c r="A53" s="293">
        <v>926</v>
      </c>
      <c r="B53" s="320" t="s">
        <v>28</v>
      </c>
      <c r="C53" s="254"/>
      <c r="D53" s="244">
        <f>SUM(D54:D57)</f>
        <v>2021993</v>
      </c>
      <c r="E53" s="281"/>
    </row>
    <row r="54" spans="1:5" s="323" customFormat="1" ht="61.5" customHeight="1">
      <c r="A54" s="310"/>
      <c r="B54" s="321"/>
      <c r="C54" s="322" t="s">
        <v>29</v>
      </c>
      <c r="D54" s="258">
        <f>150000+1732000-10007</f>
        <v>1871993</v>
      </c>
      <c r="E54" s="281"/>
    </row>
    <row r="55" spans="1:5" s="323" customFormat="1" ht="34.5" customHeight="1">
      <c r="A55" s="312"/>
      <c r="B55" s="324"/>
      <c r="C55" s="322" t="s">
        <v>30</v>
      </c>
      <c r="D55" s="258">
        <v>10000</v>
      </c>
      <c r="E55" s="281"/>
    </row>
    <row r="56" spans="1:5" s="323" customFormat="1" ht="33" customHeight="1">
      <c r="A56" s="325"/>
      <c r="B56" s="185"/>
      <c r="C56" s="326" t="s">
        <v>31</v>
      </c>
      <c r="D56" s="258">
        <v>115000</v>
      </c>
      <c r="E56" s="281"/>
    </row>
    <row r="57" spans="1:5" s="273" customFormat="1" ht="30" customHeight="1">
      <c r="A57" s="325"/>
      <c r="B57" s="185"/>
      <c r="C57" s="327" t="s">
        <v>32</v>
      </c>
      <c r="D57" s="246">
        <v>25000</v>
      </c>
      <c r="E57" s="281"/>
    </row>
    <row r="58" spans="1:5" s="273" customFormat="1" ht="30" customHeight="1">
      <c r="A58" s="259" t="s">
        <v>134</v>
      </c>
      <c r="B58" s="328"/>
      <c r="C58" s="260"/>
      <c r="D58" s="249">
        <f>D59+D69</f>
        <v>8591772.89</v>
      </c>
      <c r="E58" s="281"/>
    </row>
    <row r="59" spans="1:5" s="273" customFormat="1" ht="27" customHeight="1">
      <c r="A59" s="261" t="s">
        <v>140</v>
      </c>
      <c r="B59" s="329"/>
      <c r="C59" s="330"/>
      <c r="D59" s="331">
        <f>D60+D65+D67</f>
        <v>7479005</v>
      </c>
      <c r="E59" s="281"/>
    </row>
    <row r="60" spans="1:5" s="273" customFormat="1" ht="23.25" customHeight="1">
      <c r="A60" s="285">
        <v>801</v>
      </c>
      <c r="B60" s="286" t="s">
        <v>80</v>
      </c>
      <c r="C60" s="194"/>
      <c r="D60" s="288">
        <f>SUM(D61:D64)</f>
        <v>5720900</v>
      </c>
      <c r="E60" s="281"/>
    </row>
    <row r="61" spans="1:5" s="273" customFormat="1" ht="30" customHeight="1">
      <c r="A61" s="332"/>
      <c r="B61" s="333"/>
      <c r="C61" s="194" t="s">
        <v>33</v>
      </c>
      <c r="D61" s="246">
        <f>2000000-86000+200000</f>
        <v>2114000</v>
      </c>
      <c r="E61" s="281"/>
    </row>
    <row r="62" spans="1:5" s="273" customFormat="1" ht="30" customHeight="1">
      <c r="A62" s="332"/>
      <c r="B62" s="333"/>
      <c r="C62" s="194" t="s">
        <v>41</v>
      </c>
      <c r="D62" s="246">
        <v>350000</v>
      </c>
      <c r="E62" s="281"/>
    </row>
    <row r="63" spans="1:5" s="273" customFormat="1" ht="30" customHeight="1">
      <c r="A63" s="332"/>
      <c r="B63" s="333"/>
      <c r="C63" s="194" t="s">
        <v>42</v>
      </c>
      <c r="D63" s="246">
        <v>48000</v>
      </c>
      <c r="E63" s="281"/>
    </row>
    <row r="64" spans="1:5" s="273" customFormat="1" ht="24.75" customHeight="1">
      <c r="A64" s="332"/>
      <c r="B64" s="333"/>
      <c r="C64" s="194" t="s">
        <v>43</v>
      </c>
      <c r="D64" s="246">
        <f>3185000-150000+250000-76100</f>
        <v>3208900</v>
      </c>
      <c r="E64" s="281"/>
    </row>
    <row r="65" spans="1:5" s="273" customFormat="1" ht="39" customHeight="1">
      <c r="A65" s="247">
        <v>853</v>
      </c>
      <c r="B65" s="334" t="s">
        <v>82</v>
      </c>
      <c r="C65" s="193"/>
      <c r="D65" s="244">
        <f>SUM(D66:D66)</f>
        <v>308105</v>
      </c>
      <c r="E65" s="281"/>
    </row>
    <row r="66" spans="1:5" s="336" customFormat="1" ht="37.5" customHeight="1">
      <c r="A66" s="302"/>
      <c r="B66" s="335"/>
      <c r="C66" s="257" t="s">
        <v>44</v>
      </c>
      <c r="D66" s="314">
        <v>308105</v>
      </c>
      <c r="E66" s="281"/>
    </row>
    <row r="67" spans="1:5" s="273" customFormat="1" ht="31.5" customHeight="1">
      <c r="A67" s="251">
        <v>854</v>
      </c>
      <c r="B67" s="286" t="s">
        <v>120</v>
      </c>
      <c r="C67" s="194"/>
      <c r="D67" s="337">
        <f>D68</f>
        <v>1450000</v>
      </c>
      <c r="E67" s="289"/>
    </row>
    <row r="68" spans="1:5" s="273" customFormat="1" ht="43.5" customHeight="1">
      <c r="A68" s="338"/>
      <c r="B68" s="339"/>
      <c r="C68" s="194" t="s">
        <v>45</v>
      </c>
      <c r="D68" s="246">
        <v>1450000</v>
      </c>
      <c r="E68" s="281"/>
    </row>
    <row r="69" spans="1:5" s="273" customFormat="1" ht="29.25" customHeight="1">
      <c r="A69" s="245" t="s">
        <v>132</v>
      </c>
      <c r="B69" s="340"/>
      <c r="C69" s="341"/>
      <c r="D69" s="262">
        <f>D70+D74+D77</f>
        <v>1112767.8900000001</v>
      </c>
      <c r="E69" s="281"/>
    </row>
    <row r="70" spans="1:5" s="273" customFormat="1" ht="34.5" customHeight="1">
      <c r="A70" s="298">
        <v>630</v>
      </c>
      <c r="B70" s="342" t="s">
        <v>119</v>
      </c>
      <c r="C70" s="343" t="s">
        <v>68</v>
      </c>
      <c r="D70" s="244">
        <f>SUM(D71:D73)</f>
        <v>95000</v>
      </c>
      <c r="E70" s="281"/>
    </row>
    <row r="71" spans="1:5" s="273" customFormat="1" ht="36.75" customHeight="1">
      <c r="A71" s="302"/>
      <c r="B71" s="344"/>
      <c r="C71" s="263" t="s">
        <v>46</v>
      </c>
      <c r="D71" s="314">
        <v>60000</v>
      </c>
      <c r="E71" s="281"/>
    </row>
    <row r="72" spans="1:5" s="273" customFormat="1" ht="30" customHeight="1">
      <c r="A72" s="312"/>
      <c r="B72" s="345"/>
      <c r="C72" s="255" t="s">
        <v>47</v>
      </c>
      <c r="D72" s="246">
        <v>30000</v>
      </c>
      <c r="E72" s="281"/>
    </row>
    <row r="73" spans="1:5" s="273" customFormat="1" ht="30" customHeight="1">
      <c r="A73" s="312"/>
      <c r="B73" s="345"/>
      <c r="C73" s="255" t="s">
        <v>48</v>
      </c>
      <c r="D73" s="246">
        <v>5000</v>
      </c>
      <c r="E73" s="281"/>
    </row>
    <row r="74" spans="1:5" s="273" customFormat="1" ht="26.25" customHeight="1">
      <c r="A74" s="251">
        <v>852</v>
      </c>
      <c r="B74" s="264" t="s">
        <v>110</v>
      </c>
      <c r="C74" s="193"/>
      <c r="D74" s="244">
        <f>SUM(D75:D76)</f>
        <v>207000</v>
      </c>
      <c r="E74" s="281"/>
    </row>
    <row r="75" spans="1:5" s="273" customFormat="1" ht="40.5" customHeight="1">
      <c r="A75" s="185"/>
      <c r="B75" s="185"/>
      <c r="C75" s="193" t="s">
        <v>49</v>
      </c>
      <c r="D75" s="246">
        <v>200000</v>
      </c>
      <c r="E75" s="281"/>
    </row>
    <row r="76" spans="1:5" s="273" customFormat="1" ht="40.5" customHeight="1">
      <c r="A76" s="185"/>
      <c r="B76" s="185"/>
      <c r="C76" s="193" t="s">
        <v>50</v>
      </c>
      <c r="D76" s="186">
        <v>7000</v>
      </c>
      <c r="E76" s="281"/>
    </row>
    <row r="77" spans="1:5" s="273" customFormat="1" ht="38.25" customHeight="1">
      <c r="A77" s="247">
        <v>853</v>
      </c>
      <c r="B77" s="334" t="s">
        <v>82</v>
      </c>
      <c r="C77" s="193"/>
      <c r="D77" s="265">
        <f>SUM(D78)</f>
        <v>810767.89</v>
      </c>
      <c r="E77" s="284"/>
    </row>
    <row r="78" spans="1:5" s="273" customFormat="1" ht="37.5" customHeight="1">
      <c r="A78" s="346"/>
      <c r="B78" s="346"/>
      <c r="C78" s="193" t="s">
        <v>51</v>
      </c>
      <c r="D78" s="365">
        <f>524915+145852.89+140000</f>
        <v>810767.89</v>
      </c>
      <c r="E78" s="281"/>
    </row>
    <row r="79" spans="1:5" s="273" customFormat="1" ht="24.75" customHeight="1">
      <c r="A79" s="715" t="s">
        <v>135</v>
      </c>
      <c r="B79" s="716"/>
      <c r="C79" s="717"/>
      <c r="D79" s="266">
        <f>D13+D58</f>
        <v>17569785.27</v>
      </c>
      <c r="E79" s="284"/>
    </row>
    <row r="80" spans="3:7" s="273" customFormat="1" ht="12.75">
      <c r="C80" s="272"/>
      <c r="E80" s="284"/>
      <c r="F80" s="281"/>
      <c r="G80" s="281"/>
    </row>
    <row r="87" ht="12.75">
      <c r="G87" s="218"/>
    </row>
    <row r="88" ht="12.75">
      <c r="G88" s="218"/>
    </row>
  </sheetData>
  <sheetProtection/>
  <mergeCells count="1">
    <mergeCell ref="A79:C79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421875" style="217" customWidth="1"/>
    <col min="2" max="2" width="23.8515625" style="217" customWidth="1"/>
    <col min="3" max="3" width="41.57421875" style="217" customWidth="1"/>
    <col min="4" max="4" width="18.00390625" style="217" customWidth="1"/>
    <col min="5" max="5" width="24.7109375" style="217" customWidth="1"/>
    <col min="6" max="6" width="23.00390625" style="217" customWidth="1"/>
    <col min="7" max="7" width="8.8515625" style="217" customWidth="1"/>
    <col min="8" max="16384" width="9.140625" style="217" customWidth="1"/>
  </cols>
  <sheetData>
    <row r="1" ht="19.5" customHeight="1">
      <c r="C1" s="371" t="s">
        <v>174</v>
      </c>
    </row>
    <row r="2" ht="19.5" customHeight="1">
      <c r="C2" s="238" t="s">
        <v>40</v>
      </c>
    </row>
    <row r="3" ht="17.25" customHeight="1">
      <c r="C3" s="238" t="s">
        <v>108</v>
      </c>
    </row>
    <row r="4" ht="18" customHeight="1">
      <c r="C4" s="88" t="s">
        <v>175</v>
      </c>
    </row>
    <row r="5" ht="16.5" customHeight="1">
      <c r="C5" s="372"/>
    </row>
    <row r="6" ht="18" customHeight="1">
      <c r="C6" s="372"/>
    </row>
    <row r="7" spans="1:4" s="240" customFormat="1" ht="17.25" customHeight="1">
      <c r="A7" s="239" t="s">
        <v>152</v>
      </c>
      <c r="B7" s="239"/>
      <c r="C7" s="373"/>
      <c r="D7" s="217"/>
    </row>
    <row r="8" spans="1:4" s="240" customFormat="1" ht="17.25" customHeight="1">
      <c r="A8" s="239" t="s">
        <v>153</v>
      </c>
      <c r="B8" s="239"/>
      <c r="C8" s="373"/>
      <c r="D8" s="217"/>
    </row>
    <row r="9" spans="1:2" ht="15.75">
      <c r="A9" s="374" t="s">
        <v>154</v>
      </c>
      <c r="B9" s="241"/>
    </row>
    <row r="10" spans="3:4" ht="11.25" customHeight="1">
      <c r="C10" s="375"/>
      <c r="D10" s="376" t="s">
        <v>78</v>
      </c>
    </row>
    <row r="11" spans="1:4" ht="29.25" customHeight="1">
      <c r="A11" s="242" t="s">
        <v>79</v>
      </c>
      <c r="B11" s="242" t="s">
        <v>129</v>
      </c>
      <c r="C11" s="242" t="s">
        <v>130</v>
      </c>
      <c r="D11" s="243" t="s">
        <v>155</v>
      </c>
    </row>
    <row r="12" spans="1:4" ht="24" customHeight="1">
      <c r="A12" s="259" t="s">
        <v>131</v>
      </c>
      <c r="B12" s="377"/>
      <c r="C12" s="378"/>
      <c r="D12" s="379">
        <f>D13+D17+D20</f>
        <v>16544823.589999998</v>
      </c>
    </row>
    <row r="13" spans="1:4" s="383" customFormat="1" ht="24" customHeight="1">
      <c r="A13" s="261" t="s">
        <v>156</v>
      </c>
      <c r="B13" s="380"/>
      <c r="C13" s="381"/>
      <c r="D13" s="382">
        <f>D14</f>
        <v>5268886.1</v>
      </c>
    </row>
    <row r="14" spans="1:5" ht="31.5" customHeight="1">
      <c r="A14" s="384">
        <v>921</v>
      </c>
      <c r="B14" s="253" t="s">
        <v>118</v>
      </c>
      <c r="C14" s="385"/>
      <c r="D14" s="379">
        <f>D15+D16</f>
        <v>5268886.1</v>
      </c>
      <c r="E14" s="386"/>
    </row>
    <row r="15" spans="1:5" ht="27.75" customHeight="1">
      <c r="A15" s="387"/>
      <c r="B15" s="388"/>
      <c r="C15" s="389" t="s">
        <v>157</v>
      </c>
      <c r="D15" s="246">
        <f>3472000+158000+60000+217386.1</f>
        <v>3907386.1</v>
      </c>
      <c r="E15" s="386"/>
    </row>
    <row r="16" spans="1:5" ht="27.75" customHeight="1">
      <c r="A16" s="390"/>
      <c r="B16" s="391"/>
      <c r="C16" s="389" t="s">
        <v>158</v>
      </c>
      <c r="D16" s="421">
        <f>1240000+100000+20000+1500</f>
        <v>1361500</v>
      </c>
      <c r="E16" s="386"/>
    </row>
    <row r="17" spans="1:5" ht="26.25" customHeight="1">
      <c r="A17" s="261" t="s">
        <v>159</v>
      </c>
      <c r="B17" s="392"/>
      <c r="C17" s="389"/>
      <c r="D17" s="382">
        <f>D18</f>
        <v>11013485.389999999</v>
      </c>
      <c r="E17" s="386"/>
    </row>
    <row r="18" spans="1:5" ht="26.25" customHeight="1">
      <c r="A18" s="393">
        <v>600</v>
      </c>
      <c r="B18" s="264" t="s">
        <v>160</v>
      </c>
      <c r="C18" s="389"/>
      <c r="D18" s="379">
        <f>D19</f>
        <v>11013485.389999999</v>
      </c>
      <c r="E18" s="386"/>
    </row>
    <row r="19" spans="1:5" ht="29.25" customHeight="1">
      <c r="A19" s="394"/>
      <c r="B19" s="395"/>
      <c r="C19" s="255" t="s">
        <v>161</v>
      </c>
      <c r="D19" s="246">
        <f>11000184.75+1427.95+11872.69</f>
        <v>11013485.389999999</v>
      </c>
      <c r="E19" s="386"/>
    </row>
    <row r="20" spans="1:5" ht="28.5" customHeight="1">
      <c r="A20" s="245" t="s">
        <v>132</v>
      </c>
      <c r="B20" s="396"/>
      <c r="C20" s="385"/>
      <c r="D20" s="382">
        <f>D21+D23+D25+D27+D29+D31</f>
        <v>262452.1</v>
      </c>
      <c r="E20" s="386"/>
    </row>
    <row r="21" spans="1:5" ht="28.5" customHeight="1">
      <c r="A21" s="397">
        <v>750</v>
      </c>
      <c r="B21" s="398" t="s">
        <v>162</v>
      </c>
      <c r="C21" s="193"/>
      <c r="D21" s="379">
        <f>SUM(D22)</f>
        <v>22566.1</v>
      </c>
      <c r="E21" s="386"/>
    </row>
    <row r="22" spans="1:5" ht="42.75" customHeight="1">
      <c r="A22" s="399"/>
      <c r="B22" s="254"/>
      <c r="C22" s="193" t="s">
        <v>163</v>
      </c>
      <c r="D22" s="400">
        <f>32287.5-10400+678.6</f>
        <v>22566.1</v>
      </c>
      <c r="E22" s="386"/>
    </row>
    <row r="23" spans="1:5" ht="31.5" customHeight="1">
      <c r="A23" s="401">
        <v>801</v>
      </c>
      <c r="B23" s="248" t="s">
        <v>164</v>
      </c>
      <c r="C23" s="257"/>
      <c r="D23" s="379">
        <f>D24</f>
        <v>30000</v>
      </c>
      <c r="E23" s="386"/>
    </row>
    <row r="24" spans="1:5" ht="33" customHeight="1">
      <c r="A24" s="401"/>
      <c r="B24" s="248"/>
      <c r="C24" s="257" t="s">
        <v>165</v>
      </c>
      <c r="D24" s="400">
        <v>30000</v>
      </c>
      <c r="E24" s="386"/>
    </row>
    <row r="25" spans="1:5" ht="28.5" customHeight="1">
      <c r="A25" s="247">
        <v>851</v>
      </c>
      <c r="B25" s="248" t="s">
        <v>81</v>
      </c>
      <c r="C25" s="385"/>
      <c r="D25" s="402">
        <f>SUM(D26:D26)</f>
        <v>7500</v>
      </c>
      <c r="E25" s="386"/>
    </row>
    <row r="26" spans="1:5" ht="57" customHeight="1">
      <c r="A26" s="403"/>
      <c r="B26" s="404"/>
      <c r="C26" s="255" t="s">
        <v>166</v>
      </c>
      <c r="D26" s="400">
        <v>7500</v>
      </c>
      <c r="E26" s="386"/>
    </row>
    <row r="27" spans="1:5" ht="34.5" customHeight="1">
      <c r="A27" s="393">
        <v>853</v>
      </c>
      <c r="B27" s="398" t="s">
        <v>82</v>
      </c>
      <c r="C27" s="255"/>
      <c r="D27" s="402">
        <f>D28</f>
        <v>85386</v>
      </c>
      <c r="E27" s="386"/>
    </row>
    <row r="28" spans="1:5" ht="31.5" customHeight="1">
      <c r="A28" s="261"/>
      <c r="B28" s="250"/>
      <c r="C28" s="263" t="s">
        <v>167</v>
      </c>
      <c r="D28" s="400">
        <f>76943.7+13578.3-4365.6-770.4</f>
        <v>85386</v>
      </c>
      <c r="E28" s="386"/>
    </row>
    <row r="29" spans="1:5" ht="30" customHeight="1">
      <c r="A29" s="251">
        <v>900</v>
      </c>
      <c r="B29" s="252" t="s">
        <v>168</v>
      </c>
      <c r="C29" s="405"/>
      <c r="D29" s="265">
        <f>D30</f>
        <v>12000</v>
      </c>
      <c r="E29" s="386"/>
    </row>
    <row r="30" spans="1:9" ht="30" customHeight="1">
      <c r="A30" s="387"/>
      <c r="B30" s="406"/>
      <c r="C30" s="407" t="s">
        <v>133</v>
      </c>
      <c r="D30" s="258">
        <v>12000</v>
      </c>
      <c r="E30" s="408"/>
      <c r="F30" s="408"/>
      <c r="G30" s="408"/>
      <c r="H30" s="408"/>
      <c r="I30" s="408"/>
    </row>
    <row r="31" spans="1:9" ht="30.75" customHeight="1">
      <c r="A31" s="393">
        <v>921</v>
      </c>
      <c r="B31" s="252" t="s">
        <v>118</v>
      </c>
      <c r="C31" s="256"/>
      <c r="D31" s="244">
        <f>SUM(D32:D33)</f>
        <v>105000</v>
      </c>
      <c r="E31" s="408"/>
      <c r="F31" s="408"/>
      <c r="G31" s="408"/>
      <c r="H31" s="408"/>
      <c r="I31" s="408"/>
    </row>
    <row r="32" spans="1:9" ht="30.75" customHeight="1">
      <c r="A32" s="384"/>
      <c r="B32" s="252"/>
      <c r="C32" s="256" t="s">
        <v>169</v>
      </c>
      <c r="D32" s="258">
        <v>10000</v>
      </c>
      <c r="E32" s="408"/>
      <c r="F32" s="408"/>
      <c r="G32" s="408"/>
      <c r="H32" s="408"/>
      <c r="I32" s="408"/>
    </row>
    <row r="33" spans="1:9" ht="30.75" customHeight="1">
      <c r="A33" s="384"/>
      <c r="B33" s="252"/>
      <c r="C33" s="409" t="s">
        <v>170</v>
      </c>
      <c r="D33" s="258">
        <v>95000</v>
      </c>
      <c r="E33" s="408"/>
      <c r="F33" s="408"/>
      <c r="G33" s="408"/>
      <c r="H33" s="408"/>
      <c r="I33" s="408"/>
    </row>
    <row r="34" spans="1:9" ht="30.75" customHeight="1">
      <c r="A34" s="259" t="s">
        <v>134</v>
      </c>
      <c r="B34" s="410"/>
      <c r="C34" s="411"/>
      <c r="D34" s="249">
        <f>D35+D38</f>
        <v>3743348</v>
      </c>
      <c r="E34" s="408"/>
      <c r="F34" s="408"/>
      <c r="G34" s="408"/>
      <c r="H34" s="408"/>
      <c r="I34" s="408"/>
    </row>
    <row r="35" spans="1:9" ht="33" customHeight="1">
      <c r="A35" s="403" t="s">
        <v>156</v>
      </c>
      <c r="B35" s="412"/>
      <c r="C35" s="413"/>
      <c r="D35" s="414">
        <f>D36</f>
        <v>2610903</v>
      </c>
      <c r="E35" s="408"/>
      <c r="F35" s="408"/>
      <c r="G35" s="408"/>
      <c r="H35" s="408"/>
      <c r="I35" s="408"/>
    </row>
    <row r="36" spans="1:4" ht="33" customHeight="1">
      <c r="A36" s="393">
        <v>921</v>
      </c>
      <c r="B36" s="253" t="s">
        <v>118</v>
      </c>
      <c r="C36" s="260"/>
      <c r="D36" s="415">
        <f>D37</f>
        <v>2610903</v>
      </c>
    </row>
    <row r="37" spans="1:4" ht="24.75" customHeight="1">
      <c r="A37" s="416"/>
      <c r="B37" s="254"/>
      <c r="C37" s="255" t="s">
        <v>171</v>
      </c>
      <c r="D37" s="246">
        <f>2574000+16903+20000</f>
        <v>2610903</v>
      </c>
    </row>
    <row r="38" spans="1:4" ht="27.75" customHeight="1">
      <c r="A38" s="245" t="s">
        <v>132</v>
      </c>
      <c r="B38" s="417"/>
      <c r="C38" s="255"/>
      <c r="D38" s="262">
        <f>D39+D41</f>
        <v>1132445</v>
      </c>
    </row>
    <row r="39" spans="1:4" ht="27" customHeight="1">
      <c r="A39" s="406">
        <v>852</v>
      </c>
      <c r="B39" s="418" t="s">
        <v>110</v>
      </c>
      <c r="C39" s="193"/>
      <c r="D39" s="244">
        <f>D40</f>
        <v>52445</v>
      </c>
    </row>
    <row r="40" spans="1:4" ht="42.75" customHeight="1">
      <c r="A40" s="388"/>
      <c r="B40" s="419"/>
      <c r="C40" s="257" t="s">
        <v>172</v>
      </c>
      <c r="D40" s="246">
        <f>608600-556155</f>
        <v>52445</v>
      </c>
    </row>
    <row r="41" spans="1:4" ht="36" customHeight="1">
      <c r="A41" s="393">
        <v>853</v>
      </c>
      <c r="B41" s="398" t="s">
        <v>82</v>
      </c>
      <c r="C41" s="257"/>
      <c r="D41" s="244">
        <f>D42</f>
        <v>1080000</v>
      </c>
    </row>
    <row r="42" spans="1:4" ht="30.75" customHeight="1">
      <c r="A42" s="397"/>
      <c r="B42" s="398"/>
      <c r="C42" s="257" t="s">
        <v>173</v>
      </c>
      <c r="D42" s="246">
        <v>1080000</v>
      </c>
    </row>
    <row r="43" spans="1:4" ht="25.5" customHeight="1">
      <c r="A43" s="718" t="s">
        <v>135</v>
      </c>
      <c r="B43" s="719"/>
      <c r="C43" s="717"/>
      <c r="D43" s="266">
        <f>D12+D34</f>
        <v>20288171.589999996</v>
      </c>
    </row>
    <row r="44" spans="4:6" ht="15.75">
      <c r="D44" s="420"/>
      <c r="F44" s="218"/>
    </row>
    <row r="45" ht="15.75">
      <c r="D45" s="420"/>
    </row>
    <row r="46" ht="12.75">
      <c r="D46" s="218"/>
    </row>
    <row r="47" ht="12.75">
      <c r="D47" s="218"/>
    </row>
    <row r="48" ht="12.75">
      <c r="D48" s="218"/>
    </row>
    <row r="49" ht="12.75">
      <c r="D49" s="218"/>
    </row>
    <row r="50" ht="12.75">
      <c r="D50" s="218"/>
    </row>
    <row r="51" ht="12.75">
      <c r="D51" s="218"/>
    </row>
    <row r="52" ht="12.75">
      <c r="D52" s="218"/>
    </row>
    <row r="53" ht="12.75">
      <c r="D53" s="218"/>
    </row>
  </sheetData>
  <sheetProtection/>
  <mergeCells count="1">
    <mergeCell ref="A43:C43"/>
  </mergeCells>
  <printOptions/>
  <pageMargins left="0.75" right="0.75" top="1" bottom="1" header="0.5" footer="0.5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T47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3.57421875" style="2" customWidth="1"/>
    <col min="2" max="2" width="38.8515625" style="2" customWidth="1"/>
    <col min="3" max="3" width="19.8515625" style="2" customWidth="1"/>
    <col min="4" max="4" width="19.57421875" style="2" customWidth="1"/>
    <col min="5" max="5" width="19.8515625" style="2" customWidth="1"/>
    <col min="6" max="6" width="16.140625" style="2" customWidth="1"/>
    <col min="7" max="7" width="21.421875" style="28" customWidth="1"/>
    <col min="8" max="8" width="21.8515625" style="2" customWidth="1"/>
    <col min="9" max="9" width="20.57421875" style="433" customWidth="1"/>
    <col min="10" max="10" width="14.57421875" style="2" customWidth="1"/>
    <col min="11" max="11" width="9.140625" style="2" customWidth="1"/>
    <col min="12" max="12" width="18.00390625" style="2" customWidth="1"/>
    <col min="13" max="13" width="21.28125" style="2" customWidth="1"/>
    <col min="14" max="16" width="9.140625" style="2" customWidth="1"/>
    <col min="17" max="17" width="20.57421875" style="2" customWidth="1"/>
    <col min="18" max="16384" width="9.140625" style="2" customWidth="1"/>
  </cols>
  <sheetData>
    <row r="1" spans="3:5" ht="20.25">
      <c r="C1" s="372" t="s">
        <v>188</v>
      </c>
      <c r="D1" s="372"/>
      <c r="E1" s="24"/>
    </row>
    <row r="2" spans="3:5" ht="18.75">
      <c r="C2" s="24" t="s">
        <v>40</v>
      </c>
      <c r="D2" s="24"/>
      <c r="E2" s="24"/>
    </row>
    <row r="3" spans="3:5" ht="18.75">
      <c r="C3" s="24" t="s">
        <v>108</v>
      </c>
      <c r="D3" s="24"/>
      <c r="E3" s="24"/>
    </row>
    <row r="4" spans="3:5" ht="18.75">
      <c r="C4" s="88" t="s">
        <v>206</v>
      </c>
      <c r="D4" s="88"/>
      <c r="E4" s="24"/>
    </row>
    <row r="5" spans="3:5" ht="18.75">
      <c r="C5" s="238"/>
      <c r="D5" s="238"/>
      <c r="E5" s="24"/>
    </row>
    <row r="6" spans="2:11" ht="15.75">
      <c r="B6" s="434"/>
      <c r="C6" s="434"/>
      <c r="D6" s="434"/>
      <c r="E6" s="434"/>
      <c r="F6" s="435"/>
      <c r="G6" s="436"/>
      <c r="H6" s="434"/>
      <c r="I6" s="435"/>
      <c r="J6" s="434"/>
      <c r="K6" s="434"/>
    </row>
    <row r="7" spans="2:11" ht="18.75">
      <c r="B7" s="437" t="s">
        <v>189</v>
      </c>
      <c r="C7" s="434"/>
      <c r="D7" s="434"/>
      <c r="E7" s="434"/>
      <c r="F7" s="435"/>
      <c r="G7" s="436"/>
      <c r="H7" s="434"/>
      <c r="I7" s="435"/>
      <c r="J7" s="434"/>
      <c r="K7" s="434"/>
    </row>
    <row r="8" spans="2:11" ht="18.75">
      <c r="B8" s="437" t="s">
        <v>190</v>
      </c>
      <c r="C8" s="434"/>
      <c r="D8" s="434"/>
      <c r="E8" s="434"/>
      <c r="F8" s="435"/>
      <c r="G8" s="436"/>
      <c r="H8" s="434"/>
      <c r="I8" s="435"/>
      <c r="J8" s="434"/>
      <c r="K8" s="434"/>
    </row>
    <row r="9" spans="2:11" ht="18.75">
      <c r="B9" s="437"/>
      <c r="C9" s="434"/>
      <c r="D9" s="434"/>
      <c r="E9" s="434"/>
      <c r="F9" s="435"/>
      <c r="G9" s="436"/>
      <c r="H9" s="434"/>
      <c r="I9" s="435"/>
      <c r="J9" s="434"/>
      <c r="K9" s="434"/>
    </row>
    <row r="10" spans="2:11" s="47" customFormat="1" ht="24" customHeight="1">
      <c r="B10" s="438"/>
      <c r="C10" s="439" t="s">
        <v>191</v>
      </c>
      <c r="D10" s="440"/>
      <c r="E10" s="441"/>
      <c r="F10" s="442"/>
      <c r="G10" s="443"/>
      <c r="H10" s="444"/>
      <c r="I10" s="442"/>
      <c r="J10" s="444"/>
      <c r="K10" s="444"/>
    </row>
    <row r="11" spans="2:11" s="47" customFormat="1" ht="28.5" customHeight="1">
      <c r="B11" s="445"/>
      <c r="C11" s="446" t="s">
        <v>192</v>
      </c>
      <c r="D11" s="446"/>
      <c r="E11" s="447" t="s">
        <v>193</v>
      </c>
      <c r="F11" s="442"/>
      <c r="G11" s="448"/>
      <c r="H11" s="444"/>
      <c r="I11" s="442"/>
      <c r="J11" s="444"/>
      <c r="K11" s="444"/>
    </row>
    <row r="12" spans="2:11" ht="72.75" customHeight="1">
      <c r="B12" s="449" t="s">
        <v>194</v>
      </c>
      <c r="C12" s="450" t="s">
        <v>195</v>
      </c>
      <c r="D12" s="451" t="s">
        <v>196</v>
      </c>
      <c r="E12" s="452" t="s">
        <v>197</v>
      </c>
      <c r="F12" s="453"/>
      <c r="G12" s="454"/>
      <c r="H12" s="455"/>
      <c r="I12" s="456"/>
      <c r="J12" s="457"/>
      <c r="K12" s="434"/>
    </row>
    <row r="13" spans="2:11" s="275" customFormat="1" ht="36.75" customHeight="1">
      <c r="B13" s="458" t="s">
        <v>198</v>
      </c>
      <c r="C13" s="459">
        <f>C14</f>
        <v>18768179</v>
      </c>
      <c r="D13" s="459">
        <f>D14</f>
        <v>10700000</v>
      </c>
      <c r="E13" s="459">
        <f>E14</f>
        <v>13440424.92</v>
      </c>
      <c r="F13" s="460"/>
      <c r="G13" s="461"/>
      <c r="H13" s="455"/>
      <c r="I13" s="456"/>
      <c r="J13" s="462"/>
      <c r="K13" s="463"/>
    </row>
    <row r="14" spans="2:12" s="275" customFormat="1" ht="57" customHeight="1">
      <c r="B14" s="464" t="s">
        <v>199</v>
      </c>
      <c r="C14" s="465">
        <f>SUM(C15:C21)</f>
        <v>18768179</v>
      </c>
      <c r="D14" s="465">
        <f>SUM(D15:D21)</f>
        <v>10700000</v>
      </c>
      <c r="E14" s="465">
        <f>SUM(E15:E21)</f>
        <v>13440424.92</v>
      </c>
      <c r="F14" s="466"/>
      <c r="G14" s="467"/>
      <c r="H14" s="467"/>
      <c r="I14" s="448"/>
      <c r="J14" s="462"/>
      <c r="K14" s="436"/>
      <c r="L14" s="28"/>
    </row>
    <row r="15" spans="2:12" s="275" customFormat="1" ht="33" customHeight="1">
      <c r="B15" s="468" t="s">
        <v>200</v>
      </c>
      <c r="C15" s="465"/>
      <c r="D15" s="469">
        <v>10700000</v>
      </c>
      <c r="E15" s="470"/>
      <c r="F15" s="466"/>
      <c r="G15" s="467"/>
      <c r="H15" s="467"/>
      <c r="I15" s="448"/>
      <c r="J15" s="462"/>
      <c r="K15" s="436"/>
      <c r="L15" s="28"/>
    </row>
    <row r="16" spans="2:12" ht="42.75" customHeight="1">
      <c r="B16" s="468" t="s">
        <v>201</v>
      </c>
      <c r="C16" s="471"/>
      <c r="D16" s="469"/>
      <c r="E16" s="469">
        <v>6037948.92</v>
      </c>
      <c r="F16" s="472"/>
      <c r="G16" s="467"/>
      <c r="H16" s="473"/>
      <c r="I16" s="448"/>
      <c r="J16" s="448"/>
      <c r="K16" s="443"/>
      <c r="L16" s="28"/>
    </row>
    <row r="17" spans="2:12" ht="48.75" customHeight="1">
      <c r="B17" s="468" t="s">
        <v>202</v>
      </c>
      <c r="C17" s="469">
        <f>10000000+4400000</f>
        <v>14400000</v>
      </c>
      <c r="D17" s="469"/>
      <c r="E17" s="469"/>
      <c r="F17" s="472"/>
      <c r="G17" s="467"/>
      <c r="H17" s="473"/>
      <c r="I17" s="448"/>
      <c r="J17" s="448"/>
      <c r="K17" s="443"/>
      <c r="L17" s="28"/>
    </row>
    <row r="18" spans="2:11" ht="39" customHeight="1">
      <c r="B18" s="474" t="s">
        <v>203</v>
      </c>
      <c r="C18" s="469">
        <f>2068180-1</f>
        <v>2068179</v>
      </c>
      <c r="D18" s="469"/>
      <c r="E18" s="469"/>
      <c r="F18" s="472"/>
      <c r="G18" s="475"/>
      <c r="H18" s="473"/>
      <c r="I18" s="476"/>
      <c r="J18" s="477"/>
      <c r="K18" s="444"/>
    </row>
    <row r="19" spans="2:11" ht="39" customHeight="1">
      <c r="B19" s="708" t="s">
        <v>330</v>
      </c>
      <c r="C19" s="707">
        <v>2300000</v>
      </c>
      <c r="D19" s="469"/>
      <c r="E19" s="469"/>
      <c r="F19" s="472"/>
      <c r="G19" s="475"/>
      <c r="H19" s="473"/>
      <c r="I19" s="476"/>
      <c r="J19" s="477"/>
      <c r="K19" s="444"/>
    </row>
    <row r="20" spans="2:11" ht="51.75" customHeight="1">
      <c r="B20" s="468" t="s">
        <v>204</v>
      </c>
      <c r="C20" s="469"/>
      <c r="D20" s="469"/>
      <c r="E20" s="469">
        <v>90000</v>
      </c>
      <c r="F20" s="472"/>
      <c r="G20" s="467"/>
      <c r="H20" s="473"/>
      <c r="I20" s="476"/>
      <c r="J20" s="477"/>
      <c r="K20" s="444"/>
    </row>
    <row r="21" spans="2:11" ht="31.5" customHeight="1">
      <c r="B21" s="468" t="s">
        <v>205</v>
      </c>
      <c r="C21" s="469"/>
      <c r="D21" s="469"/>
      <c r="E21" s="469">
        <f>75900+7236576</f>
        <v>7312476</v>
      </c>
      <c r="F21" s="472"/>
      <c r="G21" s="467"/>
      <c r="H21" s="477"/>
      <c r="I21" s="442"/>
      <c r="J21" s="444"/>
      <c r="K21" s="444"/>
    </row>
    <row r="22" spans="2:11" ht="26.25" customHeight="1">
      <c r="B22" s="478"/>
      <c r="C22" s="479"/>
      <c r="D22" s="479"/>
      <c r="E22" s="480"/>
      <c r="F22" s="476"/>
      <c r="G22" s="443"/>
      <c r="H22" s="444"/>
      <c r="I22" s="442"/>
      <c r="J22" s="477"/>
      <c r="K22" s="444"/>
    </row>
    <row r="23" spans="5:20" ht="15.75">
      <c r="E23" s="2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5.7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5.7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3:20" ht="15.75">
      <c r="C26" s="1"/>
      <c r="D26" s="1"/>
      <c r="E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3:20" ht="15.75">
      <c r="C27" s="1"/>
      <c r="D27" s="1"/>
      <c r="E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3:20" ht="15.75">
      <c r="C28" s="1"/>
      <c r="D28" s="1"/>
      <c r="E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3:20" ht="15.75">
      <c r="C29" s="1"/>
      <c r="D29" s="1"/>
      <c r="E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3:20" ht="15.75">
      <c r="C30" s="1"/>
      <c r="D30" s="1"/>
      <c r="E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3:20" ht="15.75">
      <c r="C31" s="1"/>
      <c r="D31" s="1"/>
      <c r="E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3:20" ht="15.75">
      <c r="C32" s="72"/>
      <c r="D32" s="72"/>
      <c r="E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3:20" ht="15.75">
      <c r="C33" s="1"/>
      <c r="D33" s="1"/>
      <c r="E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3:20" ht="15.75">
      <c r="C34" s="1"/>
      <c r="D34" s="1"/>
      <c r="E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3:20" ht="15.75">
      <c r="C35" s="1"/>
      <c r="D35" s="1"/>
      <c r="E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3:20" ht="15.75">
      <c r="C36" s="1"/>
      <c r="D36" s="1"/>
      <c r="E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3:20" ht="15.75">
      <c r="C37" s="72"/>
      <c r="D37" s="72"/>
      <c r="E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3:20" ht="15.75">
      <c r="C38" s="1"/>
      <c r="D38" s="1"/>
      <c r="E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72"/>
      <c r="D43" s="72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</sheetData>
  <sheetProtection/>
  <printOptions/>
  <pageMargins left="0.3937007874015748" right="0" top="0.7874015748031497" bottom="0.787401574803149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2.75"/>
  <cols>
    <col min="3" max="3" width="18.140625" style="0" customWidth="1"/>
    <col min="4" max="4" width="23.57421875" style="208" customWidth="1"/>
    <col min="5" max="5" width="23.7109375" style="196" customWidth="1"/>
    <col min="6" max="6" width="28.140625" style="196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2014-06-30T11:12:48Z</cp:lastPrinted>
  <dcterms:created xsi:type="dcterms:W3CDTF">2009-03-04T08:33:11Z</dcterms:created>
  <dcterms:modified xsi:type="dcterms:W3CDTF">2014-06-30T12:51:58Z</dcterms:modified>
  <cp:category/>
  <cp:version/>
  <cp:contentType/>
  <cp:contentStatus/>
</cp:coreProperties>
</file>