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Proj Uch. RM nr   21.07. 2014." sheetId="1" r:id="rId1"/>
    <sheet name="Zał. nr 1" sheetId="2" r:id="rId2"/>
  </sheets>
  <definedNames>
    <definedName name="_xlnm.Print_Titles" localSheetId="1">'Zał. nr 1'!$11:$13</definedName>
  </definedNames>
  <calcPr fullCalcOnLoad="1"/>
</workbook>
</file>

<file path=xl/sharedStrings.xml><?xml version="1.0" encoding="utf-8"?>
<sst xmlns="http://schemas.openxmlformats.org/spreadsheetml/2006/main" count="348" uniqueCount="283">
  <si>
    <t xml:space="preserve">                                                                               § 3</t>
  </si>
  <si>
    <t>Nr 812 Rady Miasta Konina z dnia 28 maja 2014 r.; Nr 59/2014 Prezydenta Miasta Konina z dnia 5 czerwca 2014 r.;</t>
  </si>
  <si>
    <r>
      <rPr>
        <sz val="12"/>
        <rFont val="Times New Roman"/>
        <family val="1"/>
      </rP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</si>
  <si>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t>Nr 40/2014 Prezydenta Miasta Konina z dnia 11 kwietnia 2014 r.; Nr 42/2014 Prezydenta Miasta Konina</t>
  </si>
  <si>
    <t>z dnia 22 kwietnia 2014 r.; Nr 771 Rady Miasta Konina z dnia 30 kwietnia 2014 r.; Nr 45/2014 Prezydenta</t>
  </si>
  <si>
    <t>Miasta Konina z dnia 8 maja 2014 r.; Nr 48/2014 Prezydenta Miasta Konina z dnia 22 maja 2014 r.;</t>
  </si>
  <si>
    <t xml:space="preserve">miasta Konina na 2014 rok zmienionej  uchwałami i zarządzeniami w sprawie zmian w budżecie miasta Konina </t>
  </si>
  <si>
    <t>Projekt</t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</si>
  <si>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</si>
  <si>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</si>
  <si>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</si>
  <si>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</si>
  <si>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</si>
  <si>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</si>
  <si>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</si>
  <si>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</si>
  <si>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</si>
  <si>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</si>
  <si>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</si>
  <si>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</si>
  <si>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</si>
  <si>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</si>
  <si>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</si>
  <si>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</si>
  <si>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</si>
  <si>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Oświata i wychowanie</t>
  </si>
  <si>
    <t>Ochrona zdrowia</t>
  </si>
  <si>
    <t>Pozostałe zadania w zakresie polityki społecznej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</si>
  <si>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</si>
  <si>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</si>
  <si>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</si>
  <si>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z tego:</t>
  </si>
  <si>
    <t>zastępuje się kwotą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</si>
  <si>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</si>
  <si>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</si>
  <si>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</si>
  <si>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       Zwiększa się</t>
  </si>
  <si>
    <t xml:space="preserve">          zastępuje się kwotą</t>
  </si>
  <si>
    <t xml:space="preserve">         w tym: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</si>
  <si>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</si>
  <si>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</si>
  <si>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</si>
  <si>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</si>
  <si>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</si>
  <si>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</si>
  <si>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</si>
  <si>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</si>
  <si>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</si>
  <si>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4300</t>
  </si>
  <si>
    <t xml:space="preserve">         W uchwale Nr 700 Rady Miasta Konina z dnia 18 grudnia 2013 r. w sprawie uchwalenia budżetu</t>
  </si>
  <si>
    <t>"Twoja firma - wspomagamy przedsiębiorczych w Koninie" - w ramach programu POKL (dotacja celowa)</t>
  </si>
  <si>
    <t>Kultura i ochrona dziedzictwa narodowego</t>
  </si>
  <si>
    <t>Turystyka</t>
  </si>
  <si>
    <t>Edukacyjna opieka wychowawcza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</si>
  <si>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</si>
  <si>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</si>
  <si>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b) kwotę części powiatowej</t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</si>
  <si>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</si>
  <si>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na 2014 rok:  Nr 721 Rady Miasta Konina z dnia 29 stycznia 2014 r.; Nr  11/2014 Prezydenta Miasta Konina</t>
  </si>
  <si>
    <t>4810</t>
  </si>
  <si>
    <t>Transport i łączność</t>
  </si>
  <si>
    <t>Administracja publiczna</t>
  </si>
  <si>
    <t>Wykonanie nowej instalacji CO w pasażu handlowym od strony ul. Dworcowej</t>
  </si>
  <si>
    <t xml:space="preserve">           2) kwotę  wydatków  powiatu ogółem                      </t>
  </si>
  <si>
    <t>do niniejszej uchwały.</t>
  </si>
  <si>
    <t>Modernizacja oświetlenia ulicznego miasta  Konina na energooszczędne</t>
  </si>
  <si>
    <t xml:space="preserve">ZAŁĄCZNIK nr  1 </t>
  </si>
  <si>
    <t xml:space="preserve">Plan wydatków majątkowych realizowanych ze środków </t>
  </si>
  <si>
    <t>budżetowych miasta Konina na 2014 rok</t>
  </si>
  <si>
    <t xml:space="preserve">           Plan na 2014 rok</t>
  </si>
  <si>
    <t>Lp</t>
  </si>
  <si>
    <t>Nazwa  zadania</t>
  </si>
  <si>
    <t>ogółem</t>
  </si>
  <si>
    <t>środki  w ramach ustawy Prawo ochrony środowiska</t>
  </si>
  <si>
    <t>RAZEM GMINA</t>
  </si>
  <si>
    <t>Lokalny transport zbiorowy</t>
  </si>
  <si>
    <t>Zakup i montaż wiat  przystankowych</t>
  </si>
  <si>
    <t>Drogi publiczne gminne</t>
  </si>
  <si>
    <t>Przebudowa ulicy Stodolnianej w Koninie</t>
  </si>
  <si>
    <t>Rozbudowa skrzyżowania ulic Stanisława Staszica, Romana Dmowskiego i Tadeusza Kościuszki na skrzyżowanie typu "rondo" w Koninie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</si>
  <si>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</si>
  <si>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</si>
  <si>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</si>
  <si>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</si>
  <si>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</si>
  <si>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</si>
  <si>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</si>
  <si>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</si>
  <si>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</si>
  <si>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Budowa ulicy Brunatnej w Koninie - etap I</t>
  </si>
  <si>
    <t>Przebudowa chodnika przy ul. Zofii Nałkowskiej w Koninie</t>
  </si>
  <si>
    <t>Przebudowa ul. Jana Matejki w Koninie</t>
  </si>
  <si>
    <t>Przebudowa ul. Południowej w Koninie</t>
  </si>
  <si>
    <t>Opracowanie dokumentacji projektowo-kosztorysowej na budowę dróg w rejonie bloków przy ulicy Gosławickiej w Koninie</t>
  </si>
  <si>
    <t>Opracowanie dokumantacji projwktowo-kosztorysowej na przebudowe ulic : Beznazwy i Wilczej w Koninie</t>
  </si>
  <si>
    <t>Opracowanie dokumentacji projektowo-kosztorysowej na budowę miejsc postojowych na ul. K. Szymanowskiego 5a w Koninie</t>
  </si>
  <si>
    <t>Budowa ulic: Dobrowolskiego, Kuratowskiego, Mazurkiewicza i Trzebiatowskiego w Koninie</t>
  </si>
  <si>
    <t>Budowa ulic na osiedlu Wilków (Leszczynowa, Borowa)</t>
  </si>
  <si>
    <t>Budowa dróg os. Łężyn - rejon ul. Mostowej III etap</t>
  </si>
  <si>
    <t>Budowa ulicy Nasturcjowej w Koninie</t>
  </si>
  <si>
    <t>Opracowanie  dokumentacji projektowo-kosztorysowej na budowę ul. Grójeckiej w Koninie</t>
  </si>
  <si>
    <t>Gospodarka mieszkaniowa</t>
  </si>
  <si>
    <t>Gospodarka gruntami i nieruchomościami</t>
  </si>
  <si>
    <t>Wykonanie systemu monitoringu na terenie Ośrodka "Przystań Gosławice"</t>
  </si>
  <si>
    <t>Nabycie nieruchomości gruntowych</t>
  </si>
  <si>
    <t>Pozostała działalność</t>
  </si>
  <si>
    <t>Budowa czterech domków mieszkalnych oraz rozbudowa budynku gospodarczego w Koninie przy ul. M. Dąbrowskiej</t>
  </si>
  <si>
    <t>Przebudowa i rozbudowa budynków komunalnych przy ul. Wiosny Ludów 11 i 13 w Koninie</t>
  </si>
  <si>
    <t>Nadbudowa wielorodzinnych budynków mieszkalnych w Koninie - koncepcja</t>
  </si>
  <si>
    <t>Opracowanie dokumentacji projektowo - kosztorysowej na   budowę budynku gospodarczego z pomieszczeniami przynależnymi  do lokali mieszkalnych w budynku przy ul. M. Dąbrowskiej 50 w Koninie</t>
  </si>
  <si>
    <t>Rewitalizacja Starówki - budowa budynków mieszkalnych wielorodzinnych pomiędzy ulicą Wodną i Grunwaldzką w Koninie</t>
  </si>
  <si>
    <t>Urzędy gmin (miast i miast na prawach powiatu)</t>
  </si>
  <si>
    <t>Rozbudowa sieci i centrali telefonicznej Urzędu Miejskiego</t>
  </si>
  <si>
    <t>Doposażenie techniczne urzędu</t>
  </si>
  <si>
    <t>Promocja jednostek samorządu terytorialnego</t>
  </si>
  <si>
    <t>Zakup namiotów reklamowych Miasta Konina</t>
  </si>
  <si>
    <t>Adaptacja budynku przy ul. Benesza 1 w Koninie  na cele administracyjne</t>
  </si>
  <si>
    <t>Bezpieczeństwo publiczne i ochrona przeciwpożarowa</t>
  </si>
  <si>
    <t>Ochotnicze Straże Pożarne</t>
  </si>
  <si>
    <t xml:space="preserve">Zakupy inwestycyjne </t>
  </si>
  <si>
    <t>Obrona cywilna</t>
  </si>
  <si>
    <t>Różne rozliczenia</t>
  </si>
  <si>
    <t>Rezerwy ogólne i celowe</t>
  </si>
  <si>
    <t>Rezerwa celowa na inwestycje i zakupy inwestycyjne</t>
  </si>
  <si>
    <t>Szkoły podstawowe</t>
  </si>
  <si>
    <t>Opracowanie dokumentacji projektowo-kosztorysowej na budowę sali gimnastycznej Szkoły Podstawowej   Nr 1 w Koninie</t>
  </si>
  <si>
    <t>Budowa kompleksu boisk przy Szkole Podstawowej Nr 4 w Koninie</t>
  </si>
  <si>
    <t>Budowa kanalizacji deszczowej i odwodnienia boisk na terenie Szkoły Podstawowej nr 4 w Koninie</t>
  </si>
  <si>
    <t xml:space="preserve">Wykonanie piłkochwytu na boisku Szkoły Podstawowej Nr 1 </t>
  </si>
  <si>
    <t>Adaptacja płyty asfaltowej na placu szkolnym na kort tenisowy przy Szkole Podstawowej Nr 3</t>
  </si>
  <si>
    <t>Modernizacja węzła sanitarnego przy sali gimnastycznej wraz z korytarzem w Szkole Podstawowej nr 12 w Koninie</t>
  </si>
  <si>
    <t>Modernizacja kuchni w  Szkole Podstawowej nr 6 w Koninie</t>
  </si>
  <si>
    <t>Zakup piłkochwytów w Szkole Podstawowej Nr 9</t>
  </si>
  <si>
    <t>Zakup serwera do pracowni komputerowej w Szkole Podstawowej Nr 10</t>
  </si>
  <si>
    <t>Przedszkola</t>
  </si>
  <si>
    <t>Budowa parkingu przy Przedszkolu Nr 7 w Koninie</t>
  </si>
  <si>
    <t>Zakup i montaż urządzeń na plac zabaw dla Przedszkola nr 17 w Koninie</t>
  </si>
  <si>
    <t>Wykonanie instalacji ewakuacyjnej w Przedszkolu nr 7 w Koninie</t>
  </si>
  <si>
    <t>Założenie monitoringu wizyjnego w Przedszkolu nr 2</t>
  </si>
  <si>
    <t>Zakup kuchni gazowej dla Przedszkola nr 7 w Koninie</t>
  </si>
  <si>
    <t>Zakup  wyposażenia na plac zabaw dla Przedszkola nr 13</t>
  </si>
  <si>
    <t>Zakup  wyposażenia na plac zabaw dla Przedszkola nr 14</t>
  </si>
  <si>
    <t>Zakup karuzeli dla dzieci na plac zabaw do Przedszkola nr 5</t>
  </si>
  <si>
    <t>Zakup obieraczki do ziemniaków dla przedszkola nr 17 w Koninie</t>
  </si>
  <si>
    <t>Zakup kotła warzelnego do kuchni dla Przedszkola nr 16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</si>
  <si>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</si>
  <si>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</si>
  <si>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</si>
  <si>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Gimnazja</t>
  </si>
  <si>
    <t>Budowa zespołu boisk przy Gimnazjum nr 7 w Koninie</t>
  </si>
  <si>
    <t>Opracowanie dokumentacji projektowo-kosztorysowej na budowę boisk przy  Gimnazjum Nr 1 w Koninie</t>
  </si>
  <si>
    <t>Stołówki szkolne i przedszkolne</t>
  </si>
  <si>
    <t>Zakup obieraczki do ziemniaków do kuchni w Szkole Podstawowej Nr 1</t>
  </si>
  <si>
    <t>Zakup zmywarki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</si>
  <si>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</si>
  <si>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</si>
  <si>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</si>
  <si>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</si>
  <si>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Zarządzanie energią w budynkach użyteczności publicznej w Koninie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</si>
  <si>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</si>
  <si>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</si>
  <si>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</si>
  <si>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</si>
  <si>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Zakup samochodu służbowego do przewozu  osób niepełnosprawnych-MOPR KONIN</t>
  </si>
  <si>
    <t>Żłobki</t>
  </si>
  <si>
    <t xml:space="preserve">Adaptacja pomieszczeń pralni na oddział dziecięcy w Żłobku Miejskim przy ul. Staszica 17 w Koninie
</t>
  </si>
  <si>
    <t xml:space="preserve">Dostosowanie klatki schodowej do obowiązujących przepisów ppoż w budynku Żłobka Miejskiego  przy ul. Staszica 17 w Koninie
</t>
  </si>
  <si>
    <t xml:space="preserve">Pozostała działalność </t>
  </si>
  <si>
    <t>. "Jesteś przedsiębiorczy! Zacznij działać już dziś w Koninie"w ramach programu POKL (dotacja celowa)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</si>
  <si>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</si>
  <si>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</si>
  <si>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</si>
  <si>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Utrzymanie zieleni w miastach i gminach</t>
  </si>
  <si>
    <t>Budowa boiska do koszykówki na terenie zieleni miejskiej przy ul. Janowskiej</t>
  </si>
  <si>
    <t>Oświetlenie ulic, placów i dróg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</si>
  <si>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</si>
  <si>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</si>
  <si>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Opracowanie dokumentacji projektowo-  kosztorysowej na budowę oświetlenia ulic Konwaliowej i Malwowej w Koninie</t>
  </si>
  <si>
    <t>Budowa oświetlenia na parkingu przy ul. F. Chopina 18 i 17 c,d,e,f,g,h,i,j w Koninie</t>
  </si>
  <si>
    <t>Opracowanie dokumentacji na budowę  oświetlenia ulicy Beniowskiej i doświetlenia przejścia dla pieszych na ul. Beniowskiej w Koninie</t>
  </si>
  <si>
    <t>Rozbudowa złącza energetycznego na terenach pogórniczych przy jeziorku-Zatorze</t>
  </si>
  <si>
    <t>Zakup infrastruktury oświetleniowej na terenie Miasta Konin</t>
  </si>
  <si>
    <t>Zakup infrastruktury oświetleniowej na osiedlu Niesłusz w Koninie</t>
  </si>
  <si>
    <t>Wniesienie wkładu pieniężnego na budowę sieci kanalizacji sanitarnej i wodociągu w ulicy Rudzickiej</t>
  </si>
  <si>
    <t>Wniesienie wkładu pieniężnego do spółki Geotermia Konin Spółka z o.o. w Koninie</t>
  </si>
  <si>
    <t>Wniesienie wkładu pieniężnego na budowę wodociągu w ulicy Piaskowej, Borowej i Świerkowej</t>
  </si>
  <si>
    <t>Wniesienie wkładu pieniężnego na budowę sieci wodociągowej w ulicach Staromorzysławskiej, Działkowej i Granicznej</t>
  </si>
  <si>
    <t xml:space="preserve">Wniesienie wkładu pieniężnego na budowę kanalizacji sanitarnej oraz  wodociągu  w ulicach Matejki i Wyspiańskiego </t>
  </si>
  <si>
    <t>Budowa placów zabaw na os. Laskówiec i Grójec w Koninie</t>
  </si>
  <si>
    <t>Budowa kanalizacji deszczowej na terenie osiedla Pątnów  w Koninie</t>
  </si>
  <si>
    <t xml:space="preserve">Opracowanie dokumentacji projektowej na nowy przebieg cieku wodnego zlokalizowanego na terenie Międzylesia m. Konina </t>
  </si>
  <si>
    <t>Zagospodarowanie terenów pogórniczych os. Zatorze,  Etap V  Konin ul. Paderewskiego</t>
  </si>
  <si>
    <t xml:space="preserve">Uzbrojenie terenów inwestycyjnych w obrębie Konin - Międzylesie </t>
  </si>
  <si>
    <t>Budowa przyłączy kanalizacyjnych i przyłączenie nieruchomości do miejskiej sieci kanalizacyjnej</t>
  </si>
  <si>
    <t>Domy i ośrodki kultury, świetlice i kluby</t>
  </si>
  <si>
    <t>Adaptacja pomieszczeń budynku Klubu Energetyk na potrzeby Młodzieżowego Domu Kultury w Koninie</t>
  </si>
  <si>
    <t>Dotacja celowa na zakup  i montaż instalacji satelitarnej do odbioru i emisji wydarzeń kulturalnych</t>
  </si>
  <si>
    <t>Kultura fizyczna</t>
  </si>
  <si>
    <t>Obiekty sportowe</t>
  </si>
  <si>
    <t>Docieplenie budynku na stadionie przy ul. Łężyńskiej wraz z monitoringiem</t>
  </si>
  <si>
    <t>Zadaszenie trybun na stadionie przy ul. Podwale</t>
  </si>
  <si>
    <t>Instytucje kultury fizycznej</t>
  </si>
  <si>
    <t>Skate Park dla rowerzystów z monitoringiem i oświetleniem</t>
  </si>
  <si>
    <t>Zakup i montaż areatora wodnego</t>
  </si>
  <si>
    <t>Zakupy inwestycyjne dla obiektów MOSiR w Koninie</t>
  </si>
  <si>
    <t>RAZEM POWIAT</t>
  </si>
  <si>
    <t>Drogi publiczne w miastach na prawach powiatu</t>
  </si>
  <si>
    <t>Przebudowa ul. Żwirki i Wigury wraz z kanalizacją deszczową</t>
  </si>
  <si>
    <t>Budowa drogi - łącznik od ul. Przemysłowej do ul. Kleczewskiej w Koninie</t>
  </si>
  <si>
    <t>Przebudowa chodnika przy ul. Przemysłowej w Koninie</t>
  </si>
  <si>
    <t>Dostawa i montaż wyświetlaczy czasu</t>
  </si>
  <si>
    <t>Dokumentacja projektowo-kosztorysowa na wykonanie doświetlonego przejścia dla pieszych na skrzyżowaniu ulic: Europejska - Wierzbowa w Koninie</t>
  </si>
  <si>
    <t>Opracowanie dokumentacji projektowo-kosztorysowej na przebudowę ul. Jana Pawła II w Koninie</t>
  </si>
  <si>
    <t xml:space="preserve">Opracowanie dokumentacji projektowo-kosztorysowej na budowę parkingu przy ul.  Wyzwolenia 23 w Koninie </t>
  </si>
  <si>
    <t>Dokumentacje przyszłościowe</t>
  </si>
  <si>
    <t>Budowa łącznika pomiędzy ul. Poznańską i ul. Przemysłową</t>
  </si>
  <si>
    <t>Opracowanie koncepcji na budowę łącznika ul. I. Paderewskiego i ul. Kard. S. Wyszyńskiego w Koninie</t>
  </si>
  <si>
    <t>Przebudowa mostu im. Józefa Piłsudskiego w Koninie</t>
  </si>
  <si>
    <t xml:space="preserve">Budowa budynku usług publicznych przy ul. Z. Urbanowskiej w Koninie </t>
  </si>
  <si>
    <t>Opracowanie dokumentacji projektowej na budowę toalet przy Bulwarze Nadwarciańskim w Koninie</t>
  </si>
  <si>
    <t>Działalność usługowa</t>
  </si>
  <si>
    <t>Ośrodki dokumentacji geodezyjnej i kartograficznej</t>
  </si>
  <si>
    <t xml:space="preserve">Wykonanie, dostawa i montaż regałów  przesuwanych do  pomieszczenia Archiwum w budynku przy ul. Andrzeja Benesza 
 w Koninie
</t>
  </si>
  <si>
    <t xml:space="preserve">Zakup sprzętu komputerowego 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</si>
  <si>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</si>
  <si>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</si>
  <si>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</si>
  <si>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</si>
  <si>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</si>
  <si>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</si>
  <si>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</si>
  <si>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</si>
  <si>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</si>
  <si>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</si>
  <si>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Specjalne ośrodki szkolno-wychowawcze</t>
  </si>
  <si>
    <t>Zakup samochodu do przewozu osób niepełnosprawnych - SOSW w Koninie</t>
  </si>
  <si>
    <t>Zakup kserokopiarki w SOS-W w Koninie</t>
  </si>
  <si>
    <t xml:space="preserve">Kultura fizyczna </t>
  </si>
  <si>
    <t>Rozbudowa boisk przy ZSGE ul. Kard. Wyszyńskiego 3  w Koninie</t>
  </si>
  <si>
    <t>900</t>
  </si>
  <si>
    <t>6050</t>
  </si>
  <si>
    <t xml:space="preserve">          b) kwotę wydatków majątkowych ogółem                      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</si>
  <si>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</si>
  <si>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t>W części dotyczącej zadań  gminy</t>
  </si>
  <si>
    <t>Zmniejsza się plan wydatków o kwotę</t>
  </si>
  <si>
    <t>Zwiększa się plan wydatków o kwotę</t>
  </si>
  <si>
    <t>W części dotyczącej zadań  powiatu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</si>
  <si>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</si>
  <si>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 xml:space="preserve">                                     UCHWAŁA  NR   </t>
  </si>
  <si>
    <t>600</t>
  </si>
  <si>
    <t>60016</t>
  </si>
  <si>
    <t>4270</t>
  </si>
  <si>
    <t>90015</t>
  </si>
  <si>
    <t>dz. 600 rozdz.60016 § 6050 zwiększa się o kwotę</t>
  </si>
  <si>
    <t>dz. 600 rozdz.60016 § 6050 zmniejsza się o kwotę</t>
  </si>
  <si>
    <t xml:space="preserve">Opracowanie  dokumentacji projektowo-kosztorysowej na budowę </t>
  </si>
  <si>
    <t>ul. Wierzbowej (od ul. Europejskiej w kierunku wschodnim)</t>
  </si>
  <si>
    <t xml:space="preserve">Opracowanie dokumentacji projektowo-kosztorysowej na budowę dróg </t>
  </si>
  <si>
    <t xml:space="preserve"> w rejonie bloków przy ulicy Gosławickiej w Koninie</t>
  </si>
  <si>
    <t xml:space="preserve">Budowa ulic: Dobrowolskiego, Kuratowskiego, Mazurkiewicza </t>
  </si>
  <si>
    <t>i Trzebiatowskiego w Koninie</t>
  </si>
  <si>
    <t>dz. 900 rozdz.90015 § 6050 zmniejsza się o kwotę</t>
  </si>
  <si>
    <t xml:space="preserve">Opracowanie dokumentacji na budowę  oświetlenia ulicy Beniowskiej i doświetlenia </t>
  </si>
  <si>
    <t>przejścia dla pieszych na ul. Beniowskiej w Koninie</t>
  </si>
  <si>
    <t>dz. 600 rozdz.60015 § 6050 zmniejsza się o kwotę</t>
  </si>
  <si>
    <t xml:space="preserve">Opracowanie dokumentacji projektowo-kosztorysowej na przebudowę </t>
  </si>
  <si>
    <t xml:space="preserve"> ul. Jana Pawła II w Koninie</t>
  </si>
  <si>
    <t>757</t>
  </si>
  <si>
    <t>75702</t>
  </si>
  <si>
    <t>8110</t>
  </si>
  <si>
    <t>1. W § 1 ust. 3</t>
  </si>
  <si>
    <t>2. W Załączniku Nr 2 do uchwały budżetowej dokonuje się następujących zmian:</t>
  </si>
  <si>
    <t>3. W Załączniku Nr 2 do uchwały budżetowej dokonuje się następujących zmian:</t>
  </si>
  <si>
    <r>
      <t xml:space="preserve"> 4.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</si>
  <si>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5. W § 4 do uchwały budżetowej dokonuje się następujących zmian:</t>
  </si>
  <si>
    <t xml:space="preserve">Nr 824 Rady Miasta Konina z dnia 25 czerwca 2014 r.; Nr 65/2014 Prezydenta Miasta Konina z dnia </t>
  </si>
  <si>
    <r>
      <t xml:space="preserve">z dnia 4 lipca 2014 r.; </t>
    </r>
    <r>
      <rPr>
        <b/>
        <i/>
        <sz val="12"/>
        <rFont val="Times New Roman"/>
        <family val="1"/>
      </rPr>
      <t>- wprowadza się następujące zmiany:</t>
    </r>
  </si>
  <si>
    <t xml:space="preserve">do Uchwały nr     </t>
  </si>
  <si>
    <t xml:space="preserve">                                     z dnia  21 lipca  2014 roku</t>
  </si>
  <si>
    <t>26 czerwca 2014 r.; Nr 837 Rady Miasta Konina z dnia 3 lipca 2014 r.; Nr 67/2014 Prezydenta Miasta Konina</t>
  </si>
  <si>
    <t xml:space="preserve">z dnia    21 lipca  2014 roku       </t>
  </si>
  <si>
    <t>DRUK nr  903</t>
  </si>
  <si>
    <t>Kwota wydatków 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</si>
</sst>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9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b/>
      <sz val="14"/>
      <color indexed="17"/>
      <name val="Times New Roman"/>
      <family val="1"/>
    </font>
    <font>
      <sz val="11"/>
      <name val="Times New Roman CE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9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10" fillId="0" borderId="12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4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5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6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9" fontId="9" fillId="0" borderId="0" xfId="54" applyNumberFormat="1" applyFont="1" applyFill="1">
      <alignment/>
      <protection/>
    </xf>
    <xf numFmtId="49" fontId="9" fillId="0" borderId="0" xfId="54" applyNumberFormat="1" applyFont="1" applyFill="1" applyAlignment="1">
      <alignment horizontal="center"/>
      <protection/>
    </xf>
    <xf numFmtId="49" fontId="3" fillId="0" borderId="0" xfId="54" applyNumberFormat="1" applyFont="1" applyFill="1">
      <alignment/>
      <protection/>
    </xf>
    <xf numFmtId="49" fontId="9" fillId="0" borderId="13" xfId="52" applyNumberFormat="1" applyFont="1" applyFill="1" applyBorder="1">
      <alignment/>
      <protection/>
    </xf>
    <xf numFmtId="49" fontId="9" fillId="0" borderId="13" xfId="52" applyNumberFormat="1" applyFont="1" applyFill="1" applyBorder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15" xfId="52" applyNumberFormat="1" applyFont="1" applyFill="1" applyBorder="1" applyAlignment="1">
      <alignment horizontal="right" vertical="top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5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3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6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4" fillId="0" borderId="0" xfId="52" applyNumberFormat="1" applyFont="1" applyFill="1">
      <alignment/>
      <protection/>
    </xf>
    <xf numFmtId="49" fontId="1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7" fillId="0" borderId="0" xfId="55" applyNumberFormat="1" applyFont="1" applyFill="1" applyAlignment="1">
      <alignment horizontal="center"/>
      <protection/>
    </xf>
    <xf numFmtId="49" fontId="14" fillId="0" borderId="0" xfId="55" applyNumberFormat="1" applyFont="1" applyFill="1">
      <alignment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4" applyNumberFormat="1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4" fontId="3" fillId="0" borderId="0" xfId="54" applyNumberFormat="1" applyFont="1" applyFill="1">
      <alignment/>
      <protection/>
    </xf>
    <xf numFmtId="49" fontId="14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horizontal="center"/>
      <protection/>
    </xf>
    <xf numFmtId="0" fontId="14" fillId="0" borderId="0" xfId="54" applyFont="1" applyFill="1">
      <alignment/>
      <protection/>
    </xf>
    <xf numFmtId="4" fontId="14" fillId="0" borderId="0" xfId="54" applyNumberFormat="1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4" fillId="0" borderId="0" xfId="54" applyFont="1" applyFill="1">
      <alignment/>
      <protection/>
    </xf>
    <xf numFmtId="0" fontId="9" fillId="0" borderId="21" xfId="0" applyFont="1" applyFill="1" applyBorder="1" applyAlignment="1">
      <alignment vertical="center" wrapText="1"/>
    </xf>
    <xf numFmtId="0" fontId="13" fillId="0" borderId="0" xfId="53" applyFont="1" applyFill="1" applyAlignment="1">
      <alignment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/>
    </xf>
    <xf numFmtId="49" fontId="14" fillId="0" borderId="0" xfId="52" applyNumberFormat="1" applyFont="1" applyFill="1" applyAlignment="1">
      <alignment horizontal="left"/>
      <protection/>
    </xf>
    <xf numFmtId="0" fontId="32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/>
    </xf>
    <xf numFmtId="49" fontId="16" fillId="0" borderId="0" xfId="52" applyNumberFormat="1" applyFont="1" applyFill="1" applyBorder="1" applyAlignment="1">
      <alignment horizontal="center"/>
      <protection/>
    </xf>
    <xf numFmtId="4" fontId="16" fillId="0" borderId="0" xfId="52" applyNumberFormat="1" applyFont="1" applyFill="1" applyBorder="1" applyAlignment="1">
      <alignment horizontal="right"/>
      <protection/>
    </xf>
    <xf numFmtId="4" fontId="44" fillId="0" borderId="0" xfId="53" applyNumberFormat="1" applyFont="1" applyFill="1" applyAlignment="1">
      <alignment horizontal="right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4" fontId="24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4" fontId="13" fillId="0" borderId="0" xfId="52" applyNumberFormat="1" applyFont="1" applyFill="1" applyBorder="1" applyAlignment="1">
      <alignment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4" fontId="5" fillId="0" borderId="12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4" fontId="21" fillId="0" borderId="0" xfId="52" applyNumberFormat="1" applyFont="1" applyFill="1" applyBorder="1">
      <alignment/>
      <protection/>
    </xf>
    <xf numFmtId="0" fontId="47" fillId="0" borderId="0" xfId="52" applyFont="1" applyFill="1" applyAlignment="1">
      <alignment horizontal="left"/>
      <protection/>
    </xf>
    <xf numFmtId="0" fontId="47" fillId="0" borderId="0" xfId="56" applyFont="1" applyFill="1" applyAlignment="1">
      <alignment horizontal="left"/>
      <protection/>
    </xf>
    <xf numFmtId="4" fontId="46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" fontId="41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37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42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4" fontId="26" fillId="0" borderId="0" xfId="52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19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>
      <alignment/>
      <protection/>
    </xf>
    <xf numFmtId="4" fontId="45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 applyAlignment="1">
      <alignment vertical="center"/>
      <protection/>
    </xf>
    <xf numFmtId="4" fontId="20" fillId="0" borderId="0" xfId="52" applyNumberFormat="1" applyFont="1" applyFill="1" applyBorder="1" applyAlignment="1">
      <alignment vertical="center"/>
      <protection/>
    </xf>
    <xf numFmtId="4" fontId="9" fillId="0" borderId="0" xfId="52" applyNumberFormat="1" applyFont="1" applyFill="1" applyBorder="1" applyAlignment="1">
      <alignment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" fontId="5" fillId="0" borderId="15" xfId="52" applyNumberFormat="1" applyFont="1" applyFill="1" applyBorder="1" applyAlignment="1">
      <alignment horizontal="right" vertical="center" wrapText="1"/>
      <protection/>
    </xf>
    <xf numFmtId="0" fontId="9" fillId="0" borderId="15" xfId="52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5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4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4" fontId="29" fillId="0" borderId="0" xfId="0" applyNumberFormat="1" applyFont="1" applyFill="1" applyAlignment="1">
      <alignment wrapText="1"/>
    </xf>
    <xf numFmtId="0" fontId="49" fillId="0" borderId="0" xfId="0" applyFont="1" applyFill="1" applyAlignment="1">
      <alignment horizontal="left"/>
    </xf>
    <xf numFmtId="1" fontId="50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4" fontId="52" fillId="0" borderId="0" xfId="0" applyNumberFormat="1" applyFont="1" applyFill="1" applyAlignment="1">
      <alignment/>
    </xf>
    <xf numFmtId="0" fontId="11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4" fontId="31" fillId="0" borderId="15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vertical="center"/>
    </xf>
    <xf numFmtId="4" fontId="53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5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29" fillId="0" borderId="18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 wrapText="1"/>
    </xf>
    <xf numFmtId="4" fontId="29" fillId="0" borderId="12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 wrapText="1"/>
    </xf>
    <xf numFmtId="4" fontId="31" fillId="0" borderId="22" xfId="0" applyNumberFormat="1" applyFont="1" applyFill="1" applyBorder="1" applyAlignment="1">
      <alignment vertical="center" wrapText="1"/>
    </xf>
    <xf numFmtId="4" fontId="31" fillId="0" borderId="15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 wrapText="1"/>
    </xf>
    <xf numFmtId="4" fontId="30" fillId="0" borderId="22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2" xfId="0" applyNumberFormat="1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2" xfId="52" applyFont="1" applyFill="1" applyBorder="1" applyAlignment="1">
      <alignment vertical="center" wrapText="1"/>
      <protection/>
    </xf>
    <xf numFmtId="0" fontId="29" fillId="0" borderId="15" xfId="52" applyFont="1" applyFill="1" applyBorder="1" applyAlignment="1">
      <alignment vertical="center" wrapText="1"/>
      <protection/>
    </xf>
    <xf numFmtId="4" fontId="29" fillId="0" borderId="15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4" fontId="57" fillId="0" borderId="0" xfId="0" applyNumberFormat="1" applyFont="1" applyFill="1" applyAlignment="1">
      <alignment/>
    </xf>
    <xf numFmtId="0" fontId="25" fillId="0" borderId="16" xfId="0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" fontId="29" fillId="0" borderId="10" xfId="52" applyNumberFormat="1" applyFont="1" applyFill="1" applyBorder="1" applyAlignment="1">
      <alignment vertical="center"/>
      <protection/>
    </xf>
    <xf numFmtId="4" fontId="29" fillId="0" borderId="12" xfId="52" applyNumberFormat="1" applyFont="1" applyFill="1" applyBorder="1" applyAlignment="1">
      <alignment vertical="center"/>
      <protection/>
    </xf>
    <xf numFmtId="0" fontId="30" fillId="0" borderId="10" xfId="52" applyFont="1" applyFill="1" applyBorder="1" applyAlignment="1">
      <alignment vertical="center" wrapText="1"/>
      <protection/>
    </xf>
    <xf numFmtId="4" fontId="30" fillId="0" borderId="10" xfId="52" applyNumberFormat="1" applyFont="1" applyFill="1" applyBorder="1" applyAlignment="1">
      <alignment vertical="center"/>
      <protection/>
    </xf>
    <xf numFmtId="4" fontId="30" fillId="0" borderId="12" xfId="52" applyNumberFormat="1" applyFont="1" applyFill="1" applyBorder="1" applyAlignment="1">
      <alignment vertical="center"/>
      <protection/>
    </xf>
    <xf numFmtId="0" fontId="29" fillId="0" borderId="10" xfId="52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31" fillId="0" borderId="10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 wrapText="1"/>
      <protection/>
    </xf>
    <xf numFmtId="4" fontId="31" fillId="0" borderId="12" xfId="52" applyNumberFormat="1" applyFont="1" applyFill="1" applyBorder="1" applyAlignment="1">
      <alignment vertical="center" wrapText="1"/>
      <protection/>
    </xf>
    <xf numFmtId="0" fontId="30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4" fontId="30" fillId="0" borderId="10" xfId="52" applyNumberFormat="1" applyFont="1" applyFill="1" applyBorder="1" applyAlignment="1">
      <alignment vertical="center" wrapText="1"/>
      <protection/>
    </xf>
    <xf numFmtId="4" fontId="30" fillId="0" borderId="12" xfId="52" applyNumberFormat="1" applyFont="1" applyFill="1" applyBorder="1" applyAlignment="1">
      <alignment vertical="center" wrapText="1"/>
      <protection/>
    </xf>
    <xf numFmtId="0" fontId="12" fillId="0" borderId="21" xfId="0" applyFont="1" applyFill="1" applyBorder="1" applyAlignment="1">
      <alignment vertical="center"/>
    </xf>
    <xf numFmtId="0" fontId="31" fillId="0" borderId="11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/>
      <protection/>
    </xf>
    <xf numFmtId="4" fontId="31" fillId="0" borderId="12" xfId="52" applyNumberFormat="1" applyFont="1" applyFill="1" applyBorder="1" applyAlignment="1">
      <alignment vertical="center"/>
      <protection/>
    </xf>
    <xf numFmtId="0" fontId="3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/>
    </xf>
    <xf numFmtId="0" fontId="29" fillId="0" borderId="12" xfId="52" applyFont="1" applyFill="1" applyBorder="1" applyAlignment="1">
      <alignment vertical="center" wrapText="1"/>
      <protection/>
    </xf>
    <xf numFmtId="0" fontId="31" fillId="0" borderId="12" xfId="52" applyFont="1" applyFill="1" applyBorder="1" applyAlignment="1">
      <alignment vertical="center" wrapText="1"/>
      <protection/>
    </xf>
    <xf numFmtId="0" fontId="57" fillId="0" borderId="0" xfId="0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2" xfId="52" applyFont="1" applyFill="1" applyBorder="1" applyAlignment="1">
      <alignment vertical="center" wrapText="1"/>
      <protection/>
    </xf>
    <xf numFmtId="0" fontId="56" fillId="0" borderId="0" xfId="0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0" fontId="29" fillId="0" borderId="23" xfId="0" applyFont="1" applyFill="1" applyBorder="1" applyAlignment="1">
      <alignment horizontal="center" vertical="center"/>
    </xf>
    <xf numFmtId="4" fontId="29" fillId="0" borderId="12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9" fillId="0" borderId="12" xfId="52" applyFont="1" applyFill="1" applyBorder="1" applyAlignment="1">
      <alignment horizontal="left" vertical="top" wrapText="1"/>
      <protection/>
    </xf>
    <xf numFmtId="4" fontId="51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4" fontId="58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38" fillId="0" borderId="0" xfId="52" applyNumberFormat="1" applyFont="1" applyFill="1" applyBorder="1" applyAlignment="1">
      <alignment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0" xfId="55" applyNumberFormat="1" applyFont="1" applyFill="1">
      <alignment/>
      <protection/>
    </xf>
    <xf numFmtId="4" fontId="34" fillId="0" borderId="0" xfId="52" applyNumberFormat="1" applyFont="1" applyFill="1" applyBorder="1" applyAlignment="1">
      <alignment vertical="center"/>
      <protection/>
    </xf>
    <xf numFmtId="49" fontId="28" fillId="0" borderId="0" xfId="55" applyNumberFormat="1" applyFont="1" applyFill="1">
      <alignment/>
      <protection/>
    </xf>
    <xf numFmtId="49" fontId="60" fillId="0" borderId="0" xfId="52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" fontId="21" fillId="0" borderId="0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5" applyNumberFormat="1" applyFont="1" applyFill="1" applyBorder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" fontId="3" fillId="0" borderId="15" xfId="52" applyNumberFormat="1" applyFont="1" applyFill="1" applyBorder="1" applyAlignment="1">
      <alignment horizontal="right" vertical="center" wrapText="1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vertical="center"/>
    </xf>
    <xf numFmtId="4" fontId="29" fillId="33" borderId="10" xfId="0" applyNumberFormat="1" applyFont="1" applyFill="1" applyBorder="1" applyAlignment="1">
      <alignment vertical="center"/>
    </xf>
    <xf numFmtId="4" fontId="29" fillId="33" borderId="10" xfId="52" applyNumberFormat="1" applyFont="1" applyFill="1" applyBorder="1" applyAlignment="1">
      <alignment vertical="center"/>
      <protection/>
    </xf>
    <xf numFmtId="4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0" fontId="9" fillId="0" borderId="0" xfId="53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19" fillId="0" borderId="0" xfId="53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4" fontId="19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6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4" fontId="11" fillId="0" borderId="0" xfId="52" applyNumberFormat="1" applyFont="1" applyFill="1" applyBorder="1">
      <alignment/>
      <protection/>
    </xf>
    <xf numFmtId="4" fontId="34" fillId="0" borderId="0" xfId="52" applyNumberFormat="1" applyFont="1" applyFill="1" applyBorder="1">
      <alignment/>
      <protection/>
    </xf>
    <xf numFmtId="4" fontId="37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5" fillId="0" borderId="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4" fontId="39" fillId="0" borderId="0" xfId="52" applyNumberFormat="1" applyFont="1" applyFill="1" applyBorder="1" applyAlignment="1">
      <alignment vertical="center"/>
      <protection/>
    </xf>
    <xf numFmtId="0" fontId="35" fillId="0" borderId="0" xfId="0" applyFont="1" applyFill="1" applyBorder="1" applyAlignment="1">
      <alignment/>
    </xf>
    <xf numFmtId="0" fontId="34" fillId="0" borderId="0" xfId="52" applyFont="1" applyFill="1" applyBorder="1">
      <alignment/>
      <protection/>
    </xf>
    <xf numFmtId="49" fontId="19" fillId="0" borderId="0" xfId="52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Uch.RMK luty" xfId="54"/>
    <cellStyle name="Normalny_Uch.RMK marzec" xfId="55"/>
    <cellStyle name="Normalny_ZPMK luty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tabSelected="1" zoomScale="120" zoomScaleNormal="120" zoomScalePageLayoutView="0" workbookViewId="0" topLeftCell="A1">
      <selection activeCell="B32" sqref="B32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2" customWidth="1"/>
    <col min="9" max="9" width="28.00390625" style="423" customWidth="1"/>
    <col min="10" max="10" width="22.28125" style="424" customWidth="1"/>
    <col min="11" max="11" width="22.28125" style="423" customWidth="1"/>
    <col min="12" max="12" width="19.140625" style="423" customWidth="1"/>
    <col min="13" max="13" width="22.421875" style="423" customWidth="1"/>
    <col min="14" max="14" width="24.28125" style="425" customWidth="1"/>
    <col min="15" max="15" width="9.140625" style="425" customWidth="1"/>
    <col min="16" max="22" width="9.140625" style="426" customWidth="1"/>
    <col min="23" max="16384" width="9.140625" style="2" customWidth="1"/>
  </cols>
  <sheetData>
    <row r="1" ht="19.5" customHeight="1">
      <c r="G1" s="73" t="s">
        <v>281</v>
      </c>
    </row>
    <row r="2" spans="1:22" s="31" customFormat="1" ht="19.5" customHeight="1">
      <c r="A2" s="39" t="s">
        <v>248</v>
      </c>
      <c r="B2" s="40"/>
      <c r="C2" s="41"/>
      <c r="D2" s="4"/>
      <c r="E2" s="4"/>
      <c r="F2" s="4"/>
      <c r="G2" s="128"/>
      <c r="H2" s="122" t="s">
        <v>7</v>
      </c>
      <c r="I2" s="427"/>
      <c r="J2" s="428"/>
      <c r="K2" s="429"/>
      <c r="L2" s="427"/>
      <c r="M2" s="427"/>
      <c r="N2" s="427"/>
      <c r="O2" s="430"/>
      <c r="P2" s="332"/>
      <c r="Q2" s="332"/>
      <c r="R2" s="332"/>
      <c r="S2" s="332"/>
      <c r="T2" s="332"/>
      <c r="U2" s="332"/>
      <c r="V2" s="332"/>
    </row>
    <row r="3" spans="1:22" s="31" customFormat="1" ht="19.5" customHeight="1">
      <c r="A3" s="39" t="s">
        <v>29</v>
      </c>
      <c r="B3" s="40"/>
      <c r="C3" s="41"/>
      <c r="D3" s="4"/>
      <c r="E3" s="4"/>
      <c r="F3" s="4"/>
      <c r="G3" s="35"/>
      <c r="H3" s="133"/>
      <c r="I3" s="427"/>
      <c r="J3" s="428"/>
      <c r="K3" s="429"/>
      <c r="L3" s="427"/>
      <c r="M3" s="427"/>
      <c r="N3" s="427"/>
      <c r="O3" s="430"/>
      <c r="P3" s="332"/>
      <c r="Q3" s="332"/>
      <c r="R3" s="332"/>
      <c r="S3" s="332"/>
      <c r="T3" s="332"/>
      <c r="U3" s="332"/>
      <c r="V3" s="332"/>
    </row>
    <row r="4" spans="1:22" s="31" customFormat="1" ht="19.5" customHeight="1">
      <c r="A4" s="39" t="s">
        <v>278</v>
      </c>
      <c r="B4" s="40"/>
      <c r="C4" s="41"/>
      <c r="D4" s="4"/>
      <c r="E4" s="4"/>
      <c r="F4" s="4"/>
      <c r="G4" s="35"/>
      <c r="H4" s="37"/>
      <c r="I4" s="427"/>
      <c r="J4" s="428"/>
      <c r="K4" s="429"/>
      <c r="L4" s="427"/>
      <c r="M4" s="427"/>
      <c r="N4" s="427"/>
      <c r="O4" s="430"/>
      <c r="P4" s="332"/>
      <c r="Q4" s="332"/>
      <c r="R4" s="332"/>
      <c r="S4" s="332"/>
      <c r="T4" s="332"/>
      <c r="U4" s="332"/>
      <c r="V4" s="332"/>
    </row>
    <row r="5" spans="1:22" s="31" customFormat="1" ht="17.25" customHeight="1">
      <c r="A5" s="34"/>
      <c r="B5" s="35"/>
      <c r="C5" s="36"/>
      <c r="D5" s="35"/>
      <c r="E5" s="35"/>
      <c r="F5" s="35"/>
      <c r="G5" s="35"/>
      <c r="H5" s="37"/>
      <c r="I5" s="427"/>
      <c r="J5" s="428"/>
      <c r="K5" s="429"/>
      <c r="L5" s="427"/>
      <c r="M5" s="427"/>
      <c r="N5" s="427"/>
      <c r="O5" s="430"/>
      <c r="P5" s="332"/>
      <c r="Q5" s="332"/>
      <c r="R5" s="332"/>
      <c r="S5" s="332"/>
      <c r="T5" s="332"/>
      <c r="U5" s="332"/>
      <c r="V5" s="332"/>
    </row>
    <row r="6" spans="1:14" ht="15" customHeight="1">
      <c r="A6" s="21"/>
      <c r="B6" s="4"/>
      <c r="C6" s="5"/>
      <c r="D6" s="4"/>
      <c r="E6" s="4"/>
      <c r="F6" s="4"/>
      <c r="G6" s="4"/>
      <c r="H6" s="6"/>
      <c r="I6" s="431"/>
      <c r="J6" s="432"/>
      <c r="K6" s="433"/>
      <c r="L6" s="431"/>
      <c r="M6" s="431"/>
      <c r="N6" s="431"/>
    </row>
    <row r="7" spans="1:14" ht="19.5" customHeight="1">
      <c r="A7" s="21" t="s">
        <v>57</v>
      </c>
      <c r="B7" s="4"/>
      <c r="C7" s="5"/>
      <c r="D7" s="4"/>
      <c r="E7" s="4"/>
      <c r="F7" s="4"/>
      <c r="G7" s="4"/>
      <c r="H7" s="6"/>
      <c r="I7" s="431"/>
      <c r="J7" s="432"/>
      <c r="K7" s="433"/>
      <c r="L7" s="431"/>
      <c r="M7" s="431"/>
      <c r="N7" s="431"/>
    </row>
    <row r="8" spans="1:14" ht="15.75" customHeight="1">
      <c r="A8" s="21"/>
      <c r="B8" s="4"/>
      <c r="C8" s="5"/>
      <c r="D8" s="4"/>
      <c r="E8" s="4"/>
      <c r="F8" s="4"/>
      <c r="G8" s="4"/>
      <c r="H8" s="6"/>
      <c r="I8" s="431"/>
      <c r="J8" s="432"/>
      <c r="K8" s="433"/>
      <c r="L8" s="431"/>
      <c r="M8" s="431"/>
      <c r="N8" s="431"/>
    </row>
    <row r="9" spans="1:14" ht="15" customHeight="1">
      <c r="A9" s="4"/>
      <c r="B9" s="4"/>
      <c r="C9" s="5"/>
      <c r="D9" s="4"/>
      <c r="E9" s="4"/>
      <c r="F9" s="4"/>
      <c r="G9" s="4"/>
      <c r="H9" s="6"/>
      <c r="I9" s="431"/>
      <c r="J9" s="432"/>
      <c r="K9" s="433"/>
      <c r="L9" s="431"/>
      <c r="M9" s="431"/>
      <c r="N9" s="431"/>
    </row>
    <row r="10" spans="1:14" ht="19.5" customHeight="1">
      <c r="A10" s="42" t="s">
        <v>30</v>
      </c>
      <c r="B10" s="40"/>
      <c r="C10" s="41"/>
      <c r="D10" s="4"/>
      <c r="E10" s="4"/>
      <c r="F10" s="4"/>
      <c r="G10" s="4"/>
      <c r="H10" s="6"/>
      <c r="I10" s="431"/>
      <c r="J10" s="432"/>
      <c r="K10" s="433"/>
      <c r="L10" s="431"/>
      <c r="M10" s="431"/>
      <c r="N10" s="431"/>
    </row>
    <row r="11" spans="1:14" ht="19.5" customHeight="1">
      <c r="A11" s="42" t="s">
        <v>54</v>
      </c>
      <c r="B11" s="40"/>
      <c r="C11" s="41"/>
      <c r="D11" s="4"/>
      <c r="E11" s="4"/>
      <c r="F11" s="4"/>
      <c r="G11" s="4"/>
      <c r="H11" s="6"/>
      <c r="I11" s="431"/>
      <c r="J11" s="432"/>
      <c r="K11" s="433"/>
      <c r="L11" s="431"/>
      <c r="M11" s="431"/>
      <c r="N11" s="431"/>
    </row>
    <row r="12" spans="1:14" ht="19.5" customHeight="1">
      <c r="A12" s="42" t="s">
        <v>55</v>
      </c>
      <c r="B12" s="40"/>
      <c r="C12" s="41"/>
      <c r="D12" s="4"/>
      <c r="E12" s="4"/>
      <c r="F12" s="4"/>
      <c r="G12" s="4"/>
      <c r="H12" s="6"/>
      <c r="I12" s="431"/>
      <c r="J12" s="432"/>
      <c r="K12" s="433"/>
      <c r="L12" s="431"/>
      <c r="M12" s="431"/>
      <c r="N12" s="431"/>
    </row>
    <row r="13" spans="1:14" ht="19.5" customHeight="1">
      <c r="A13" s="42"/>
      <c r="B13" s="40"/>
      <c r="C13" s="41"/>
      <c r="D13" s="4"/>
      <c r="E13" s="4"/>
      <c r="F13" s="4"/>
      <c r="G13" s="4"/>
      <c r="H13" s="6"/>
      <c r="I13" s="431"/>
      <c r="J13" s="432"/>
      <c r="K13" s="433"/>
      <c r="L13" s="431"/>
      <c r="M13" s="431"/>
      <c r="N13" s="431"/>
    </row>
    <row r="14" spans="1:22" s="26" customFormat="1" ht="19.5" customHeight="1">
      <c r="A14" s="7"/>
      <c r="B14" s="7"/>
      <c r="C14" s="28"/>
      <c r="D14" s="7"/>
      <c r="E14" s="28" t="s">
        <v>14</v>
      </c>
      <c r="F14" s="7"/>
      <c r="G14" s="7"/>
      <c r="H14" s="8"/>
      <c r="I14" s="434"/>
      <c r="J14" s="434"/>
      <c r="K14" s="435"/>
      <c r="L14" s="434"/>
      <c r="M14" s="434"/>
      <c r="N14" s="432"/>
      <c r="O14" s="436"/>
      <c r="P14" s="437"/>
      <c r="Q14" s="437"/>
      <c r="R14" s="437"/>
      <c r="S14" s="437"/>
      <c r="T14" s="437"/>
      <c r="U14" s="437"/>
      <c r="V14" s="437"/>
    </row>
    <row r="15" spans="1:22" s="26" customFormat="1" ht="19.5" customHeight="1">
      <c r="A15" s="7"/>
      <c r="B15" s="7"/>
      <c r="C15" s="28"/>
      <c r="D15" s="7"/>
      <c r="E15" s="28"/>
      <c r="F15" s="7"/>
      <c r="G15" s="7"/>
      <c r="H15" s="8"/>
      <c r="I15" s="434"/>
      <c r="J15" s="434"/>
      <c r="K15" s="435"/>
      <c r="L15" s="434"/>
      <c r="M15" s="434"/>
      <c r="N15" s="432"/>
      <c r="O15" s="436"/>
      <c r="P15" s="437"/>
      <c r="Q15" s="437"/>
      <c r="R15" s="437"/>
      <c r="S15" s="437"/>
      <c r="T15" s="437"/>
      <c r="U15" s="437"/>
      <c r="V15" s="437"/>
    </row>
    <row r="16" spans="1:14" ht="19.5" customHeight="1">
      <c r="A16" s="146" t="s">
        <v>49</v>
      </c>
      <c r="B16" s="38"/>
      <c r="C16" s="38"/>
      <c r="D16" s="38"/>
      <c r="E16" s="28"/>
      <c r="F16" s="4"/>
      <c r="G16" s="4"/>
      <c r="H16" s="6"/>
      <c r="I16" s="438"/>
      <c r="J16" s="434"/>
      <c r="K16" s="439"/>
      <c r="L16" s="439"/>
      <c r="M16" s="439"/>
      <c r="N16" s="431"/>
    </row>
    <row r="17" spans="1:14" ht="19.5" customHeight="1">
      <c r="A17" s="147" t="s">
        <v>6</v>
      </c>
      <c r="B17" s="38"/>
      <c r="C17" s="38"/>
      <c r="D17" s="38"/>
      <c r="E17" s="28"/>
      <c r="F17" s="4"/>
      <c r="G17" s="4"/>
      <c r="H17" s="6"/>
      <c r="I17" s="439"/>
      <c r="J17" s="434"/>
      <c r="K17" s="439"/>
      <c r="L17" s="439"/>
      <c r="M17" s="439"/>
      <c r="N17" s="431"/>
    </row>
    <row r="18" spans="1:10" ht="19.5" customHeight="1">
      <c r="A18" s="44" t="s">
        <v>58</v>
      </c>
      <c r="B18" s="7"/>
      <c r="C18" s="45"/>
      <c r="D18" s="7"/>
      <c r="E18" s="28"/>
      <c r="F18" s="7"/>
      <c r="H18" s="1"/>
      <c r="J18" s="440"/>
    </row>
    <row r="19" spans="1:10" ht="19.5" customHeight="1">
      <c r="A19" s="32" t="s">
        <v>8</v>
      </c>
      <c r="B19" s="134"/>
      <c r="C19" s="135"/>
      <c r="D19" s="136"/>
      <c r="E19" s="136"/>
      <c r="F19" s="7"/>
      <c r="G19" s="136"/>
      <c r="H19" s="18"/>
      <c r="J19" s="440"/>
    </row>
    <row r="20" spans="1:10" ht="19.5" customHeight="1">
      <c r="A20" s="32" t="s">
        <v>9</v>
      </c>
      <c r="B20" s="137"/>
      <c r="C20" s="138"/>
      <c r="D20" s="136"/>
      <c r="E20" s="136"/>
      <c r="F20" s="136"/>
      <c r="G20" s="136"/>
      <c r="H20" s="18"/>
      <c r="J20" s="440"/>
    </row>
    <row r="21" spans="1:10" ht="19.5" customHeight="1">
      <c r="A21" s="139" t="s">
        <v>2</v>
      </c>
      <c r="B21" s="134"/>
      <c r="C21" s="135"/>
      <c r="D21" s="136"/>
      <c r="E21" s="136"/>
      <c r="F21" s="136"/>
      <c r="G21" s="136"/>
      <c r="H21" s="18"/>
      <c r="J21" s="440"/>
    </row>
    <row r="22" spans="1:10" ht="19.5" customHeight="1">
      <c r="A22" s="32" t="s">
        <v>3</v>
      </c>
      <c r="B22" s="134"/>
      <c r="C22" s="135"/>
      <c r="D22" s="136"/>
      <c r="E22" s="136"/>
      <c r="F22" s="136"/>
      <c r="G22" s="136"/>
      <c r="H22" s="18"/>
      <c r="J22" s="440"/>
    </row>
    <row r="23" spans="1:10" ht="19.5" customHeight="1">
      <c r="A23" s="32" t="s">
        <v>4</v>
      </c>
      <c r="B23" s="134"/>
      <c r="C23" s="135"/>
      <c r="D23" s="136"/>
      <c r="E23" s="136"/>
      <c r="F23" s="136"/>
      <c r="G23" s="136"/>
      <c r="H23" s="18"/>
      <c r="J23" s="440"/>
    </row>
    <row r="24" spans="1:10" ht="19.5" customHeight="1">
      <c r="A24" s="32" t="s">
        <v>5</v>
      </c>
      <c r="B24" s="134"/>
      <c r="C24" s="135"/>
      <c r="D24" s="136"/>
      <c r="E24" s="136"/>
      <c r="F24" s="136"/>
      <c r="G24" s="136"/>
      <c r="H24" s="18"/>
      <c r="J24" s="440"/>
    </row>
    <row r="25" spans="1:14" ht="19.5" customHeight="1">
      <c r="A25" s="32" t="s">
        <v>1</v>
      </c>
      <c r="B25" s="134"/>
      <c r="C25" s="135"/>
      <c r="D25" s="136"/>
      <c r="E25" s="136"/>
      <c r="F25" s="136"/>
      <c r="G25" s="136"/>
      <c r="H25" s="18"/>
      <c r="I25" s="441"/>
      <c r="N25" s="441"/>
    </row>
    <row r="26" spans="1:14" ht="19.5" customHeight="1">
      <c r="A26" s="32" t="s">
        <v>275</v>
      </c>
      <c r="B26" s="134"/>
      <c r="C26" s="135"/>
      <c r="D26" s="136"/>
      <c r="E26" s="136"/>
      <c r="F26" s="136"/>
      <c r="G26" s="136"/>
      <c r="H26" s="18"/>
      <c r="I26" s="441"/>
      <c r="N26" s="441"/>
    </row>
    <row r="27" spans="1:14" ht="19.5" customHeight="1">
      <c r="A27" s="32" t="s">
        <v>279</v>
      </c>
      <c r="I27" s="441"/>
      <c r="N27" s="441"/>
    </row>
    <row r="28" spans="1:14" ht="19.5" customHeight="1">
      <c r="A28" s="32" t="s">
        <v>276</v>
      </c>
      <c r="I28" s="441"/>
      <c r="N28" s="441"/>
    </row>
    <row r="29" spans="1:22" s="129" customFormat="1" ht="19.5" customHeight="1">
      <c r="A29" s="107"/>
      <c r="B29" s="97"/>
      <c r="C29" s="97"/>
      <c r="D29" s="150"/>
      <c r="E29" s="150"/>
      <c r="F29" s="150"/>
      <c r="G29" s="150"/>
      <c r="H29" s="150"/>
      <c r="I29" s="442"/>
      <c r="J29" s="443"/>
      <c r="K29" s="443"/>
      <c r="L29" s="444"/>
      <c r="M29" s="444"/>
      <c r="N29" s="445"/>
      <c r="O29" s="445"/>
      <c r="P29" s="419"/>
      <c r="Q29" s="419"/>
      <c r="R29" s="419"/>
      <c r="S29" s="419"/>
      <c r="T29" s="419"/>
      <c r="U29" s="419"/>
      <c r="V29" s="419"/>
    </row>
    <row r="30" spans="1:22" s="26" customFormat="1" ht="19.5" customHeight="1">
      <c r="A30" s="46" t="s">
        <v>270</v>
      </c>
      <c r="B30" s="75"/>
      <c r="C30" s="76"/>
      <c r="H30" s="1"/>
      <c r="I30" s="446"/>
      <c r="J30" s="424"/>
      <c r="K30" s="447"/>
      <c r="L30" s="424"/>
      <c r="M30" s="424"/>
      <c r="N30" s="436"/>
      <c r="O30" s="436"/>
      <c r="P30" s="437"/>
      <c r="Q30" s="437"/>
      <c r="R30" s="437"/>
      <c r="S30" s="437"/>
      <c r="T30" s="437"/>
      <c r="U30" s="437"/>
      <c r="V30" s="437"/>
    </row>
    <row r="31" spans="1:23" ht="19.5" customHeight="1">
      <c r="A31" s="74"/>
      <c r="B31" s="74"/>
      <c r="C31" s="74"/>
      <c r="D31" s="26"/>
      <c r="E31" s="26"/>
      <c r="F31" s="26"/>
      <c r="G31" s="26"/>
      <c r="H31" s="1"/>
      <c r="I31" s="448"/>
      <c r="J31" s="145"/>
      <c r="K31" s="149"/>
      <c r="L31" s="154"/>
      <c r="M31" s="154"/>
      <c r="N31" s="155"/>
      <c r="O31" s="155"/>
      <c r="P31" s="11"/>
      <c r="Q31" s="449"/>
      <c r="R31" s="449"/>
      <c r="S31" s="449"/>
      <c r="T31" s="449"/>
      <c r="U31" s="449"/>
      <c r="V31" s="449"/>
      <c r="W31" s="77"/>
    </row>
    <row r="32" spans="1:23" ht="19.5" customHeight="1">
      <c r="A32" s="46"/>
      <c r="B32" s="78" t="s">
        <v>282</v>
      </c>
      <c r="C32" s="79"/>
      <c r="D32" s="14"/>
      <c r="E32" s="14"/>
      <c r="F32" s="14"/>
      <c r="G32" s="14"/>
      <c r="H32" s="80">
        <f>H34+H44</f>
        <v>427459148.24</v>
      </c>
      <c r="I32" s="450">
        <f>H35+H45</f>
        <v>427459148.24</v>
      </c>
      <c r="J32" s="161"/>
      <c r="K32" s="162"/>
      <c r="L32" s="451"/>
      <c r="M32" s="154"/>
      <c r="N32" s="155"/>
      <c r="O32" s="155"/>
      <c r="P32" s="11"/>
      <c r="Q32" s="449"/>
      <c r="R32" s="449"/>
      <c r="S32" s="449"/>
      <c r="T32" s="449"/>
      <c r="U32" s="449"/>
      <c r="V32" s="449"/>
      <c r="W32" s="77"/>
    </row>
    <row r="33" spans="1:23" ht="19.5" customHeight="1">
      <c r="A33" s="46"/>
      <c r="B33" s="81" t="s">
        <v>31</v>
      </c>
      <c r="C33" s="76"/>
      <c r="D33" s="14"/>
      <c r="E33" s="14"/>
      <c r="F33" s="14"/>
      <c r="G33" s="14"/>
      <c r="H33" s="80"/>
      <c r="I33" s="452"/>
      <c r="J33" s="161"/>
      <c r="K33" s="451"/>
      <c r="L33" s="451"/>
      <c r="M33" s="154"/>
      <c r="N33" s="155"/>
      <c r="O33" s="155"/>
      <c r="P33" s="11"/>
      <c r="Q33" s="449"/>
      <c r="R33" s="449"/>
      <c r="S33" s="449"/>
      <c r="T33" s="449"/>
      <c r="U33" s="449"/>
      <c r="V33" s="449"/>
      <c r="W33" s="77"/>
    </row>
    <row r="34" spans="1:23" ht="19.5" customHeight="1">
      <c r="A34" s="83" t="s">
        <v>33</v>
      </c>
      <c r="B34" s="83"/>
      <c r="C34" s="83"/>
      <c r="D34" s="52"/>
      <c r="E34" s="51"/>
      <c r="F34" s="51"/>
      <c r="G34" s="14"/>
      <c r="H34" s="80">
        <f>H37+H40</f>
        <v>304036995.58</v>
      </c>
      <c r="I34" s="162"/>
      <c r="J34" s="161"/>
      <c r="K34" s="162"/>
      <c r="L34" s="451"/>
      <c r="M34" s="154"/>
      <c r="N34" s="155"/>
      <c r="O34" s="155"/>
      <c r="P34" s="11"/>
      <c r="Q34" s="449"/>
      <c r="R34" s="449"/>
      <c r="S34" s="449"/>
      <c r="T34" s="449"/>
      <c r="U34" s="449"/>
      <c r="V34" s="449"/>
      <c r="W34" s="77"/>
    </row>
    <row r="35" spans="1:23" ht="19.5" customHeight="1">
      <c r="A35" s="83"/>
      <c r="B35" s="84" t="s">
        <v>32</v>
      </c>
      <c r="C35" s="83"/>
      <c r="D35" s="52"/>
      <c r="E35" s="51"/>
      <c r="F35" s="51"/>
      <c r="G35" s="14"/>
      <c r="H35" s="80">
        <f>H38+H41</f>
        <v>304787119.58</v>
      </c>
      <c r="I35" s="452"/>
      <c r="J35" s="161"/>
      <c r="K35" s="162"/>
      <c r="L35" s="451"/>
      <c r="M35" s="154"/>
      <c r="N35" s="155"/>
      <c r="O35" s="155"/>
      <c r="P35" s="11"/>
      <c r="Q35" s="449"/>
      <c r="R35" s="449"/>
      <c r="S35" s="449"/>
      <c r="T35" s="449"/>
      <c r="U35" s="449"/>
      <c r="V35" s="449"/>
      <c r="W35" s="77"/>
    </row>
    <row r="36" spans="1:23" ht="19.5" customHeight="1">
      <c r="A36" s="50" t="s">
        <v>13</v>
      </c>
      <c r="B36" s="50" t="s">
        <v>34</v>
      </c>
      <c r="C36" s="50"/>
      <c r="D36" s="51"/>
      <c r="E36" s="51"/>
      <c r="F36" s="51"/>
      <c r="G36" s="14"/>
      <c r="H36" s="80"/>
      <c r="I36" s="452"/>
      <c r="J36" s="161"/>
      <c r="K36" s="451"/>
      <c r="L36" s="451"/>
      <c r="M36" s="154"/>
      <c r="N36" s="155"/>
      <c r="O36" s="155"/>
      <c r="P36" s="11"/>
      <c r="Q36" s="449"/>
      <c r="R36" s="449"/>
      <c r="S36" s="449"/>
      <c r="T36" s="449"/>
      <c r="U36" s="449"/>
      <c r="V36" s="449"/>
      <c r="W36" s="77"/>
    </row>
    <row r="37" spans="1:23" ht="19.5" customHeight="1">
      <c r="A37" s="85" t="s">
        <v>35</v>
      </c>
      <c r="B37" s="85"/>
      <c r="C37" s="85"/>
      <c r="D37" s="86"/>
      <c r="E37" s="51"/>
      <c r="F37" s="51"/>
      <c r="G37" s="14"/>
      <c r="H37" s="80">
        <v>255090133.35</v>
      </c>
      <c r="I37" s="452"/>
      <c r="J37" s="161"/>
      <c r="K37" s="451"/>
      <c r="L37" s="451"/>
      <c r="M37" s="154"/>
      <c r="N37" s="155"/>
      <c r="O37" s="155"/>
      <c r="P37" s="11"/>
      <c r="Q37" s="449"/>
      <c r="R37" s="449"/>
      <c r="S37" s="449"/>
      <c r="T37" s="449"/>
      <c r="U37" s="449"/>
      <c r="V37" s="449"/>
      <c r="W37" s="77"/>
    </row>
    <row r="38" spans="1:23" ht="19.5" customHeight="1">
      <c r="A38" s="85"/>
      <c r="B38" s="87" t="s">
        <v>32</v>
      </c>
      <c r="C38" s="85"/>
      <c r="D38" s="86"/>
      <c r="E38" s="52"/>
      <c r="F38" s="86"/>
      <c r="G38" s="14"/>
      <c r="H38" s="80">
        <f>H37-D70+D69</f>
        <v>254410133.35</v>
      </c>
      <c r="I38" s="452"/>
      <c r="J38" s="161"/>
      <c r="K38" s="148"/>
      <c r="L38" s="148"/>
      <c r="M38" s="154"/>
      <c r="N38" s="155"/>
      <c r="O38" s="155"/>
      <c r="P38" s="11"/>
      <c r="Q38" s="449"/>
      <c r="R38" s="449"/>
      <c r="S38" s="449"/>
      <c r="T38" s="449"/>
      <c r="U38" s="449"/>
      <c r="V38" s="449"/>
      <c r="W38" s="77"/>
    </row>
    <row r="39" spans="1:23" ht="19.5" customHeight="1">
      <c r="A39" s="85"/>
      <c r="B39" s="87"/>
      <c r="C39" s="85"/>
      <c r="D39" s="86"/>
      <c r="E39" s="52"/>
      <c r="F39" s="86"/>
      <c r="G39" s="14"/>
      <c r="H39" s="80"/>
      <c r="I39" s="452"/>
      <c r="J39" s="161"/>
      <c r="K39" s="148"/>
      <c r="L39" s="148"/>
      <c r="M39" s="154"/>
      <c r="N39" s="155"/>
      <c r="O39" s="155"/>
      <c r="P39" s="11"/>
      <c r="Q39" s="449"/>
      <c r="R39" s="449"/>
      <c r="S39" s="449"/>
      <c r="T39" s="449"/>
      <c r="U39" s="449"/>
      <c r="V39" s="449"/>
      <c r="W39" s="77"/>
    </row>
    <row r="40" spans="1:23" ht="19.5" customHeight="1">
      <c r="A40" s="85" t="s">
        <v>241</v>
      </c>
      <c r="B40" s="85"/>
      <c r="C40" s="83"/>
      <c r="D40" s="86"/>
      <c r="E40" s="52"/>
      <c r="F40" s="86"/>
      <c r="G40" s="14"/>
      <c r="H40" s="410">
        <v>48946862.23</v>
      </c>
      <c r="I40" s="452"/>
      <c r="J40" s="161"/>
      <c r="K40" s="148"/>
      <c r="L40" s="148"/>
      <c r="M40" s="154"/>
      <c r="N40" s="155"/>
      <c r="O40" s="155"/>
      <c r="P40" s="11"/>
      <c r="Q40" s="449"/>
      <c r="R40" s="449"/>
      <c r="S40" s="449"/>
      <c r="T40" s="449"/>
      <c r="U40" s="449"/>
      <c r="V40" s="449"/>
      <c r="W40" s="77"/>
    </row>
    <row r="41" spans="1:23" ht="19.5" customHeight="1">
      <c r="A41" s="85"/>
      <c r="B41" s="87" t="s">
        <v>32</v>
      </c>
      <c r="C41" s="83"/>
      <c r="D41" s="86"/>
      <c r="E41" s="52"/>
      <c r="F41" s="86"/>
      <c r="G41" s="14"/>
      <c r="H41" s="80">
        <f>H40-D69+F65</f>
        <v>50376986.23</v>
      </c>
      <c r="I41" s="452"/>
      <c r="J41" s="161"/>
      <c r="K41" s="148"/>
      <c r="L41" s="148"/>
      <c r="M41" s="154"/>
      <c r="N41" s="155"/>
      <c r="O41" s="155"/>
      <c r="P41" s="11"/>
      <c r="Q41" s="449"/>
      <c r="R41" s="449"/>
      <c r="S41" s="449"/>
      <c r="T41" s="449"/>
      <c r="U41" s="449"/>
      <c r="V41" s="449"/>
      <c r="W41" s="77"/>
    </row>
    <row r="42" spans="1:23" ht="19.5" customHeight="1">
      <c r="A42" s="85"/>
      <c r="B42" s="87"/>
      <c r="C42" s="85"/>
      <c r="D42" s="86"/>
      <c r="E42" s="52"/>
      <c r="F42" s="86"/>
      <c r="G42" s="14"/>
      <c r="H42" s="80"/>
      <c r="I42" s="452"/>
      <c r="J42" s="161"/>
      <c r="K42" s="148"/>
      <c r="L42" s="148"/>
      <c r="M42" s="154"/>
      <c r="N42" s="155"/>
      <c r="O42" s="155"/>
      <c r="P42" s="11"/>
      <c r="Q42" s="449"/>
      <c r="R42" s="449"/>
      <c r="S42" s="449"/>
      <c r="T42" s="449"/>
      <c r="U42" s="449"/>
      <c r="V42" s="449"/>
      <c r="W42" s="77"/>
    </row>
    <row r="43" spans="1:23" ht="19.5" customHeight="1">
      <c r="A43" s="48"/>
      <c r="B43" s="49"/>
      <c r="C43" s="47"/>
      <c r="D43" s="24"/>
      <c r="E43" s="52"/>
      <c r="F43" s="86"/>
      <c r="G43" s="14"/>
      <c r="H43" s="82"/>
      <c r="I43" s="452"/>
      <c r="J43" s="161"/>
      <c r="K43" s="149"/>
      <c r="L43" s="153"/>
      <c r="M43" s="154"/>
      <c r="N43" s="155"/>
      <c r="O43" s="155"/>
      <c r="P43" s="11"/>
      <c r="Q43" s="449"/>
      <c r="R43" s="449"/>
      <c r="S43" s="449"/>
      <c r="T43" s="449"/>
      <c r="U43" s="449"/>
      <c r="V43" s="449"/>
      <c r="W43" s="77"/>
    </row>
    <row r="44" spans="1:23" ht="19.5" customHeight="1">
      <c r="A44" s="83" t="s">
        <v>63</v>
      </c>
      <c r="B44" s="83"/>
      <c r="C44" s="83"/>
      <c r="D44" s="52"/>
      <c r="E44" s="52"/>
      <c r="F44" s="86"/>
      <c r="G44" s="14"/>
      <c r="H44" s="80">
        <f>H47+H50</f>
        <v>123422152.66</v>
      </c>
      <c r="I44" s="162"/>
      <c r="J44" s="161"/>
      <c r="K44" s="149"/>
      <c r="L44" s="153"/>
      <c r="M44" s="154"/>
      <c r="N44" s="155"/>
      <c r="O44" s="155"/>
      <c r="P44" s="11"/>
      <c r="Q44" s="449"/>
      <c r="R44" s="449"/>
      <c r="S44" s="449"/>
      <c r="T44" s="449"/>
      <c r="U44" s="449"/>
      <c r="V44" s="449"/>
      <c r="W44" s="77"/>
    </row>
    <row r="45" spans="1:23" ht="19.5" customHeight="1">
      <c r="A45" s="83"/>
      <c r="B45" s="84" t="s">
        <v>32</v>
      </c>
      <c r="C45" s="83"/>
      <c r="D45" s="52"/>
      <c r="E45" s="52"/>
      <c r="F45" s="86"/>
      <c r="G45" s="14"/>
      <c r="H45" s="80">
        <f>H48+H51</f>
        <v>122672028.66</v>
      </c>
      <c r="I45" s="452"/>
      <c r="J45" s="161"/>
      <c r="K45" s="149"/>
      <c r="L45" s="153"/>
      <c r="M45" s="154"/>
      <c r="N45" s="155"/>
      <c r="O45" s="155"/>
      <c r="P45" s="11"/>
      <c r="Q45" s="449"/>
      <c r="R45" s="449"/>
      <c r="S45" s="449"/>
      <c r="T45" s="449"/>
      <c r="U45" s="449"/>
      <c r="V45" s="449"/>
      <c r="W45" s="77"/>
    </row>
    <row r="46" spans="1:23" ht="19.5" customHeight="1">
      <c r="A46" s="50" t="s">
        <v>13</v>
      </c>
      <c r="B46" s="50" t="s">
        <v>34</v>
      </c>
      <c r="C46" s="50"/>
      <c r="D46" s="51"/>
      <c r="E46" s="52"/>
      <c r="F46" s="86"/>
      <c r="G46" s="14"/>
      <c r="H46" s="80"/>
      <c r="I46" s="452"/>
      <c r="J46" s="161"/>
      <c r="K46" s="149"/>
      <c r="L46" s="153"/>
      <c r="M46" s="154"/>
      <c r="N46" s="155"/>
      <c r="O46" s="155"/>
      <c r="P46" s="11"/>
      <c r="Q46" s="449"/>
      <c r="R46" s="449"/>
      <c r="S46" s="449"/>
      <c r="T46" s="449"/>
      <c r="U46" s="449"/>
      <c r="V46" s="449"/>
      <c r="W46" s="77"/>
    </row>
    <row r="47" spans="1:23" ht="19.5" customHeight="1">
      <c r="A47" s="85" t="s">
        <v>35</v>
      </c>
      <c r="B47" s="85"/>
      <c r="C47" s="85"/>
      <c r="D47" s="86"/>
      <c r="E47" s="52"/>
      <c r="F47" s="86"/>
      <c r="G47" s="14"/>
      <c r="H47" s="80">
        <v>108607002.66</v>
      </c>
      <c r="I47" s="452"/>
      <c r="J47" s="161"/>
      <c r="K47" s="149"/>
      <c r="L47" s="153"/>
      <c r="M47" s="154"/>
      <c r="N47" s="155"/>
      <c r="O47" s="155"/>
      <c r="P47" s="11"/>
      <c r="Q47" s="449"/>
      <c r="R47" s="449"/>
      <c r="S47" s="449"/>
      <c r="T47" s="449"/>
      <c r="U47" s="449"/>
      <c r="V47" s="449"/>
      <c r="W47" s="77"/>
    </row>
    <row r="48" spans="1:23" ht="19.5" customHeight="1">
      <c r="A48" s="85"/>
      <c r="B48" s="87" t="s">
        <v>32</v>
      </c>
      <c r="C48" s="85"/>
      <c r="D48" s="86"/>
      <c r="E48" s="52"/>
      <c r="F48" s="86"/>
      <c r="G48" s="14"/>
      <c r="H48" s="80">
        <f>H47-D86+D84+F86</f>
        <v>108395878.66</v>
      </c>
      <c r="I48" s="452"/>
      <c r="J48" s="161"/>
      <c r="K48" s="149"/>
      <c r="L48" s="153"/>
      <c r="M48" s="154"/>
      <c r="N48" s="155"/>
      <c r="O48" s="155"/>
      <c r="P48" s="11"/>
      <c r="Q48" s="449"/>
      <c r="R48" s="449"/>
      <c r="S48" s="449"/>
      <c r="T48" s="449"/>
      <c r="U48" s="449"/>
      <c r="V48" s="449"/>
      <c r="W48" s="77"/>
    </row>
    <row r="49" spans="1:23" ht="19.5" customHeight="1">
      <c r="A49" s="48"/>
      <c r="B49" s="49"/>
      <c r="C49" s="47"/>
      <c r="D49" s="24"/>
      <c r="E49" s="52"/>
      <c r="F49" s="86"/>
      <c r="G49" s="14"/>
      <c r="H49" s="82"/>
      <c r="I49" s="452"/>
      <c r="J49" s="161"/>
      <c r="K49" s="149"/>
      <c r="L49" s="153"/>
      <c r="M49" s="154"/>
      <c r="N49" s="155"/>
      <c r="O49" s="155"/>
      <c r="P49" s="11"/>
      <c r="Q49" s="449"/>
      <c r="R49" s="449"/>
      <c r="S49" s="449"/>
      <c r="T49" s="449"/>
      <c r="U49" s="449"/>
      <c r="V49" s="449"/>
      <c r="W49" s="77"/>
    </row>
    <row r="50" spans="1:23" ht="19.5" customHeight="1">
      <c r="A50" s="85" t="s">
        <v>241</v>
      </c>
      <c r="B50" s="85"/>
      <c r="C50" s="83"/>
      <c r="D50" s="86"/>
      <c r="E50" s="52"/>
      <c r="F50" s="86"/>
      <c r="G50" s="14"/>
      <c r="H50" s="80">
        <v>14815150</v>
      </c>
      <c r="I50" s="452"/>
      <c r="J50" s="161"/>
      <c r="K50" s="158"/>
      <c r="L50" s="153"/>
      <c r="M50" s="154"/>
      <c r="N50" s="155"/>
      <c r="O50" s="155"/>
      <c r="P50" s="11"/>
      <c r="Q50" s="449"/>
      <c r="R50" s="449"/>
      <c r="S50" s="449"/>
      <c r="T50" s="449"/>
      <c r="U50" s="449"/>
      <c r="V50" s="449"/>
      <c r="W50" s="77"/>
    </row>
    <row r="51" spans="1:23" ht="19.5" customHeight="1">
      <c r="A51" s="85"/>
      <c r="B51" s="87" t="s">
        <v>32</v>
      </c>
      <c r="C51" s="83"/>
      <c r="D51" s="86"/>
      <c r="E51" s="52"/>
      <c r="F51" s="86"/>
      <c r="G51" s="14"/>
      <c r="H51" s="80">
        <f>H50-D84</f>
        <v>14276150</v>
      </c>
      <c r="I51" s="452"/>
      <c r="J51" s="161"/>
      <c r="K51" s="158"/>
      <c r="L51" s="153"/>
      <c r="M51" s="154"/>
      <c r="N51" s="155"/>
      <c r="O51" s="155"/>
      <c r="P51" s="11"/>
      <c r="Q51" s="449"/>
      <c r="R51" s="449"/>
      <c r="S51" s="449"/>
      <c r="T51" s="449"/>
      <c r="U51" s="449"/>
      <c r="V51" s="449"/>
      <c r="W51" s="77"/>
    </row>
    <row r="52" spans="1:23" ht="19.5" customHeight="1">
      <c r="A52" s="48"/>
      <c r="B52" s="49"/>
      <c r="C52" s="47"/>
      <c r="D52" s="24"/>
      <c r="E52" s="52"/>
      <c r="F52" s="86"/>
      <c r="G52" s="14"/>
      <c r="H52" s="82"/>
      <c r="I52" s="452"/>
      <c r="J52" s="161"/>
      <c r="K52" s="158"/>
      <c r="L52" s="153"/>
      <c r="M52" s="154"/>
      <c r="N52" s="155"/>
      <c r="O52" s="155"/>
      <c r="P52" s="11"/>
      <c r="Q52" s="449"/>
      <c r="R52" s="449"/>
      <c r="S52" s="449"/>
      <c r="T52" s="449"/>
      <c r="U52" s="449"/>
      <c r="V52" s="449"/>
      <c r="W52" s="77"/>
    </row>
    <row r="53" spans="1:23" ht="19.5" customHeight="1">
      <c r="A53" s="48"/>
      <c r="B53" s="49"/>
      <c r="C53" s="47"/>
      <c r="D53" s="24"/>
      <c r="E53" s="52"/>
      <c r="F53" s="86"/>
      <c r="G53" s="14"/>
      <c r="H53" s="82"/>
      <c r="I53" s="452"/>
      <c r="J53" s="161"/>
      <c r="K53" s="158"/>
      <c r="L53" s="153"/>
      <c r="M53" s="154"/>
      <c r="N53" s="155"/>
      <c r="O53" s="155"/>
      <c r="P53" s="11"/>
      <c r="Q53" s="449"/>
      <c r="R53" s="449"/>
      <c r="S53" s="449"/>
      <c r="T53" s="449"/>
      <c r="U53" s="449"/>
      <c r="V53" s="449"/>
      <c r="W53" s="77"/>
    </row>
    <row r="54" spans="1:23" ht="19.5" customHeight="1">
      <c r="A54" s="85"/>
      <c r="B54" s="87"/>
      <c r="C54" s="85"/>
      <c r="D54" s="86"/>
      <c r="E54" s="52"/>
      <c r="F54" s="86"/>
      <c r="G54" s="14"/>
      <c r="H54" s="80"/>
      <c r="I54" s="162"/>
      <c r="J54" s="161"/>
      <c r="K54" s="149"/>
      <c r="L54" s="154"/>
      <c r="M54" s="154"/>
      <c r="N54" s="155"/>
      <c r="O54" s="155"/>
      <c r="P54" s="11"/>
      <c r="Q54" s="449"/>
      <c r="R54" s="449"/>
      <c r="S54" s="449"/>
      <c r="T54" s="449"/>
      <c r="U54" s="449"/>
      <c r="V54" s="449"/>
      <c r="W54" s="77"/>
    </row>
    <row r="55" spans="1:23" ht="19.5" customHeight="1">
      <c r="A55" s="89" t="s">
        <v>28</v>
      </c>
      <c r="B55" s="90"/>
      <c r="C55" s="91"/>
      <c r="D55" s="16"/>
      <c r="E55" s="16"/>
      <c r="F55" s="16"/>
      <c r="G55" s="16"/>
      <c r="H55" s="19"/>
      <c r="I55" s="452"/>
      <c r="J55" s="157"/>
      <c r="K55" s="156"/>
      <c r="L55" s="157"/>
      <c r="M55" s="154"/>
      <c r="N55" s="155"/>
      <c r="O55" s="155"/>
      <c r="P55" s="11"/>
      <c r="Q55" s="11"/>
      <c r="R55" s="11"/>
      <c r="S55" s="11"/>
      <c r="T55" s="11"/>
      <c r="U55" s="11"/>
      <c r="V55" s="11"/>
      <c r="W55" s="14"/>
    </row>
    <row r="56" spans="1:23" ht="19.5" customHeight="1">
      <c r="A56" s="89"/>
      <c r="B56" s="90"/>
      <c r="C56" s="91"/>
      <c r="D56" s="16"/>
      <c r="E56" s="16"/>
      <c r="F56" s="16"/>
      <c r="G56" s="16"/>
      <c r="H56" s="19"/>
      <c r="I56" s="452"/>
      <c r="J56" s="157"/>
      <c r="K56" s="156"/>
      <c r="L56" s="157"/>
      <c r="M56" s="154"/>
      <c r="N56" s="155"/>
      <c r="O56" s="155"/>
      <c r="P56" s="11"/>
      <c r="Q56" s="11"/>
      <c r="R56" s="11"/>
      <c r="S56" s="11"/>
      <c r="T56" s="11"/>
      <c r="U56" s="11"/>
      <c r="V56" s="11"/>
      <c r="W56" s="14"/>
    </row>
    <row r="57" spans="1:23" ht="19.5" customHeight="1">
      <c r="A57" s="92" t="s">
        <v>271</v>
      </c>
      <c r="B57" s="92"/>
      <c r="C57" s="93"/>
      <c r="D57" s="17"/>
      <c r="E57" s="17"/>
      <c r="F57" s="17"/>
      <c r="G57" s="17"/>
      <c r="H57" s="15"/>
      <c r="I57" s="452"/>
      <c r="J57" s="145"/>
      <c r="K57" s="149"/>
      <c r="L57" s="158"/>
      <c r="M57" s="159"/>
      <c r="N57" s="155"/>
      <c r="O57" s="155"/>
      <c r="P57" s="11"/>
      <c r="Q57" s="11"/>
      <c r="R57" s="11"/>
      <c r="S57" s="11"/>
      <c r="T57" s="11"/>
      <c r="U57" s="11"/>
      <c r="V57" s="11"/>
      <c r="W57" s="14"/>
    </row>
    <row r="58" spans="1:23" ht="19.5" customHeight="1">
      <c r="A58" s="92"/>
      <c r="B58" s="92"/>
      <c r="C58" s="93"/>
      <c r="D58" s="17"/>
      <c r="E58" s="17"/>
      <c r="F58" s="17"/>
      <c r="G58" s="17"/>
      <c r="H58" s="15"/>
      <c r="I58" s="452"/>
      <c r="J58" s="145"/>
      <c r="K58" s="149"/>
      <c r="L58" s="158"/>
      <c r="M58" s="159"/>
      <c r="N58" s="155"/>
      <c r="O58" s="155"/>
      <c r="P58" s="11"/>
      <c r="Q58" s="11"/>
      <c r="R58" s="11"/>
      <c r="S58" s="11"/>
      <c r="T58" s="11"/>
      <c r="U58" s="11"/>
      <c r="V58" s="11"/>
      <c r="W58" s="14"/>
    </row>
    <row r="59" spans="1:23" ht="19.5" customHeight="1">
      <c r="A59" s="92"/>
      <c r="B59" s="92"/>
      <c r="C59" s="93"/>
      <c r="D59" s="17"/>
      <c r="E59" s="17"/>
      <c r="F59" s="17"/>
      <c r="G59" s="17"/>
      <c r="H59" s="15"/>
      <c r="I59" s="452"/>
      <c r="J59" s="145"/>
      <c r="K59" s="149"/>
      <c r="L59" s="160"/>
      <c r="M59" s="149"/>
      <c r="N59" s="155"/>
      <c r="O59" s="155"/>
      <c r="P59" s="11"/>
      <c r="Q59" s="11"/>
      <c r="R59" s="11"/>
      <c r="S59" s="11"/>
      <c r="T59" s="11"/>
      <c r="U59" s="11"/>
      <c r="V59" s="11"/>
      <c r="W59" s="14"/>
    </row>
    <row r="60" spans="1:23" ht="19.5" customHeight="1">
      <c r="A60" s="57"/>
      <c r="B60" s="57"/>
      <c r="C60" s="58"/>
      <c r="D60" s="9" t="s">
        <v>10</v>
      </c>
      <c r="E60" s="10"/>
      <c r="F60" s="9" t="s">
        <v>11</v>
      </c>
      <c r="G60" s="10"/>
      <c r="H60" s="15"/>
      <c r="I60" s="452"/>
      <c r="J60" s="145"/>
      <c r="K60" s="149"/>
      <c r="L60" s="154"/>
      <c r="M60" s="154"/>
      <c r="N60" s="155"/>
      <c r="O60" s="155"/>
      <c r="P60" s="11"/>
      <c r="Q60" s="11"/>
      <c r="R60" s="11"/>
      <c r="S60" s="11"/>
      <c r="T60" s="11"/>
      <c r="U60" s="11"/>
      <c r="V60" s="11"/>
      <c r="W60" s="14"/>
    </row>
    <row r="61" spans="1:23" ht="19.5" customHeight="1">
      <c r="A61" s="59"/>
      <c r="B61" s="59"/>
      <c r="C61" s="60"/>
      <c r="D61" s="11" t="s">
        <v>13</v>
      </c>
      <c r="E61" s="10" t="s">
        <v>12</v>
      </c>
      <c r="F61" s="11" t="s">
        <v>13</v>
      </c>
      <c r="G61" s="10" t="s">
        <v>12</v>
      </c>
      <c r="H61" s="15"/>
      <c r="I61" s="452"/>
      <c r="J61" s="145"/>
      <c r="K61" s="149"/>
      <c r="L61" s="154"/>
      <c r="M61" s="154"/>
      <c r="N61" s="155"/>
      <c r="O61" s="155"/>
      <c r="P61" s="11"/>
      <c r="Q61" s="11"/>
      <c r="R61" s="11"/>
      <c r="S61" s="11"/>
      <c r="T61" s="11"/>
      <c r="U61" s="11"/>
      <c r="V61" s="11"/>
      <c r="W61" s="14"/>
    </row>
    <row r="62" spans="1:23" s="31" customFormat="1" ht="19.5" customHeight="1">
      <c r="A62" s="61" t="s">
        <v>15</v>
      </c>
      <c r="B62" s="61" t="s">
        <v>21</v>
      </c>
      <c r="C62" s="61" t="s">
        <v>16</v>
      </c>
      <c r="D62" s="174" t="s">
        <v>17</v>
      </c>
      <c r="E62" s="12" t="s">
        <v>18</v>
      </c>
      <c r="F62" s="174" t="s">
        <v>17</v>
      </c>
      <c r="G62" s="12" t="s">
        <v>18</v>
      </c>
      <c r="H62" s="143"/>
      <c r="I62" s="453"/>
      <c r="J62" s="406"/>
      <c r="K62" s="168"/>
      <c r="L62" s="169"/>
      <c r="M62" s="169"/>
      <c r="N62" s="170"/>
      <c r="O62" s="170"/>
      <c r="P62" s="454"/>
      <c r="Q62" s="454"/>
      <c r="R62" s="454"/>
      <c r="S62" s="454"/>
      <c r="T62" s="454"/>
      <c r="U62" s="454"/>
      <c r="V62" s="454"/>
      <c r="W62" s="144"/>
    </row>
    <row r="63" spans="1:23" s="27" customFormat="1" ht="19.5" customHeight="1">
      <c r="A63" s="412" t="s">
        <v>249</v>
      </c>
      <c r="B63" s="412" t="s">
        <v>250</v>
      </c>
      <c r="C63" s="71"/>
      <c r="D63" s="63">
        <f>SUM(D64:D65)</f>
        <v>180000</v>
      </c>
      <c r="E63" s="173"/>
      <c r="F63" s="63">
        <f>SUM(F64:F65)</f>
        <v>1440124</v>
      </c>
      <c r="G63" s="173"/>
      <c r="H63" s="80"/>
      <c r="I63" s="161"/>
      <c r="J63" s="157"/>
      <c r="K63" s="161"/>
      <c r="L63" s="157"/>
      <c r="M63" s="157"/>
      <c r="N63" s="162"/>
      <c r="O63" s="162"/>
      <c r="P63" s="455"/>
      <c r="Q63" s="455"/>
      <c r="R63" s="455"/>
      <c r="S63" s="455"/>
      <c r="T63" s="455"/>
      <c r="U63" s="455"/>
      <c r="V63" s="455"/>
      <c r="W63" s="94"/>
    </row>
    <row r="64" spans="1:23" s="26" customFormat="1" ht="19.5" customHeight="1">
      <c r="A64" s="414"/>
      <c r="B64" s="65"/>
      <c r="C64" s="70" t="s">
        <v>251</v>
      </c>
      <c r="D64" s="67">
        <v>180000</v>
      </c>
      <c r="E64" s="415"/>
      <c r="F64" s="67"/>
      <c r="G64" s="415"/>
      <c r="H64" s="82"/>
      <c r="I64" s="163"/>
      <c r="J64" s="145"/>
      <c r="K64" s="163"/>
      <c r="L64" s="145"/>
      <c r="M64" s="145"/>
      <c r="N64" s="164"/>
      <c r="O64" s="164"/>
      <c r="P64" s="456"/>
      <c r="Q64" s="456"/>
      <c r="R64" s="456"/>
      <c r="S64" s="456"/>
      <c r="T64" s="456"/>
      <c r="U64" s="456"/>
      <c r="V64" s="456"/>
      <c r="W64" s="13"/>
    </row>
    <row r="65" spans="1:23" s="26" customFormat="1" ht="19.5" customHeight="1">
      <c r="A65" s="68"/>
      <c r="B65" s="69"/>
      <c r="C65" s="411" t="s">
        <v>240</v>
      </c>
      <c r="D65" s="67"/>
      <c r="E65" s="415"/>
      <c r="F65" s="67">
        <f>1693000-41350-24490-187036</f>
        <v>1440124</v>
      </c>
      <c r="G65" s="67"/>
      <c r="H65" s="82"/>
      <c r="I65" s="163"/>
      <c r="J65" s="145"/>
      <c r="K65" s="163"/>
      <c r="L65" s="145"/>
      <c r="M65" s="145"/>
      <c r="N65" s="164"/>
      <c r="O65" s="164"/>
      <c r="P65" s="456"/>
      <c r="Q65" s="456"/>
      <c r="R65" s="456"/>
      <c r="S65" s="456"/>
      <c r="T65" s="456"/>
      <c r="U65" s="456"/>
      <c r="V65" s="456"/>
      <c r="W65" s="13"/>
    </row>
    <row r="66" spans="1:23" s="27" customFormat="1" ht="19.5" customHeight="1">
      <c r="A66" s="171" t="s">
        <v>267</v>
      </c>
      <c r="B66" s="64" t="s">
        <v>268</v>
      </c>
      <c r="C66" s="62"/>
      <c r="D66" s="63">
        <f>SUM(D67:D68)</f>
        <v>500000</v>
      </c>
      <c r="E66" s="63"/>
      <c r="F66" s="63"/>
      <c r="G66" s="63"/>
      <c r="H66" s="80"/>
      <c r="I66" s="161"/>
      <c r="J66" s="157"/>
      <c r="K66" s="161"/>
      <c r="L66" s="157"/>
      <c r="M66" s="157"/>
      <c r="N66" s="162"/>
      <c r="O66" s="162"/>
      <c r="P66" s="455"/>
      <c r="Q66" s="455"/>
      <c r="R66" s="455"/>
      <c r="S66" s="455"/>
      <c r="T66" s="455"/>
      <c r="U66" s="455"/>
      <c r="V66" s="455"/>
      <c r="W66" s="94"/>
    </row>
    <row r="67" spans="1:23" s="26" customFormat="1" ht="19.5" customHeight="1">
      <c r="A67" s="65"/>
      <c r="B67" s="65"/>
      <c r="C67" s="123" t="s">
        <v>48</v>
      </c>
      <c r="D67" s="67">
        <v>150000</v>
      </c>
      <c r="E67" s="67"/>
      <c r="F67" s="67"/>
      <c r="G67" s="67"/>
      <c r="H67" s="82"/>
      <c r="I67" s="163"/>
      <c r="J67" s="145"/>
      <c r="K67" s="163"/>
      <c r="L67" s="145"/>
      <c r="M67" s="145"/>
      <c r="N67" s="164"/>
      <c r="O67" s="164"/>
      <c r="P67" s="456"/>
      <c r="Q67" s="456"/>
      <c r="R67" s="456"/>
      <c r="S67" s="456"/>
      <c r="T67" s="456"/>
      <c r="U67" s="456"/>
      <c r="V67" s="456"/>
      <c r="W67" s="13"/>
    </row>
    <row r="68" spans="1:23" s="26" customFormat="1" ht="19.5" customHeight="1">
      <c r="A68" s="416"/>
      <c r="B68" s="416"/>
      <c r="C68" s="69" t="s">
        <v>269</v>
      </c>
      <c r="D68" s="67">
        <v>350000</v>
      </c>
      <c r="E68" s="67"/>
      <c r="F68" s="67"/>
      <c r="G68" s="67"/>
      <c r="H68" s="82"/>
      <c r="I68" s="163"/>
      <c r="J68" s="145"/>
      <c r="K68" s="163"/>
      <c r="L68" s="145"/>
      <c r="M68" s="145"/>
      <c r="N68" s="164"/>
      <c r="O68" s="164"/>
      <c r="P68" s="456"/>
      <c r="Q68" s="456"/>
      <c r="R68" s="456"/>
      <c r="S68" s="456"/>
      <c r="T68" s="456"/>
      <c r="U68" s="456"/>
      <c r="V68" s="456"/>
      <c r="W68" s="13"/>
    </row>
    <row r="69" spans="1:23" s="27" customFormat="1" ht="19.5" customHeight="1">
      <c r="A69" s="71" t="s">
        <v>239</v>
      </c>
      <c r="B69" s="64" t="s">
        <v>252</v>
      </c>
      <c r="C69" s="62" t="s">
        <v>240</v>
      </c>
      <c r="D69" s="72">
        <v>10000</v>
      </c>
      <c r="E69" s="72"/>
      <c r="F69" s="72"/>
      <c r="G69" s="72"/>
      <c r="H69" s="80"/>
      <c r="I69" s="161"/>
      <c r="J69" s="157"/>
      <c r="K69" s="161"/>
      <c r="L69" s="157"/>
      <c r="M69" s="157"/>
      <c r="N69" s="162"/>
      <c r="O69" s="162"/>
      <c r="P69" s="455"/>
      <c r="Q69" s="455"/>
      <c r="R69" s="455"/>
      <c r="S69" s="455"/>
      <c r="T69" s="455"/>
      <c r="U69" s="455"/>
      <c r="V69" s="455"/>
      <c r="W69" s="94"/>
    </row>
    <row r="70" spans="1:23" s="3" customFormat="1" ht="19.5" customHeight="1">
      <c r="A70" s="413" t="s">
        <v>19</v>
      </c>
      <c r="B70" s="152"/>
      <c r="C70" s="95"/>
      <c r="D70" s="30">
        <f>D63+D66+D69</f>
        <v>690000</v>
      </c>
      <c r="E70" s="30">
        <f>E63+E66+E69</f>
        <v>0</v>
      </c>
      <c r="F70" s="30">
        <f>F63+F66+F69</f>
        <v>1440124</v>
      </c>
      <c r="G70" s="30">
        <f>G63+G66+G69</f>
        <v>0</v>
      </c>
      <c r="H70" s="18"/>
      <c r="I70" s="402"/>
      <c r="J70" s="165"/>
      <c r="K70" s="136"/>
      <c r="L70" s="165"/>
      <c r="M70" s="165"/>
      <c r="N70" s="25"/>
      <c r="O70" s="25"/>
      <c r="P70" s="25"/>
      <c r="Q70" s="25"/>
      <c r="R70" s="25"/>
      <c r="S70" s="25"/>
      <c r="T70" s="25"/>
      <c r="U70" s="25"/>
      <c r="V70" s="25"/>
      <c r="W70" s="23"/>
    </row>
    <row r="71" spans="1:23" s="3" customFormat="1" ht="19.5" customHeight="1">
      <c r="A71" s="96"/>
      <c r="B71" s="97"/>
      <c r="C71" s="460"/>
      <c r="D71" s="25"/>
      <c r="E71" s="25"/>
      <c r="F71" s="25"/>
      <c r="G71" s="25"/>
      <c r="H71" s="18"/>
      <c r="I71" s="402"/>
      <c r="J71" s="165"/>
      <c r="K71" s="136"/>
      <c r="L71" s="165"/>
      <c r="M71" s="165"/>
      <c r="N71" s="25"/>
      <c r="O71" s="25"/>
      <c r="P71" s="25"/>
      <c r="Q71" s="25"/>
      <c r="R71" s="25"/>
      <c r="S71" s="25"/>
      <c r="T71" s="25"/>
      <c r="U71" s="25"/>
      <c r="V71" s="25"/>
      <c r="W71" s="23"/>
    </row>
    <row r="72" spans="1:23" ht="19.5" customHeight="1">
      <c r="A72" s="89" t="s">
        <v>20</v>
      </c>
      <c r="B72" s="75"/>
      <c r="C72" s="91"/>
      <c r="D72" s="16"/>
      <c r="E72" s="16"/>
      <c r="F72" s="16"/>
      <c r="G72" s="16"/>
      <c r="H72" s="19"/>
      <c r="I72" s="452"/>
      <c r="J72" s="157"/>
      <c r="K72" s="156"/>
      <c r="L72" s="166"/>
      <c r="M72" s="154"/>
      <c r="N72" s="155"/>
      <c r="O72" s="155"/>
      <c r="P72" s="11"/>
      <c r="Q72" s="11"/>
      <c r="R72" s="11"/>
      <c r="S72" s="11"/>
      <c r="T72" s="11"/>
      <c r="U72" s="11"/>
      <c r="V72" s="11"/>
      <c r="W72" s="14"/>
    </row>
    <row r="73" spans="1:23" ht="19.5" customHeight="1">
      <c r="A73" s="89"/>
      <c r="B73" s="75"/>
      <c r="C73" s="91"/>
      <c r="D73" s="16"/>
      <c r="E73" s="16"/>
      <c r="F73" s="16"/>
      <c r="G73" s="16"/>
      <c r="H73" s="19"/>
      <c r="I73" s="452"/>
      <c r="J73" s="157"/>
      <c r="K73" s="156"/>
      <c r="L73" s="166"/>
      <c r="M73" s="154"/>
      <c r="N73" s="155"/>
      <c r="O73" s="155"/>
      <c r="P73" s="11"/>
      <c r="Q73" s="11"/>
      <c r="R73" s="11"/>
      <c r="S73" s="11"/>
      <c r="T73" s="11"/>
      <c r="U73" s="11"/>
      <c r="V73" s="11"/>
      <c r="W73" s="14"/>
    </row>
    <row r="74" spans="1:23" ht="19.5" customHeight="1">
      <c r="A74" s="89"/>
      <c r="B74" s="75"/>
      <c r="C74" s="91"/>
      <c r="D74" s="16"/>
      <c r="E74" s="16"/>
      <c r="F74" s="16"/>
      <c r="G74" s="16"/>
      <c r="H74" s="19"/>
      <c r="I74" s="452"/>
      <c r="J74" s="157"/>
      <c r="K74" s="156"/>
      <c r="L74" s="166"/>
      <c r="M74" s="154"/>
      <c r="N74" s="155"/>
      <c r="O74" s="155"/>
      <c r="P74" s="11"/>
      <c r="Q74" s="11"/>
      <c r="R74" s="11"/>
      <c r="S74" s="11"/>
      <c r="T74" s="11"/>
      <c r="U74" s="11"/>
      <c r="V74" s="11"/>
      <c r="W74" s="14"/>
    </row>
    <row r="75" spans="1:23" ht="19.5" customHeight="1">
      <c r="A75" s="92" t="s">
        <v>272</v>
      </c>
      <c r="B75" s="90"/>
      <c r="C75" s="93"/>
      <c r="D75" s="17"/>
      <c r="E75" s="17"/>
      <c r="F75" s="17"/>
      <c r="G75" s="17"/>
      <c r="H75" s="15"/>
      <c r="I75" s="448"/>
      <c r="J75" s="159"/>
      <c r="K75" s="167"/>
      <c r="L75" s="154"/>
      <c r="M75" s="154"/>
      <c r="N75" s="155"/>
      <c r="O75" s="155"/>
      <c r="P75" s="11"/>
      <c r="Q75" s="11"/>
      <c r="R75" s="11"/>
      <c r="S75" s="11"/>
      <c r="T75" s="11"/>
      <c r="U75" s="11"/>
      <c r="V75" s="11"/>
      <c r="W75" s="14"/>
    </row>
    <row r="76" spans="1:23" ht="19.5" customHeight="1">
      <c r="A76" s="92"/>
      <c r="B76" s="92"/>
      <c r="C76" s="93"/>
      <c r="D76" s="17"/>
      <c r="E76" s="17"/>
      <c r="F76" s="17"/>
      <c r="G76" s="17"/>
      <c r="H76" s="15"/>
      <c r="I76" s="448"/>
      <c r="J76" s="159"/>
      <c r="K76" s="167"/>
      <c r="L76" s="154"/>
      <c r="M76" s="154"/>
      <c r="N76" s="155"/>
      <c r="O76" s="155"/>
      <c r="P76" s="11"/>
      <c r="Q76" s="11"/>
      <c r="R76" s="11"/>
      <c r="S76" s="11"/>
      <c r="T76" s="11"/>
      <c r="U76" s="11"/>
      <c r="V76" s="11"/>
      <c r="W76" s="14"/>
    </row>
    <row r="77" spans="1:23" ht="19.5" customHeight="1">
      <c r="A77" s="92"/>
      <c r="B77" s="92"/>
      <c r="C77" s="93"/>
      <c r="D77" s="17"/>
      <c r="E77" s="17"/>
      <c r="F77" s="17"/>
      <c r="G77" s="17"/>
      <c r="H77" s="15"/>
      <c r="I77" s="448"/>
      <c r="J77" s="159"/>
      <c r="K77" s="167"/>
      <c r="L77" s="154"/>
      <c r="M77" s="154"/>
      <c r="N77" s="155"/>
      <c r="O77" s="155"/>
      <c r="P77" s="11"/>
      <c r="Q77" s="11"/>
      <c r="R77" s="11"/>
      <c r="S77" s="11"/>
      <c r="T77" s="11"/>
      <c r="U77" s="11"/>
      <c r="V77" s="11"/>
      <c r="W77" s="14"/>
    </row>
    <row r="78" spans="1:23" ht="19.5" customHeight="1">
      <c r="A78" s="98"/>
      <c r="B78" s="57"/>
      <c r="C78" s="99"/>
      <c r="D78" s="9" t="s">
        <v>10</v>
      </c>
      <c r="E78" s="10"/>
      <c r="F78" s="9" t="s">
        <v>36</v>
      </c>
      <c r="G78" s="10"/>
      <c r="H78" s="15"/>
      <c r="I78" s="452"/>
      <c r="J78" s="145"/>
      <c r="K78" s="149"/>
      <c r="L78" s="154"/>
      <c r="M78" s="154"/>
      <c r="N78" s="155"/>
      <c r="O78" s="155"/>
      <c r="P78" s="11"/>
      <c r="Q78" s="11"/>
      <c r="R78" s="11"/>
      <c r="S78" s="11"/>
      <c r="T78" s="11"/>
      <c r="U78" s="11"/>
      <c r="V78" s="11"/>
      <c r="W78" s="14"/>
    </row>
    <row r="79" spans="1:23" ht="19.5" customHeight="1">
      <c r="A79" s="100"/>
      <c r="B79" s="59"/>
      <c r="C79" s="101"/>
      <c r="D79" s="11" t="s">
        <v>13</v>
      </c>
      <c r="E79" s="10" t="s">
        <v>12</v>
      </c>
      <c r="F79" s="11" t="s">
        <v>13</v>
      </c>
      <c r="G79" s="10" t="s">
        <v>12</v>
      </c>
      <c r="H79" s="15"/>
      <c r="I79" s="156"/>
      <c r="J79" s="145"/>
      <c r="K79" s="149"/>
      <c r="L79" s="154"/>
      <c r="M79" s="154"/>
      <c r="N79" s="155"/>
      <c r="O79" s="155"/>
      <c r="P79" s="11"/>
      <c r="Q79" s="11"/>
      <c r="R79" s="11"/>
      <c r="S79" s="11"/>
      <c r="T79" s="11"/>
      <c r="U79" s="11"/>
      <c r="V79" s="11"/>
      <c r="W79" s="14"/>
    </row>
    <row r="80" spans="1:23" ht="24" customHeight="1">
      <c r="A80" s="102" t="s">
        <v>15</v>
      </c>
      <c r="B80" s="103" t="s">
        <v>21</v>
      </c>
      <c r="C80" s="104" t="s">
        <v>16</v>
      </c>
      <c r="D80" s="105" t="s">
        <v>17</v>
      </c>
      <c r="E80" s="106" t="s">
        <v>18</v>
      </c>
      <c r="F80" s="105" t="s">
        <v>17</v>
      </c>
      <c r="G80" s="106" t="s">
        <v>18</v>
      </c>
      <c r="H80" s="15"/>
      <c r="I80" s="452"/>
      <c r="J80" s="145"/>
      <c r="K80" s="149"/>
      <c r="L80" s="154"/>
      <c r="M80" s="154"/>
      <c r="N80" s="155"/>
      <c r="O80" s="155"/>
      <c r="P80" s="11"/>
      <c r="Q80" s="11"/>
      <c r="R80" s="11"/>
      <c r="S80" s="11"/>
      <c r="T80" s="11"/>
      <c r="U80" s="11"/>
      <c r="V80" s="11"/>
      <c r="W80" s="14"/>
    </row>
    <row r="81" spans="1:23" s="31" customFormat="1" ht="21" customHeight="1">
      <c r="A81" s="389">
        <v>600</v>
      </c>
      <c r="B81" s="140">
        <v>60015</v>
      </c>
      <c r="C81" s="62"/>
      <c r="D81" s="142">
        <f>SUM(D82:D84)</f>
        <v>659000</v>
      </c>
      <c r="E81" s="141"/>
      <c r="F81" s="142">
        <f>SUM(F82:F84)</f>
        <v>25000</v>
      </c>
      <c r="G81" s="141"/>
      <c r="H81" s="143"/>
      <c r="I81" s="402"/>
      <c r="J81" s="406"/>
      <c r="K81" s="168"/>
      <c r="L81" s="169"/>
      <c r="M81" s="169"/>
      <c r="N81" s="170"/>
      <c r="O81" s="170"/>
      <c r="P81" s="454"/>
      <c r="Q81" s="454"/>
      <c r="R81" s="454"/>
      <c r="S81" s="454"/>
      <c r="T81" s="454"/>
      <c r="U81" s="454"/>
      <c r="V81" s="454"/>
      <c r="W81" s="144"/>
    </row>
    <row r="82" spans="1:23" s="31" customFormat="1" ht="21" customHeight="1">
      <c r="A82" s="392"/>
      <c r="B82" s="393"/>
      <c r="C82" s="123" t="s">
        <v>251</v>
      </c>
      <c r="D82" s="394">
        <v>120000</v>
      </c>
      <c r="E82" s="395"/>
      <c r="F82" s="396"/>
      <c r="G82" s="395"/>
      <c r="H82" s="143"/>
      <c r="I82" s="457"/>
      <c r="J82" s="406"/>
      <c r="K82" s="397"/>
      <c r="L82" s="169"/>
      <c r="M82" s="169"/>
      <c r="N82" s="170"/>
      <c r="O82" s="170"/>
      <c r="P82" s="454"/>
      <c r="Q82" s="454"/>
      <c r="R82" s="454"/>
      <c r="S82" s="454"/>
      <c r="T82" s="454"/>
      <c r="U82" s="454"/>
      <c r="V82" s="454"/>
      <c r="W82" s="144"/>
    </row>
    <row r="83" spans="1:23" s="31" customFormat="1" ht="21" customHeight="1">
      <c r="A83" s="417"/>
      <c r="B83" s="418"/>
      <c r="C83" s="400" t="s">
        <v>48</v>
      </c>
      <c r="D83" s="396"/>
      <c r="E83" s="395"/>
      <c r="F83" s="396">
        <v>25000</v>
      </c>
      <c r="G83" s="395"/>
      <c r="H83" s="143"/>
      <c r="I83" s="457"/>
      <c r="J83" s="406"/>
      <c r="K83" s="397"/>
      <c r="L83" s="169"/>
      <c r="M83" s="169"/>
      <c r="N83" s="170"/>
      <c r="O83" s="170"/>
      <c r="P83" s="454"/>
      <c r="Q83" s="454"/>
      <c r="R83" s="454"/>
      <c r="S83" s="454"/>
      <c r="T83" s="454"/>
      <c r="U83" s="454"/>
      <c r="V83" s="454"/>
      <c r="W83" s="144"/>
    </row>
    <row r="84" spans="1:23" s="31" customFormat="1" ht="21" customHeight="1">
      <c r="A84" s="398"/>
      <c r="B84" s="399"/>
      <c r="C84" s="400" t="s">
        <v>240</v>
      </c>
      <c r="D84" s="396">
        <f>500000+39000</f>
        <v>539000</v>
      </c>
      <c r="E84" s="395"/>
      <c r="F84" s="396"/>
      <c r="G84" s="395"/>
      <c r="H84" s="143"/>
      <c r="I84" s="457"/>
      <c r="J84" s="406"/>
      <c r="K84" s="397"/>
      <c r="L84" s="169"/>
      <c r="M84" s="169"/>
      <c r="N84" s="170"/>
      <c r="O84" s="170"/>
      <c r="P84" s="454"/>
      <c r="Q84" s="454"/>
      <c r="R84" s="454"/>
      <c r="S84" s="454"/>
      <c r="T84" s="454"/>
      <c r="U84" s="454"/>
      <c r="V84" s="454"/>
      <c r="W84" s="144"/>
    </row>
    <row r="85" spans="1:23" s="31" customFormat="1" ht="21" customHeight="1">
      <c r="A85" s="390">
        <v>758</v>
      </c>
      <c r="B85" s="391">
        <v>75818</v>
      </c>
      <c r="C85" s="171" t="s">
        <v>59</v>
      </c>
      <c r="D85" s="29">
        <f>121124-5000</f>
        <v>116124</v>
      </c>
      <c r="E85" s="172"/>
      <c r="F85" s="29"/>
      <c r="G85" s="172"/>
      <c r="H85" s="143"/>
      <c r="I85" s="402"/>
      <c r="J85" s="406"/>
      <c r="K85" s="168"/>
      <c r="L85" s="169"/>
      <c r="M85" s="169"/>
      <c r="N85" s="170"/>
      <c r="O85" s="170"/>
      <c r="P85" s="454"/>
      <c r="Q85" s="454"/>
      <c r="R85" s="454"/>
      <c r="S85" s="454"/>
      <c r="T85" s="454"/>
      <c r="U85" s="454"/>
      <c r="V85" s="454"/>
      <c r="W85" s="144"/>
    </row>
    <row r="86" spans="1:23" s="3" customFormat="1" ht="19.5" customHeight="1">
      <c r="A86" s="151" t="s">
        <v>19</v>
      </c>
      <c r="B86" s="152"/>
      <c r="C86" s="66"/>
      <c r="D86" s="30">
        <f>D81+D85</f>
        <v>775124</v>
      </c>
      <c r="E86" s="30">
        <f>E81+E85</f>
        <v>0</v>
      </c>
      <c r="F86" s="30">
        <f>F81+F85</f>
        <v>25000</v>
      </c>
      <c r="G86" s="30">
        <f>G81+G85</f>
        <v>0</v>
      </c>
      <c r="H86" s="18"/>
      <c r="I86" s="402"/>
      <c r="J86" s="136"/>
      <c r="K86" s="136"/>
      <c r="L86" s="165"/>
      <c r="M86" s="165"/>
      <c r="N86" s="25"/>
      <c r="O86" s="25"/>
      <c r="P86" s="25"/>
      <c r="Q86" s="25"/>
      <c r="R86" s="25"/>
      <c r="S86" s="25"/>
      <c r="T86" s="25"/>
      <c r="U86" s="25"/>
      <c r="V86" s="25"/>
      <c r="W86" s="23"/>
    </row>
    <row r="87" spans="1:23" s="3" customFormat="1" ht="19.5" customHeight="1">
      <c r="A87" s="96"/>
      <c r="B87" s="97"/>
      <c r="C87" s="97"/>
      <c r="D87" s="25"/>
      <c r="E87" s="25"/>
      <c r="F87" s="25"/>
      <c r="G87" s="25"/>
      <c r="H87" s="18"/>
      <c r="I87" s="402"/>
      <c r="J87" s="136"/>
      <c r="K87" s="136"/>
      <c r="L87" s="165"/>
      <c r="M87" s="165"/>
      <c r="N87" s="25"/>
      <c r="O87" s="25"/>
      <c r="P87" s="25"/>
      <c r="Q87" s="25"/>
      <c r="R87" s="25"/>
      <c r="S87" s="25"/>
      <c r="T87" s="25"/>
      <c r="U87" s="25"/>
      <c r="V87" s="25"/>
      <c r="W87" s="23"/>
    </row>
    <row r="88" spans="1:23" s="3" customFormat="1" ht="19.5" customHeight="1">
      <c r="A88" s="96"/>
      <c r="B88" s="97"/>
      <c r="C88" s="97"/>
      <c r="D88" s="25"/>
      <c r="E88" s="25"/>
      <c r="F88" s="25"/>
      <c r="G88" s="25"/>
      <c r="H88" s="18"/>
      <c r="I88" s="402"/>
      <c r="J88" s="136"/>
      <c r="K88" s="136"/>
      <c r="L88" s="165"/>
      <c r="M88" s="165"/>
      <c r="N88" s="25"/>
      <c r="O88" s="25"/>
      <c r="P88" s="25"/>
      <c r="Q88" s="25"/>
      <c r="R88" s="25"/>
      <c r="S88" s="25"/>
      <c r="T88" s="25"/>
      <c r="U88" s="25"/>
      <c r="V88" s="25"/>
      <c r="W88" s="23"/>
    </row>
    <row r="89" spans="1:23" s="3" customFormat="1" ht="19.5" customHeight="1">
      <c r="A89" s="96"/>
      <c r="B89" s="97"/>
      <c r="C89" s="97"/>
      <c r="D89" s="25"/>
      <c r="E89" s="25"/>
      <c r="F89" s="25"/>
      <c r="G89" s="25"/>
      <c r="H89" s="18"/>
      <c r="I89" s="402"/>
      <c r="J89" s="136"/>
      <c r="K89" s="136"/>
      <c r="L89" s="165"/>
      <c r="M89" s="165"/>
      <c r="N89" s="25"/>
      <c r="O89" s="25"/>
      <c r="P89" s="25"/>
      <c r="Q89" s="25"/>
      <c r="R89" s="25"/>
      <c r="S89" s="25"/>
      <c r="T89" s="25"/>
      <c r="U89" s="25"/>
      <c r="V89" s="25"/>
      <c r="W89" s="23"/>
    </row>
    <row r="90" spans="1:23" s="3" customFormat="1" ht="19.5" customHeight="1">
      <c r="A90" s="401" t="s">
        <v>273</v>
      </c>
      <c r="B90" s="75"/>
      <c r="C90" s="76"/>
      <c r="D90" s="14"/>
      <c r="E90" s="14"/>
      <c r="F90" s="25"/>
      <c r="G90" s="25"/>
      <c r="H90" s="18"/>
      <c r="I90" s="402"/>
      <c r="J90" s="165"/>
      <c r="K90" s="136"/>
      <c r="L90" s="165"/>
      <c r="M90" s="165"/>
      <c r="N90" s="25"/>
      <c r="O90" s="25"/>
      <c r="P90" s="25"/>
      <c r="Q90" s="25"/>
      <c r="R90" s="25"/>
      <c r="S90" s="25"/>
      <c r="T90" s="25"/>
      <c r="U90" s="25"/>
      <c r="V90" s="25"/>
      <c r="W90" s="23"/>
    </row>
    <row r="91" spans="1:23" s="3" customFormat="1" ht="19.5" customHeight="1">
      <c r="A91" s="403" t="s">
        <v>242</v>
      </c>
      <c r="B91" s="75"/>
      <c r="C91" s="108"/>
      <c r="D91" s="20"/>
      <c r="E91" s="14"/>
      <c r="F91" s="25"/>
      <c r="G91" s="25"/>
      <c r="H91" s="18"/>
      <c r="I91" s="402"/>
      <c r="J91" s="165"/>
      <c r="K91" s="136"/>
      <c r="L91" s="165"/>
      <c r="M91" s="165"/>
      <c r="N91" s="25"/>
      <c r="O91" s="25"/>
      <c r="P91" s="25"/>
      <c r="Q91" s="25"/>
      <c r="R91" s="25"/>
      <c r="S91" s="25"/>
      <c r="T91" s="25"/>
      <c r="U91" s="25"/>
      <c r="V91" s="25"/>
      <c r="W91" s="23"/>
    </row>
    <row r="92" spans="1:23" s="3" customFormat="1" ht="19.5" customHeight="1">
      <c r="A92" s="403"/>
      <c r="B92" s="75"/>
      <c r="C92" s="108"/>
      <c r="D92" s="20"/>
      <c r="E92" s="14"/>
      <c r="F92" s="25"/>
      <c r="G92" s="25"/>
      <c r="H92" s="18"/>
      <c r="I92" s="402"/>
      <c r="J92" s="165"/>
      <c r="K92" s="136"/>
      <c r="L92" s="165"/>
      <c r="M92" s="165"/>
      <c r="N92" s="25"/>
      <c r="O92" s="25"/>
      <c r="P92" s="25"/>
      <c r="Q92" s="25"/>
      <c r="R92" s="25"/>
      <c r="S92" s="25"/>
      <c r="T92" s="25"/>
      <c r="U92" s="25"/>
      <c r="V92" s="25"/>
      <c r="W92" s="23"/>
    </row>
    <row r="93" spans="1:23" s="3" customFormat="1" ht="19.5" customHeight="1">
      <c r="A93" s="401"/>
      <c r="B93" s="75"/>
      <c r="C93" s="108"/>
      <c r="D93" s="20"/>
      <c r="E93" s="14"/>
      <c r="F93" s="25"/>
      <c r="G93" s="25"/>
      <c r="H93" s="18"/>
      <c r="I93" s="402"/>
      <c r="J93" s="165"/>
      <c r="K93" s="136"/>
      <c r="L93" s="165"/>
      <c r="M93" s="165"/>
      <c r="N93" s="25"/>
      <c r="O93" s="25"/>
      <c r="P93" s="25"/>
      <c r="Q93" s="25"/>
      <c r="R93" s="25"/>
      <c r="S93" s="25"/>
      <c r="T93" s="25"/>
      <c r="U93" s="25"/>
      <c r="V93" s="25"/>
      <c r="W93" s="23"/>
    </row>
    <row r="94" spans="1:23" s="3" customFormat="1" ht="19.5" customHeight="1">
      <c r="A94" s="404" t="s">
        <v>243</v>
      </c>
      <c r="B94" s="405"/>
      <c r="C94" s="97"/>
      <c r="D94" s="32"/>
      <c r="E94" s="32"/>
      <c r="F94" s="32"/>
      <c r="G94" s="32"/>
      <c r="H94" s="33"/>
      <c r="I94" s="402"/>
      <c r="J94" s="406"/>
      <c r="K94" s="136"/>
      <c r="L94" s="406"/>
      <c r="M94" s="406"/>
      <c r="N94" s="32"/>
      <c r="O94" s="32"/>
      <c r="P94" s="32"/>
      <c r="Q94" s="32"/>
      <c r="R94" s="32"/>
      <c r="S94" s="32"/>
      <c r="T94" s="32"/>
      <c r="U94" s="32"/>
      <c r="V94" s="32"/>
      <c r="W94" s="33"/>
    </row>
    <row r="95" spans="1:23" s="3" customFormat="1" ht="19.5" customHeight="1">
      <c r="A95" s="404"/>
      <c r="B95" s="405"/>
      <c r="C95" s="97"/>
      <c r="D95" s="32"/>
      <c r="E95" s="32"/>
      <c r="F95" s="32"/>
      <c r="G95" s="32"/>
      <c r="H95" s="33"/>
      <c r="I95" s="402"/>
      <c r="J95" s="406"/>
      <c r="K95" s="136"/>
      <c r="L95" s="406"/>
      <c r="M95" s="406"/>
      <c r="N95" s="32"/>
      <c r="O95" s="32"/>
      <c r="P95" s="32"/>
      <c r="Q95" s="32"/>
      <c r="R95" s="32"/>
      <c r="S95" s="32"/>
      <c r="T95" s="32"/>
      <c r="U95" s="32"/>
      <c r="V95" s="32"/>
      <c r="W95" s="33"/>
    </row>
    <row r="96" spans="1:23" s="3" customFormat="1" ht="19.5" customHeight="1">
      <c r="A96" s="404"/>
      <c r="B96" s="405"/>
      <c r="C96" s="97"/>
      <c r="D96" s="32"/>
      <c r="E96" s="32"/>
      <c r="F96" s="32"/>
      <c r="G96" s="32"/>
      <c r="H96" s="33"/>
      <c r="I96" s="402"/>
      <c r="J96" s="406"/>
      <c r="K96" s="136"/>
      <c r="L96" s="406"/>
      <c r="M96" s="406"/>
      <c r="N96" s="32"/>
      <c r="O96" s="32"/>
      <c r="P96" s="32"/>
      <c r="Q96" s="32"/>
      <c r="R96" s="32"/>
      <c r="S96" s="32"/>
      <c r="T96" s="32"/>
      <c r="U96" s="32"/>
      <c r="V96" s="32"/>
      <c r="W96" s="33"/>
    </row>
    <row r="97" spans="1:23" s="3" customFormat="1" ht="19.5" customHeight="1">
      <c r="A97" s="407" t="s">
        <v>244</v>
      </c>
      <c r="B97" s="405"/>
      <c r="C97" s="97"/>
      <c r="D97" s="32"/>
      <c r="E97" s="32"/>
      <c r="F97" s="32"/>
      <c r="G97" s="32"/>
      <c r="H97" s="23">
        <f>H99+H110</f>
        <v>262876</v>
      </c>
      <c r="I97" s="402"/>
      <c r="J97" s="406"/>
      <c r="K97" s="136"/>
      <c r="L97" s="406"/>
      <c r="M97" s="406"/>
      <c r="N97" s="32"/>
      <c r="O97" s="32"/>
      <c r="P97" s="32"/>
      <c r="Q97" s="32"/>
      <c r="R97" s="32"/>
      <c r="S97" s="32"/>
      <c r="T97" s="32"/>
      <c r="U97" s="32"/>
      <c r="V97" s="32"/>
      <c r="W97" s="33"/>
    </row>
    <row r="98" spans="1:23" s="3" customFormat="1" ht="19.5" customHeight="1">
      <c r="A98" s="46" t="s">
        <v>12</v>
      </c>
      <c r="B98" s="405"/>
      <c r="C98" s="97"/>
      <c r="D98" s="32"/>
      <c r="E98" s="32"/>
      <c r="F98" s="32"/>
      <c r="G98" s="32"/>
      <c r="H98" s="33"/>
      <c r="I98" s="402"/>
      <c r="J98" s="406"/>
      <c r="K98" s="136"/>
      <c r="L98" s="406"/>
      <c r="M98" s="406"/>
      <c r="N98" s="32"/>
      <c r="O98" s="32"/>
      <c r="P98" s="32"/>
      <c r="Q98" s="32"/>
      <c r="R98" s="32"/>
      <c r="S98" s="32"/>
      <c r="T98" s="32"/>
      <c r="U98" s="32"/>
      <c r="V98" s="32"/>
      <c r="W98" s="33"/>
    </row>
    <row r="99" spans="1:23" s="3" customFormat="1" ht="19.5" customHeight="1">
      <c r="A99" s="78" t="s">
        <v>254</v>
      </c>
      <c r="B99" s="405"/>
      <c r="C99" s="97"/>
      <c r="D99" s="25"/>
      <c r="E99" s="32"/>
      <c r="F99" s="32"/>
      <c r="G99" s="32"/>
      <c r="H99" s="23">
        <f>H102+H105+H108</f>
        <v>252876</v>
      </c>
      <c r="I99" s="402"/>
      <c r="J99" s="406"/>
      <c r="K99" s="136"/>
      <c r="L99" s="406"/>
      <c r="M99" s="406"/>
      <c r="N99" s="32"/>
      <c r="O99" s="32"/>
      <c r="P99" s="32"/>
      <c r="Q99" s="32"/>
      <c r="R99" s="32"/>
      <c r="S99" s="32"/>
      <c r="T99" s="32"/>
      <c r="U99" s="32"/>
      <c r="V99" s="32"/>
      <c r="W99" s="33"/>
    </row>
    <row r="100" spans="1:23" s="3" customFormat="1" ht="19.5" customHeight="1">
      <c r="A100" s="96" t="s">
        <v>12</v>
      </c>
      <c r="B100" s="97"/>
      <c r="C100" s="97"/>
      <c r="D100" s="25"/>
      <c r="E100" s="25"/>
      <c r="F100" s="25"/>
      <c r="G100" s="25"/>
      <c r="H100" s="33"/>
      <c r="I100" s="402"/>
      <c r="J100" s="136"/>
      <c r="K100" s="136"/>
      <c r="L100" s="165"/>
      <c r="M100" s="165"/>
      <c r="N100" s="25"/>
      <c r="O100" s="25"/>
      <c r="P100" s="25"/>
      <c r="Q100" s="25"/>
      <c r="R100" s="25"/>
      <c r="S100" s="25"/>
      <c r="T100" s="25"/>
      <c r="U100" s="25"/>
      <c r="V100" s="25"/>
      <c r="W100" s="23"/>
    </row>
    <row r="101" spans="1:23" s="3" customFormat="1" ht="19.5" customHeight="1">
      <c r="A101" s="96"/>
      <c r="B101" s="408" t="s">
        <v>255</v>
      </c>
      <c r="C101" s="409"/>
      <c r="D101" s="20"/>
      <c r="E101" s="14"/>
      <c r="F101" s="32"/>
      <c r="G101" s="25"/>
      <c r="H101" s="33"/>
      <c r="I101" s="402"/>
      <c r="J101" s="136"/>
      <c r="K101" s="136"/>
      <c r="L101" s="165"/>
      <c r="M101" s="165"/>
      <c r="N101" s="25"/>
      <c r="O101" s="25"/>
      <c r="P101" s="25"/>
      <c r="Q101" s="25"/>
      <c r="R101" s="25"/>
      <c r="S101" s="25"/>
      <c r="T101" s="25"/>
      <c r="U101" s="25"/>
      <c r="V101" s="25"/>
      <c r="W101" s="23"/>
    </row>
    <row r="102" spans="1:23" s="3" customFormat="1" ht="19.5" customHeight="1">
      <c r="A102" s="96"/>
      <c r="B102" s="107" t="s">
        <v>256</v>
      </c>
      <c r="C102" s="97"/>
      <c r="D102" s="25"/>
      <c r="E102" s="25"/>
      <c r="F102" s="25"/>
      <c r="G102" s="25"/>
      <c r="H102" s="33">
        <v>41350</v>
      </c>
      <c r="I102" s="402"/>
      <c r="J102" s="136"/>
      <c r="K102" s="136"/>
      <c r="L102" s="165"/>
      <c r="M102" s="165"/>
      <c r="N102" s="25"/>
      <c r="O102" s="25"/>
      <c r="P102" s="25"/>
      <c r="Q102" s="25"/>
      <c r="R102" s="25"/>
      <c r="S102" s="25"/>
      <c r="T102" s="25"/>
      <c r="U102" s="25"/>
      <c r="V102" s="25"/>
      <c r="W102" s="23"/>
    </row>
    <row r="103" spans="1:23" s="3" customFormat="1" ht="19.5" customHeight="1">
      <c r="A103" s="96"/>
      <c r="B103" s="107"/>
      <c r="C103" s="97"/>
      <c r="D103" s="25"/>
      <c r="E103" s="25"/>
      <c r="F103" s="25"/>
      <c r="G103" s="25"/>
      <c r="H103" s="33"/>
      <c r="I103" s="402"/>
      <c r="J103" s="136"/>
      <c r="K103" s="136"/>
      <c r="L103" s="165"/>
      <c r="M103" s="165"/>
      <c r="N103" s="25"/>
      <c r="O103" s="25"/>
      <c r="P103" s="25"/>
      <c r="Q103" s="25"/>
      <c r="R103" s="25"/>
      <c r="S103" s="25"/>
      <c r="T103" s="25"/>
      <c r="U103" s="25"/>
      <c r="V103" s="25"/>
      <c r="W103" s="23"/>
    </row>
    <row r="104" spans="1:23" s="3" customFormat="1" ht="19.5" customHeight="1">
      <c r="A104" s="96"/>
      <c r="B104" s="107" t="s">
        <v>257</v>
      </c>
      <c r="C104" s="97"/>
      <c r="D104" s="25"/>
      <c r="E104" s="25"/>
      <c r="F104" s="25"/>
      <c r="G104" s="25"/>
      <c r="H104" s="33"/>
      <c r="I104" s="402"/>
      <c r="J104" s="136"/>
      <c r="K104" s="136"/>
      <c r="L104" s="165"/>
      <c r="M104" s="165"/>
      <c r="N104" s="25"/>
      <c r="O104" s="25"/>
      <c r="P104" s="25"/>
      <c r="Q104" s="25"/>
      <c r="R104" s="25"/>
      <c r="S104" s="25"/>
      <c r="T104" s="25"/>
      <c r="U104" s="25"/>
      <c r="V104" s="25"/>
      <c r="W104" s="23"/>
    </row>
    <row r="105" spans="1:23" s="3" customFormat="1" ht="19.5" customHeight="1">
      <c r="A105" s="96"/>
      <c r="B105" s="107" t="s">
        <v>258</v>
      </c>
      <c r="C105" s="97"/>
      <c r="D105" s="25"/>
      <c r="E105" s="25"/>
      <c r="F105" s="25"/>
      <c r="G105" s="25"/>
      <c r="H105" s="33">
        <v>24490</v>
      </c>
      <c r="I105" s="402"/>
      <c r="J105" s="136"/>
      <c r="K105" s="136"/>
      <c r="L105" s="165"/>
      <c r="M105" s="165"/>
      <c r="N105" s="25"/>
      <c r="O105" s="25"/>
      <c r="P105" s="25"/>
      <c r="Q105" s="25"/>
      <c r="R105" s="25"/>
      <c r="S105" s="25"/>
      <c r="T105" s="25"/>
      <c r="U105" s="25"/>
      <c r="V105" s="25"/>
      <c r="W105" s="23"/>
    </row>
    <row r="106" spans="1:23" s="3" customFormat="1" ht="19.5" customHeight="1">
      <c r="A106" s="96"/>
      <c r="B106" s="107"/>
      <c r="C106" s="97"/>
      <c r="D106" s="25"/>
      <c r="E106" s="25"/>
      <c r="F106" s="25"/>
      <c r="G106" s="25"/>
      <c r="H106" s="33"/>
      <c r="I106" s="402"/>
      <c r="J106" s="136"/>
      <c r="K106" s="136"/>
      <c r="L106" s="165"/>
      <c r="M106" s="165"/>
      <c r="N106" s="25"/>
      <c r="O106" s="25"/>
      <c r="P106" s="25"/>
      <c r="Q106" s="25"/>
      <c r="R106" s="25"/>
      <c r="S106" s="25"/>
      <c r="T106" s="25"/>
      <c r="U106" s="25"/>
      <c r="V106" s="25"/>
      <c r="W106" s="23"/>
    </row>
    <row r="107" spans="1:23" s="3" customFormat="1" ht="19.5" customHeight="1">
      <c r="A107" s="96"/>
      <c r="B107" s="107" t="s">
        <v>259</v>
      </c>
      <c r="C107" s="97"/>
      <c r="D107" s="25"/>
      <c r="E107" s="25"/>
      <c r="F107" s="25"/>
      <c r="G107" s="25"/>
      <c r="H107" s="33"/>
      <c r="I107" s="402"/>
      <c r="J107" s="136"/>
      <c r="K107" s="136"/>
      <c r="L107" s="165"/>
      <c r="M107" s="165"/>
      <c r="N107" s="25"/>
      <c r="O107" s="25"/>
      <c r="P107" s="25"/>
      <c r="Q107" s="25"/>
      <c r="R107" s="25"/>
      <c r="S107" s="25"/>
      <c r="T107" s="25"/>
      <c r="U107" s="25"/>
      <c r="V107" s="25"/>
      <c r="W107" s="23"/>
    </row>
    <row r="108" spans="1:23" s="3" customFormat="1" ht="19.5" customHeight="1">
      <c r="A108" s="96"/>
      <c r="B108" s="107" t="s">
        <v>260</v>
      </c>
      <c r="C108" s="97"/>
      <c r="D108" s="25"/>
      <c r="E108" s="25"/>
      <c r="F108" s="25"/>
      <c r="G108" s="25"/>
      <c r="H108" s="33">
        <v>187036</v>
      </c>
      <c r="I108" s="402"/>
      <c r="J108" s="136"/>
      <c r="K108" s="136"/>
      <c r="L108" s="165"/>
      <c r="M108" s="165"/>
      <c r="N108" s="25"/>
      <c r="O108" s="25"/>
      <c r="P108" s="25"/>
      <c r="Q108" s="25"/>
      <c r="R108" s="25"/>
      <c r="S108" s="25"/>
      <c r="T108" s="25"/>
      <c r="U108" s="25"/>
      <c r="V108" s="25"/>
      <c r="W108" s="23"/>
    </row>
    <row r="109" spans="1:23" s="3" customFormat="1" ht="19.5" customHeight="1">
      <c r="A109" s="96"/>
      <c r="B109" s="107"/>
      <c r="C109" s="97"/>
      <c r="D109" s="25"/>
      <c r="E109" s="25"/>
      <c r="F109" s="25"/>
      <c r="G109" s="25"/>
      <c r="H109" s="33"/>
      <c r="I109" s="402"/>
      <c r="J109" s="136"/>
      <c r="K109" s="136"/>
      <c r="L109" s="165"/>
      <c r="M109" s="165"/>
      <c r="N109" s="25"/>
      <c r="O109" s="25"/>
      <c r="P109" s="25"/>
      <c r="Q109" s="25"/>
      <c r="R109" s="25"/>
      <c r="S109" s="25"/>
      <c r="T109" s="25"/>
      <c r="U109" s="25"/>
      <c r="V109" s="25"/>
      <c r="W109" s="23"/>
    </row>
    <row r="110" spans="1:23" s="3" customFormat="1" ht="19.5" customHeight="1">
      <c r="A110" s="78" t="s">
        <v>261</v>
      </c>
      <c r="B110" s="107"/>
      <c r="C110" s="97"/>
      <c r="D110" s="25"/>
      <c r="E110" s="25"/>
      <c r="F110" s="25"/>
      <c r="G110" s="25"/>
      <c r="H110" s="23">
        <f>H113</f>
        <v>10000</v>
      </c>
      <c r="I110" s="402"/>
      <c r="J110" s="136"/>
      <c r="K110" s="136"/>
      <c r="L110" s="165"/>
      <c r="M110" s="165"/>
      <c r="N110" s="25"/>
      <c r="O110" s="25"/>
      <c r="P110" s="25"/>
      <c r="Q110" s="25"/>
      <c r="R110" s="25"/>
      <c r="S110" s="25"/>
      <c r="T110" s="25"/>
      <c r="U110" s="25"/>
      <c r="V110" s="25"/>
      <c r="W110" s="23"/>
    </row>
    <row r="111" spans="1:23" s="3" customFormat="1" ht="19.5" customHeight="1">
      <c r="A111" s="96" t="s">
        <v>12</v>
      </c>
      <c r="B111" s="107"/>
      <c r="C111" s="97"/>
      <c r="D111" s="25"/>
      <c r="E111" s="25"/>
      <c r="F111" s="25"/>
      <c r="G111" s="25"/>
      <c r="H111" s="33"/>
      <c r="I111" s="402"/>
      <c r="J111" s="136"/>
      <c r="K111" s="136"/>
      <c r="L111" s="165"/>
      <c r="M111" s="165"/>
      <c r="N111" s="25"/>
      <c r="O111" s="25"/>
      <c r="P111" s="25"/>
      <c r="Q111" s="25"/>
      <c r="R111" s="25"/>
      <c r="S111" s="25"/>
      <c r="T111" s="25"/>
      <c r="U111" s="25"/>
      <c r="V111" s="25"/>
      <c r="W111" s="23"/>
    </row>
    <row r="112" spans="1:23" s="3" customFormat="1" ht="19.5" customHeight="1">
      <c r="A112" s="96"/>
      <c r="B112" s="107" t="s">
        <v>262</v>
      </c>
      <c r="C112" s="97"/>
      <c r="D112" s="25"/>
      <c r="E112" s="25"/>
      <c r="F112" s="25"/>
      <c r="G112" s="25"/>
      <c r="H112" s="33"/>
      <c r="I112" s="402"/>
      <c r="J112" s="136"/>
      <c r="K112" s="136"/>
      <c r="L112" s="165"/>
      <c r="M112" s="165"/>
      <c r="N112" s="25"/>
      <c r="O112" s="25"/>
      <c r="P112" s="25"/>
      <c r="Q112" s="25"/>
      <c r="R112" s="25"/>
      <c r="S112" s="25"/>
      <c r="T112" s="25"/>
      <c r="U112" s="25"/>
      <c r="V112" s="25"/>
      <c r="W112" s="23"/>
    </row>
    <row r="113" spans="1:23" s="3" customFormat="1" ht="19.5" customHeight="1">
      <c r="A113" s="96"/>
      <c r="B113" s="107" t="s">
        <v>263</v>
      </c>
      <c r="C113" s="97"/>
      <c r="D113" s="25"/>
      <c r="E113" s="25"/>
      <c r="F113" s="25"/>
      <c r="G113" s="25"/>
      <c r="H113" s="33">
        <v>10000</v>
      </c>
      <c r="I113" s="402"/>
      <c r="J113" s="136"/>
      <c r="K113" s="136"/>
      <c r="L113" s="165"/>
      <c r="M113" s="165"/>
      <c r="N113" s="25"/>
      <c r="O113" s="25"/>
      <c r="P113" s="25"/>
      <c r="Q113" s="25"/>
      <c r="R113" s="25"/>
      <c r="S113" s="25"/>
      <c r="T113" s="25"/>
      <c r="U113" s="25"/>
      <c r="V113" s="25"/>
      <c r="W113" s="23"/>
    </row>
    <row r="114" spans="1:23" s="3" customFormat="1" ht="19.5" customHeight="1">
      <c r="A114" s="96"/>
      <c r="B114" s="97"/>
      <c r="C114" s="97"/>
      <c r="D114" s="25"/>
      <c r="E114" s="25"/>
      <c r="F114" s="25"/>
      <c r="G114" s="25"/>
      <c r="H114" s="33"/>
      <c r="I114" s="402"/>
      <c r="J114" s="136"/>
      <c r="K114" s="136"/>
      <c r="L114" s="165"/>
      <c r="M114" s="165"/>
      <c r="N114" s="25"/>
      <c r="O114" s="25"/>
      <c r="P114" s="25"/>
      <c r="Q114" s="25"/>
      <c r="R114" s="25"/>
      <c r="S114" s="25"/>
      <c r="T114" s="25"/>
      <c r="U114" s="25"/>
      <c r="V114" s="25"/>
      <c r="W114" s="23"/>
    </row>
    <row r="115" spans="1:23" s="3" customFormat="1" ht="19.5" customHeight="1">
      <c r="A115" s="96"/>
      <c r="B115" s="97"/>
      <c r="C115" s="97"/>
      <c r="D115" s="25"/>
      <c r="E115" s="25"/>
      <c r="F115" s="25"/>
      <c r="G115" s="25"/>
      <c r="H115" s="33"/>
      <c r="I115" s="402"/>
      <c r="J115" s="136"/>
      <c r="K115" s="136"/>
      <c r="L115" s="165"/>
      <c r="M115" s="165"/>
      <c r="N115" s="25"/>
      <c r="O115" s="25"/>
      <c r="P115" s="25"/>
      <c r="Q115" s="25"/>
      <c r="R115" s="25"/>
      <c r="S115" s="25"/>
      <c r="T115" s="25"/>
      <c r="U115" s="25"/>
      <c r="V115" s="25"/>
      <c r="W115" s="23"/>
    </row>
    <row r="116" spans="1:23" s="3" customFormat="1" ht="19.5" customHeight="1">
      <c r="A116" s="407" t="s">
        <v>245</v>
      </c>
      <c r="B116" s="405"/>
      <c r="C116" s="97"/>
      <c r="D116" s="25"/>
      <c r="E116" s="25"/>
      <c r="F116" s="25"/>
      <c r="G116" s="25"/>
      <c r="H116" s="23">
        <f>H118</f>
        <v>1693000</v>
      </c>
      <c r="I116" s="402"/>
      <c r="J116" s="136"/>
      <c r="K116" s="136"/>
      <c r="L116" s="165"/>
      <c r="M116" s="165"/>
      <c r="N116" s="25"/>
      <c r="O116" s="25"/>
      <c r="P116" s="25"/>
      <c r="Q116" s="25"/>
      <c r="R116" s="25"/>
      <c r="S116" s="25"/>
      <c r="T116" s="25"/>
      <c r="U116" s="25"/>
      <c r="V116" s="25"/>
      <c r="W116" s="23"/>
    </row>
    <row r="117" spans="1:23" s="3" customFormat="1" ht="19.5" customHeight="1">
      <c r="A117" s="46" t="s">
        <v>12</v>
      </c>
      <c r="B117" s="408"/>
      <c r="C117" s="97"/>
      <c r="D117" s="25"/>
      <c r="E117" s="25"/>
      <c r="F117" s="25"/>
      <c r="G117" s="25"/>
      <c r="H117" s="23"/>
      <c r="I117" s="402"/>
      <c r="J117" s="136"/>
      <c r="K117" s="136"/>
      <c r="L117" s="165"/>
      <c r="M117" s="165"/>
      <c r="N117" s="25"/>
      <c r="O117" s="25"/>
      <c r="P117" s="25"/>
      <c r="Q117" s="25"/>
      <c r="R117" s="25"/>
      <c r="S117" s="25"/>
      <c r="T117" s="25"/>
      <c r="U117" s="25"/>
      <c r="V117" s="25"/>
      <c r="W117" s="23"/>
    </row>
    <row r="118" spans="1:23" s="3" customFormat="1" ht="19.5" customHeight="1">
      <c r="A118" s="78" t="s">
        <v>253</v>
      </c>
      <c r="B118" s="405"/>
      <c r="C118" s="97"/>
      <c r="D118" s="25"/>
      <c r="E118" s="25"/>
      <c r="F118" s="25"/>
      <c r="G118" s="25"/>
      <c r="H118" s="23">
        <f>H120</f>
        <v>1693000</v>
      </c>
      <c r="I118" s="402"/>
      <c r="J118" s="136"/>
      <c r="K118" s="136"/>
      <c r="L118" s="165"/>
      <c r="M118" s="165"/>
      <c r="N118" s="25"/>
      <c r="O118" s="25"/>
      <c r="P118" s="25"/>
      <c r="Q118" s="25"/>
      <c r="R118" s="25"/>
      <c r="S118" s="25"/>
      <c r="T118" s="25"/>
      <c r="U118" s="25"/>
      <c r="V118" s="25"/>
      <c r="W118" s="23"/>
    </row>
    <row r="119" spans="1:23" s="3" customFormat="1" ht="19.5" customHeight="1">
      <c r="A119" s="46" t="s">
        <v>12</v>
      </c>
      <c r="B119" s="405"/>
      <c r="C119" s="97"/>
      <c r="D119" s="25"/>
      <c r="E119" s="25"/>
      <c r="F119" s="25"/>
      <c r="G119" s="25"/>
      <c r="H119" s="23"/>
      <c r="I119" s="402"/>
      <c r="J119" s="136"/>
      <c r="K119" s="136"/>
      <c r="L119" s="165"/>
      <c r="M119" s="165"/>
      <c r="N119" s="25"/>
      <c r="O119" s="25"/>
      <c r="P119" s="25"/>
      <c r="Q119" s="25"/>
      <c r="R119" s="25"/>
      <c r="S119" s="25"/>
      <c r="T119" s="25"/>
      <c r="U119" s="25"/>
      <c r="V119" s="25"/>
      <c r="W119" s="23"/>
    </row>
    <row r="120" spans="1:23" s="3" customFormat="1" ht="19.5" customHeight="1">
      <c r="A120" s="96"/>
      <c r="B120" s="107" t="s">
        <v>89</v>
      </c>
      <c r="C120" s="97"/>
      <c r="D120" s="25"/>
      <c r="E120" s="25"/>
      <c r="F120" s="25"/>
      <c r="G120" s="25"/>
      <c r="H120" s="33">
        <v>1693000</v>
      </c>
      <c r="I120" s="402"/>
      <c r="J120" s="136"/>
      <c r="K120" s="136"/>
      <c r="L120" s="165"/>
      <c r="M120" s="165"/>
      <c r="N120" s="25"/>
      <c r="O120" s="25"/>
      <c r="P120" s="25"/>
      <c r="Q120" s="25"/>
      <c r="R120" s="25"/>
      <c r="S120" s="25"/>
      <c r="T120" s="25"/>
      <c r="U120" s="25"/>
      <c r="V120" s="25"/>
      <c r="W120" s="23"/>
    </row>
    <row r="121" spans="1:23" s="3" customFormat="1" ht="19.5" customHeight="1">
      <c r="A121" s="96"/>
      <c r="B121" s="97"/>
      <c r="C121" s="97"/>
      <c r="D121" s="25"/>
      <c r="E121" s="25"/>
      <c r="F121" s="25"/>
      <c r="G121" s="25"/>
      <c r="H121" s="23"/>
      <c r="I121" s="402"/>
      <c r="J121" s="136"/>
      <c r="K121" s="136"/>
      <c r="L121" s="165"/>
      <c r="M121" s="165"/>
      <c r="N121" s="25"/>
      <c r="O121" s="25"/>
      <c r="P121" s="25"/>
      <c r="Q121" s="25"/>
      <c r="R121" s="25"/>
      <c r="S121" s="25"/>
      <c r="T121" s="25"/>
      <c r="U121" s="25"/>
      <c r="V121" s="25"/>
      <c r="W121" s="23"/>
    </row>
    <row r="122" spans="1:23" s="3" customFormat="1" ht="19.5" customHeight="1">
      <c r="A122" s="96"/>
      <c r="B122" s="97"/>
      <c r="C122" s="97"/>
      <c r="D122" s="25"/>
      <c r="E122" s="25"/>
      <c r="F122" s="25"/>
      <c r="G122" s="25"/>
      <c r="H122" s="18"/>
      <c r="I122" s="402"/>
      <c r="J122" s="136"/>
      <c r="K122" s="136"/>
      <c r="L122" s="165"/>
      <c r="M122" s="165"/>
      <c r="N122" s="25"/>
      <c r="O122" s="25"/>
      <c r="P122" s="25"/>
      <c r="Q122" s="25"/>
      <c r="R122" s="25"/>
      <c r="S122" s="25"/>
      <c r="T122" s="25"/>
      <c r="U122" s="25"/>
      <c r="V122" s="25"/>
      <c r="W122" s="23"/>
    </row>
    <row r="123" spans="1:23" s="3" customFormat="1" ht="19.5" customHeight="1">
      <c r="A123" s="404" t="s">
        <v>246</v>
      </c>
      <c r="B123" s="107"/>
      <c r="C123" s="97"/>
      <c r="D123" s="32"/>
      <c r="E123" s="25"/>
      <c r="F123" s="25"/>
      <c r="G123" s="25"/>
      <c r="H123" s="18"/>
      <c r="I123" s="402"/>
      <c r="J123" s="136"/>
      <c r="K123" s="136"/>
      <c r="L123" s="165"/>
      <c r="M123" s="165"/>
      <c r="N123" s="25"/>
      <c r="O123" s="25"/>
      <c r="P123" s="25"/>
      <c r="Q123" s="25"/>
      <c r="R123" s="25"/>
      <c r="S123" s="25"/>
      <c r="T123" s="25"/>
      <c r="U123" s="25"/>
      <c r="V123" s="25"/>
      <c r="W123" s="23"/>
    </row>
    <row r="124" spans="1:23" s="3" customFormat="1" ht="19.5" customHeight="1">
      <c r="A124" s="404"/>
      <c r="B124" s="107"/>
      <c r="C124" s="97"/>
      <c r="D124" s="32"/>
      <c r="E124" s="25"/>
      <c r="F124" s="25"/>
      <c r="G124" s="25"/>
      <c r="H124" s="18"/>
      <c r="I124" s="402"/>
      <c r="J124" s="136"/>
      <c r="K124" s="136"/>
      <c r="L124" s="165"/>
      <c r="M124" s="165"/>
      <c r="N124" s="25"/>
      <c r="O124" s="25"/>
      <c r="P124" s="25"/>
      <c r="Q124" s="25"/>
      <c r="R124" s="25"/>
      <c r="S124" s="25"/>
      <c r="T124" s="25"/>
      <c r="U124" s="25"/>
      <c r="V124" s="25"/>
      <c r="W124" s="23"/>
    </row>
    <row r="125" spans="1:23" s="3" customFormat="1" ht="19.5" customHeight="1">
      <c r="A125" s="404"/>
      <c r="B125" s="107"/>
      <c r="C125" s="97"/>
      <c r="D125" s="32"/>
      <c r="E125" s="25"/>
      <c r="F125" s="25"/>
      <c r="G125" s="25"/>
      <c r="H125" s="18"/>
      <c r="I125" s="402"/>
      <c r="J125" s="136"/>
      <c r="K125" s="136"/>
      <c r="L125" s="165"/>
      <c r="M125" s="165"/>
      <c r="N125" s="25"/>
      <c r="O125" s="25"/>
      <c r="P125" s="25"/>
      <c r="Q125" s="25"/>
      <c r="R125" s="25"/>
      <c r="S125" s="25"/>
      <c r="T125" s="25"/>
      <c r="U125" s="25"/>
      <c r="V125" s="25"/>
      <c r="W125" s="23"/>
    </row>
    <row r="126" spans="1:23" s="3" customFormat="1" ht="19.5" customHeight="1">
      <c r="A126" s="407" t="s">
        <v>244</v>
      </c>
      <c r="B126" s="405"/>
      <c r="C126" s="97"/>
      <c r="D126" s="32"/>
      <c r="E126" s="32"/>
      <c r="F126" s="25"/>
      <c r="G126" s="25"/>
      <c r="H126" s="23">
        <f>H128</f>
        <v>539000</v>
      </c>
      <c r="I126" s="402"/>
      <c r="J126" s="136"/>
      <c r="K126" s="136"/>
      <c r="L126" s="165"/>
      <c r="M126" s="165"/>
      <c r="N126" s="25"/>
      <c r="O126" s="25"/>
      <c r="P126" s="25"/>
      <c r="Q126" s="25"/>
      <c r="R126" s="25"/>
      <c r="S126" s="25"/>
      <c r="T126" s="25"/>
      <c r="U126" s="25"/>
      <c r="V126" s="25"/>
      <c r="W126" s="23"/>
    </row>
    <row r="127" spans="1:23" s="3" customFormat="1" ht="19.5" customHeight="1">
      <c r="A127" s="46" t="s">
        <v>12</v>
      </c>
      <c r="B127" s="405"/>
      <c r="C127" s="97"/>
      <c r="D127" s="32"/>
      <c r="E127" s="32"/>
      <c r="F127" s="25"/>
      <c r="G127" s="25"/>
      <c r="H127" s="23"/>
      <c r="I127" s="402"/>
      <c r="J127" s="136"/>
      <c r="K127" s="136"/>
      <c r="L127" s="165"/>
      <c r="M127" s="165"/>
      <c r="N127" s="25"/>
      <c r="O127" s="25"/>
      <c r="P127" s="25"/>
      <c r="Q127" s="25"/>
      <c r="R127" s="25"/>
      <c r="S127" s="25"/>
      <c r="T127" s="25"/>
      <c r="U127" s="25"/>
      <c r="V127" s="25"/>
      <c r="W127" s="23"/>
    </row>
    <row r="128" spans="1:23" s="3" customFormat="1" ht="19.5" customHeight="1">
      <c r="A128" s="78" t="s">
        <v>264</v>
      </c>
      <c r="B128" s="405"/>
      <c r="C128" s="97"/>
      <c r="D128" s="25"/>
      <c r="E128" s="32"/>
      <c r="F128" s="25"/>
      <c r="G128" s="25"/>
      <c r="H128" s="23">
        <f>H130+H133</f>
        <v>539000</v>
      </c>
      <c r="I128" s="402"/>
      <c r="J128" s="136"/>
      <c r="K128" s="136"/>
      <c r="L128" s="165"/>
      <c r="M128" s="165"/>
      <c r="N128" s="25"/>
      <c r="O128" s="25"/>
      <c r="P128" s="25"/>
      <c r="Q128" s="25"/>
      <c r="R128" s="25"/>
      <c r="S128" s="25"/>
      <c r="T128" s="25"/>
      <c r="U128" s="25"/>
      <c r="V128" s="25"/>
      <c r="W128" s="23"/>
    </row>
    <row r="129" spans="1:23" s="3" customFormat="1" ht="19.5" customHeight="1">
      <c r="A129" s="96" t="s">
        <v>12</v>
      </c>
      <c r="B129" s="97"/>
      <c r="C129" s="97"/>
      <c r="D129" s="25"/>
      <c r="E129" s="25"/>
      <c r="F129" s="25"/>
      <c r="G129" s="25"/>
      <c r="H129" s="23"/>
      <c r="I129" s="402"/>
      <c r="J129" s="136"/>
      <c r="K129" s="136"/>
      <c r="L129" s="165"/>
      <c r="M129" s="165"/>
      <c r="N129" s="25"/>
      <c r="O129" s="25"/>
      <c r="P129" s="25"/>
      <c r="Q129" s="25"/>
      <c r="R129" s="25"/>
      <c r="S129" s="25"/>
      <c r="T129" s="25"/>
      <c r="U129" s="25"/>
      <c r="V129" s="25"/>
      <c r="W129" s="23"/>
    </row>
    <row r="130" spans="1:23" s="3" customFormat="1" ht="19.5" customHeight="1">
      <c r="A130" s="96"/>
      <c r="B130" s="408" t="s">
        <v>208</v>
      </c>
      <c r="C130" s="409"/>
      <c r="D130" s="20"/>
      <c r="E130" s="14"/>
      <c r="F130" s="25"/>
      <c r="G130" s="25"/>
      <c r="H130" s="33">
        <v>500000</v>
      </c>
      <c r="I130" s="402"/>
      <c r="J130" s="136"/>
      <c r="K130" s="136"/>
      <c r="L130" s="165"/>
      <c r="M130" s="165"/>
      <c r="N130" s="25"/>
      <c r="O130" s="25"/>
      <c r="P130" s="25"/>
      <c r="Q130" s="25"/>
      <c r="R130" s="25"/>
      <c r="S130" s="25"/>
      <c r="T130" s="25"/>
      <c r="U130" s="25"/>
      <c r="V130" s="25"/>
      <c r="W130" s="23"/>
    </row>
    <row r="131" spans="1:23" s="3" customFormat="1" ht="18.75" customHeight="1">
      <c r="A131" s="109"/>
      <c r="B131" s="109"/>
      <c r="C131" s="108"/>
      <c r="D131" s="20"/>
      <c r="E131" s="14"/>
      <c r="F131" s="32"/>
      <c r="G131" s="32"/>
      <c r="H131" s="33"/>
      <c r="I131" s="402"/>
      <c r="J131" s="406"/>
      <c r="K131" s="136"/>
      <c r="L131" s="406"/>
      <c r="M131" s="406"/>
      <c r="N131" s="32"/>
      <c r="O131" s="32"/>
      <c r="P131" s="32"/>
      <c r="Q131" s="32"/>
      <c r="R131" s="32"/>
      <c r="S131" s="32"/>
      <c r="T131" s="32"/>
      <c r="U131" s="32"/>
      <c r="V131" s="32"/>
      <c r="W131" s="33"/>
    </row>
    <row r="132" spans="1:23" s="3" customFormat="1" ht="21" customHeight="1">
      <c r="A132" s="109"/>
      <c r="B132" s="401" t="s">
        <v>265</v>
      </c>
      <c r="C132" s="108"/>
      <c r="D132" s="20"/>
      <c r="E132" s="14"/>
      <c r="F132" s="32"/>
      <c r="G132" s="32"/>
      <c r="H132" s="33"/>
      <c r="I132" s="402"/>
      <c r="J132" s="406"/>
      <c r="K132" s="136"/>
      <c r="L132" s="406"/>
      <c r="M132" s="406"/>
      <c r="N132" s="32"/>
      <c r="O132" s="32"/>
      <c r="P132" s="32"/>
      <c r="Q132" s="32"/>
      <c r="R132" s="32"/>
      <c r="S132" s="32"/>
      <c r="T132" s="32"/>
      <c r="U132" s="32"/>
      <c r="V132" s="32"/>
      <c r="W132" s="33"/>
    </row>
    <row r="133" spans="1:23" s="3" customFormat="1" ht="21" customHeight="1">
      <c r="A133" s="109"/>
      <c r="B133" s="401" t="s">
        <v>266</v>
      </c>
      <c r="C133" s="108"/>
      <c r="D133" s="20"/>
      <c r="E133" s="14"/>
      <c r="F133" s="32"/>
      <c r="G133" s="32"/>
      <c r="H133" s="33">
        <v>39000</v>
      </c>
      <c r="I133" s="402"/>
      <c r="J133" s="406"/>
      <c r="K133" s="136"/>
      <c r="L133" s="406"/>
      <c r="M133" s="406"/>
      <c r="N133" s="32"/>
      <c r="O133" s="32"/>
      <c r="P133" s="32"/>
      <c r="Q133" s="32"/>
      <c r="R133" s="32"/>
      <c r="S133" s="32"/>
      <c r="T133" s="32"/>
      <c r="U133" s="32"/>
      <c r="V133" s="32"/>
      <c r="W133" s="33"/>
    </row>
    <row r="134" spans="1:23" s="3" customFormat="1" ht="19.5" customHeight="1">
      <c r="A134" s="109"/>
      <c r="B134" s="109"/>
      <c r="C134" s="108"/>
      <c r="D134" s="20"/>
      <c r="E134" s="14"/>
      <c r="F134" s="32"/>
      <c r="G134" s="32"/>
      <c r="H134" s="33"/>
      <c r="I134" s="402"/>
      <c r="J134" s="406"/>
      <c r="K134" s="136"/>
      <c r="L134" s="406"/>
      <c r="M134" s="406"/>
      <c r="N134" s="32"/>
      <c r="O134" s="32"/>
      <c r="P134" s="32"/>
      <c r="Q134" s="32"/>
      <c r="R134" s="32"/>
      <c r="S134" s="32"/>
      <c r="T134" s="32"/>
      <c r="U134" s="32"/>
      <c r="V134" s="32"/>
      <c r="W134" s="33"/>
    </row>
    <row r="135" spans="1:23" s="3" customFormat="1" ht="19.5" customHeight="1">
      <c r="A135" s="109"/>
      <c r="B135" s="109"/>
      <c r="C135" s="108"/>
      <c r="D135" s="20"/>
      <c r="E135" s="14"/>
      <c r="F135" s="32"/>
      <c r="G135" s="32"/>
      <c r="H135" s="33"/>
      <c r="I135" s="402"/>
      <c r="J135" s="406"/>
      <c r="K135" s="136"/>
      <c r="L135" s="406"/>
      <c r="M135" s="406"/>
      <c r="N135" s="32"/>
      <c r="O135" s="32"/>
      <c r="P135" s="32"/>
      <c r="Q135" s="32"/>
      <c r="R135" s="32"/>
      <c r="S135" s="32"/>
      <c r="T135" s="32"/>
      <c r="U135" s="32"/>
      <c r="V135" s="32"/>
      <c r="W135" s="33"/>
    </row>
    <row r="136" spans="1:23" s="3" customFormat="1" ht="19.5" customHeight="1">
      <c r="A136" s="109"/>
      <c r="B136" s="109"/>
      <c r="C136" s="108"/>
      <c r="D136" s="20"/>
      <c r="E136" s="14"/>
      <c r="F136" s="32"/>
      <c r="G136" s="32"/>
      <c r="H136" s="33"/>
      <c r="I136" s="402"/>
      <c r="J136" s="406"/>
      <c r="K136" s="136"/>
      <c r="L136" s="406"/>
      <c r="M136" s="406"/>
      <c r="N136" s="32"/>
      <c r="O136" s="32"/>
      <c r="P136" s="32"/>
      <c r="Q136" s="32"/>
      <c r="R136" s="32"/>
      <c r="S136" s="32"/>
      <c r="T136" s="32"/>
      <c r="U136" s="32"/>
      <c r="V136" s="32"/>
      <c r="W136" s="33"/>
    </row>
    <row r="137" spans="1:23" s="3" customFormat="1" ht="19.5" customHeight="1">
      <c r="A137" s="109" t="s">
        <v>247</v>
      </c>
      <c r="B137" s="109"/>
      <c r="C137" s="108"/>
      <c r="D137" s="20"/>
      <c r="E137" s="14"/>
      <c r="F137" s="32"/>
      <c r="G137" s="32"/>
      <c r="H137" s="33"/>
      <c r="I137" s="402"/>
      <c r="J137" s="406"/>
      <c r="K137" s="136"/>
      <c r="L137" s="406"/>
      <c r="M137" s="406"/>
      <c r="N137" s="32"/>
      <c r="O137" s="32"/>
      <c r="P137" s="32"/>
      <c r="Q137" s="32"/>
      <c r="R137" s="32"/>
      <c r="S137" s="32"/>
      <c r="T137" s="32"/>
      <c r="U137" s="32"/>
      <c r="V137" s="32"/>
      <c r="W137" s="33"/>
    </row>
    <row r="138" spans="1:23" s="3" customFormat="1" ht="19.5" customHeight="1">
      <c r="A138" s="109" t="s">
        <v>64</v>
      </c>
      <c r="B138" s="109"/>
      <c r="C138" s="108"/>
      <c r="D138" s="20"/>
      <c r="E138" s="14"/>
      <c r="F138" s="32"/>
      <c r="G138" s="32"/>
      <c r="H138" s="33"/>
      <c r="I138" s="402"/>
      <c r="J138" s="406"/>
      <c r="K138" s="136"/>
      <c r="L138" s="406"/>
      <c r="M138" s="406"/>
      <c r="N138" s="32"/>
      <c r="O138" s="32"/>
      <c r="P138" s="32"/>
      <c r="Q138" s="32"/>
      <c r="R138" s="32"/>
      <c r="S138" s="32"/>
      <c r="T138" s="32"/>
      <c r="U138" s="32"/>
      <c r="V138" s="32"/>
      <c r="W138" s="33"/>
    </row>
    <row r="139" spans="1:23" s="3" customFormat="1" ht="19.5" customHeight="1">
      <c r="A139" s="109"/>
      <c r="B139" s="109"/>
      <c r="C139" s="108"/>
      <c r="D139" s="20"/>
      <c r="E139" s="14"/>
      <c r="F139" s="32"/>
      <c r="G139" s="32"/>
      <c r="H139" s="33"/>
      <c r="I139" s="402"/>
      <c r="J139" s="406"/>
      <c r="K139" s="136"/>
      <c r="L139" s="406"/>
      <c r="M139" s="406"/>
      <c r="N139" s="32"/>
      <c r="O139" s="32"/>
      <c r="P139" s="32"/>
      <c r="Q139" s="32"/>
      <c r="R139" s="32"/>
      <c r="S139" s="32"/>
      <c r="T139" s="32"/>
      <c r="U139" s="32"/>
      <c r="V139" s="32"/>
      <c r="W139" s="33"/>
    </row>
    <row r="140" spans="1:23" s="3" customFormat="1" ht="19.5" customHeight="1">
      <c r="A140" s="109"/>
      <c r="B140" s="109"/>
      <c r="C140" s="108"/>
      <c r="D140" s="20"/>
      <c r="E140" s="14"/>
      <c r="F140" s="32"/>
      <c r="G140" s="32"/>
      <c r="H140" s="33"/>
      <c r="I140" s="402"/>
      <c r="J140" s="406"/>
      <c r="K140" s="136"/>
      <c r="L140" s="406"/>
      <c r="M140" s="406"/>
      <c r="N140" s="32"/>
      <c r="O140" s="32"/>
      <c r="P140" s="32"/>
      <c r="Q140" s="32"/>
      <c r="R140" s="32"/>
      <c r="S140" s="32"/>
      <c r="T140" s="32"/>
      <c r="U140" s="32"/>
      <c r="V140" s="32"/>
      <c r="W140" s="33"/>
    </row>
    <row r="141" spans="1:23" s="3" customFormat="1" ht="19.5" customHeight="1">
      <c r="A141" s="109"/>
      <c r="B141" s="109"/>
      <c r="C141" s="108"/>
      <c r="D141" s="20"/>
      <c r="E141" s="14"/>
      <c r="F141" s="32"/>
      <c r="G141" s="32"/>
      <c r="H141" s="33"/>
      <c r="I141" s="402"/>
      <c r="J141" s="406"/>
      <c r="K141" s="136"/>
      <c r="L141" s="406"/>
      <c r="M141" s="406"/>
      <c r="N141" s="32"/>
      <c r="O141" s="32"/>
      <c r="P141" s="32"/>
      <c r="Q141" s="32"/>
      <c r="R141" s="32"/>
      <c r="S141" s="32"/>
      <c r="T141" s="32"/>
      <c r="U141" s="32"/>
      <c r="V141" s="32"/>
      <c r="W141" s="33"/>
    </row>
    <row r="142" spans="1:23" ht="19.5" customHeight="1">
      <c r="A142" s="127" t="s">
        <v>274</v>
      </c>
      <c r="B142" s="43"/>
      <c r="C142" s="43"/>
      <c r="D142" s="14"/>
      <c r="E142" s="14"/>
      <c r="F142" s="14"/>
      <c r="G142" s="88"/>
      <c r="H142" s="15"/>
      <c r="I142" s="452"/>
      <c r="J142" s="145"/>
      <c r="K142" s="149"/>
      <c r="L142" s="154"/>
      <c r="M142" s="154"/>
      <c r="N142" s="155"/>
      <c r="O142" s="155"/>
      <c r="P142" s="11"/>
      <c r="Q142" s="449"/>
      <c r="R142" s="449"/>
      <c r="S142" s="449"/>
      <c r="T142" s="449"/>
      <c r="U142" s="449"/>
      <c r="V142" s="449"/>
      <c r="W142" s="77"/>
    </row>
    <row r="143" spans="1:23" ht="19.5" customHeight="1">
      <c r="A143" s="127"/>
      <c r="B143" s="43"/>
      <c r="C143" s="43"/>
      <c r="D143" s="14"/>
      <c r="E143" s="14"/>
      <c r="F143" s="14"/>
      <c r="G143" s="88"/>
      <c r="H143" s="15"/>
      <c r="I143" s="452"/>
      <c r="J143" s="145"/>
      <c r="K143" s="149"/>
      <c r="L143" s="154"/>
      <c r="M143" s="154"/>
      <c r="N143" s="155"/>
      <c r="O143" s="155"/>
      <c r="P143" s="11"/>
      <c r="Q143" s="449"/>
      <c r="R143" s="449"/>
      <c r="S143" s="449"/>
      <c r="T143" s="449"/>
      <c r="U143" s="449"/>
      <c r="V143" s="449"/>
      <c r="W143" s="77"/>
    </row>
    <row r="144" spans="1:23" ht="19.5" customHeight="1">
      <c r="A144" s="127"/>
      <c r="B144" s="43"/>
      <c r="C144" s="43"/>
      <c r="D144" s="14"/>
      <c r="E144" s="14"/>
      <c r="F144" s="14"/>
      <c r="G144" s="88"/>
      <c r="H144" s="82"/>
      <c r="I144" s="452"/>
      <c r="J144" s="145"/>
      <c r="K144" s="149"/>
      <c r="L144" s="154"/>
      <c r="M144" s="154"/>
      <c r="N144" s="155"/>
      <c r="O144" s="155"/>
      <c r="P144" s="11"/>
      <c r="Q144" s="449"/>
      <c r="R144" s="449"/>
      <c r="S144" s="449"/>
      <c r="T144" s="449"/>
      <c r="U144" s="449"/>
      <c r="V144" s="449"/>
      <c r="W144" s="77"/>
    </row>
    <row r="145" spans="1:23" ht="19.5" customHeight="1">
      <c r="A145" s="130" t="s">
        <v>40</v>
      </c>
      <c r="B145" s="92"/>
      <c r="C145" s="131"/>
      <c r="D145" s="132"/>
      <c r="E145" s="14"/>
      <c r="F145" s="14"/>
      <c r="G145" s="82"/>
      <c r="H145" s="82">
        <f>869072.42-40000</f>
        <v>829072.42</v>
      </c>
      <c r="I145" s="452"/>
      <c r="J145" s="164"/>
      <c r="K145" s="149"/>
      <c r="L145" s="154"/>
      <c r="M145" s="154"/>
      <c r="N145" s="155"/>
      <c r="O145" s="155"/>
      <c r="P145" s="11"/>
      <c r="Q145" s="449"/>
      <c r="R145" s="449"/>
      <c r="S145" s="449"/>
      <c r="T145" s="449"/>
      <c r="U145" s="449"/>
      <c r="V145" s="449"/>
      <c r="W145" s="77"/>
    </row>
    <row r="146" spans="1:23" ht="19.5" customHeight="1">
      <c r="A146" s="130" t="s">
        <v>37</v>
      </c>
      <c r="B146" s="92"/>
      <c r="C146" s="131"/>
      <c r="D146" s="132"/>
      <c r="E146" s="14"/>
      <c r="F146" s="14"/>
      <c r="G146" s="82"/>
      <c r="H146" s="82">
        <f>H145-116124</f>
        <v>712948.42</v>
      </c>
      <c r="I146" s="452"/>
      <c r="J146" s="164"/>
      <c r="K146" s="149"/>
      <c r="L146" s="154"/>
      <c r="M146" s="154"/>
      <c r="N146" s="155"/>
      <c r="O146" s="155"/>
      <c r="P146" s="11"/>
      <c r="Q146" s="449"/>
      <c r="R146" s="449"/>
      <c r="S146" s="449"/>
      <c r="T146" s="449"/>
      <c r="U146" s="449"/>
      <c r="V146" s="449"/>
      <c r="W146" s="77"/>
    </row>
    <row r="147" spans="1:23" ht="19.5" customHeight="1">
      <c r="A147" s="92" t="s">
        <v>38</v>
      </c>
      <c r="B147" s="92"/>
      <c r="C147" s="131"/>
      <c r="D147" s="132"/>
      <c r="E147" s="14"/>
      <c r="F147" s="14"/>
      <c r="G147" s="82"/>
      <c r="H147" s="82"/>
      <c r="I147" s="452"/>
      <c r="J147" s="145"/>
      <c r="K147" s="149"/>
      <c r="L147" s="154"/>
      <c r="M147" s="154"/>
      <c r="N147" s="155"/>
      <c r="O147" s="155"/>
      <c r="P147" s="11"/>
      <c r="Q147" s="449"/>
      <c r="R147" s="449"/>
      <c r="S147" s="449"/>
      <c r="T147" s="449"/>
      <c r="U147" s="449"/>
      <c r="V147" s="449"/>
      <c r="W147" s="77"/>
    </row>
    <row r="148" spans="1:23" ht="19.5" customHeight="1">
      <c r="A148" s="92"/>
      <c r="B148" s="92" t="s">
        <v>56</v>
      </c>
      <c r="C148" s="131"/>
      <c r="D148" s="110"/>
      <c r="E148" s="14"/>
      <c r="F148" s="14"/>
      <c r="G148" s="82"/>
      <c r="H148" s="82">
        <v>757299.6</v>
      </c>
      <c r="I148" s="452"/>
      <c r="J148" s="145"/>
      <c r="K148" s="149"/>
      <c r="L148" s="154"/>
      <c r="M148" s="154"/>
      <c r="N148" s="155"/>
      <c r="O148" s="155"/>
      <c r="P148" s="11"/>
      <c r="Q148" s="449"/>
      <c r="R148" s="449"/>
      <c r="S148" s="449"/>
      <c r="T148" s="449"/>
      <c r="U148" s="449"/>
      <c r="V148" s="449"/>
      <c r="W148" s="77"/>
    </row>
    <row r="149" spans="1:23" ht="19.5" customHeight="1">
      <c r="A149" s="92"/>
      <c r="B149" s="92" t="s">
        <v>39</v>
      </c>
      <c r="C149" s="131"/>
      <c r="D149" s="110"/>
      <c r="E149" s="14"/>
      <c r="F149" s="14"/>
      <c r="G149" s="82"/>
      <c r="H149" s="82">
        <f>H148-116124</f>
        <v>641175.6</v>
      </c>
      <c r="I149" s="452"/>
      <c r="J149" s="145"/>
      <c r="K149" s="149"/>
      <c r="L149" s="154"/>
      <c r="M149" s="154"/>
      <c r="N149" s="155"/>
      <c r="O149" s="155"/>
      <c r="P149" s="11"/>
      <c r="Q149" s="449"/>
      <c r="R149" s="449"/>
      <c r="S149" s="449"/>
      <c r="T149" s="449"/>
      <c r="U149" s="449"/>
      <c r="V149" s="449"/>
      <c r="W149" s="77"/>
    </row>
    <row r="150" spans="1:23" ht="19.5" customHeight="1">
      <c r="A150" s="92"/>
      <c r="B150" s="92"/>
      <c r="C150" s="131"/>
      <c r="D150" s="110"/>
      <c r="E150" s="14"/>
      <c r="F150" s="14"/>
      <c r="G150" s="82"/>
      <c r="H150" s="82"/>
      <c r="I150" s="452"/>
      <c r="J150" s="145"/>
      <c r="K150" s="149"/>
      <c r="L150" s="154"/>
      <c r="M150" s="154"/>
      <c r="N150" s="155"/>
      <c r="O150" s="155"/>
      <c r="P150" s="11"/>
      <c r="Q150" s="449"/>
      <c r="R150" s="449"/>
      <c r="S150" s="449"/>
      <c r="T150" s="449"/>
      <c r="U150" s="449"/>
      <c r="V150" s="449"/>
      <c r="W150" s="77"/>
    </row>
    <row r="151" spans="1:23" ht="19.5" customHeight="1">
      <c r="A151" s="92"/>
      <c r="B151" s="92"/>
      <c r="C151" s="131"/>
      <c r="D151" s="110"/>
      <c r="E151" s="14"/>
      <c r="F151" s="14"/>
      <c r="G151" s="82"/>
      <c r="H151" s="82"/>
      <c r="I151" s="452"/>
      <c r="J151" s="145"/>
      <c r="K151" s="149"/>
      <c r="L151" s="154"/>
      <c r="M151" s="154"/>
      <c r="N151" s="155"/>
      <c r="O151" s="155"/>
      <c r="P151" s="11"/>
      <c r="Q151" s="449"/>
      <c r="R151" s="449"/>
      <c r="S151" s="449"/>
      <c r="T151" s="449"/>
      <c r="U151" s="449"/>
      <c r="V151" s="449"/>
      <c r="W151" s="77"/>
    </row>
    <row r="152" spans="1:23" ht="19.5" customHeight="1">
      <c r="A152" s="56" t="s">
        <v>41</v>
      </c>
      <c r="B152" s="92"/>
      <c r="C152" s="93"/>
      <c r="D152" s="17"/>
      <c r="E152" s="14"/>
      <c r="F152" s="14"/>
      <c r="G152" s="82"/>
      <c r="H152" s="82"/>
      <c r="I152" s="452"/>
      <c r="J152" s="145"/>
      <c r="K152" s="149"/>
      <c r="L152" s="154"/>
      <c r="M152" s="154"/>
      <c r="N152" s="155"/>
      <c r="O152" s="155"/>
      <c r="P152" s="11"/>
      <c r="Q152" s="449"/>
      <c r="R152" s="449"/>
      <c r="S152" s="449"/>
      <c r="T152" s="449"/>
      <c r="U152" s="449"/>
      <c r="V152" s="449"/>
      <c r="W152" s="77"/>
    </row>
    <row r="153" spans="1:23" ht="19.5" customHeight="1">
      <c r="A153" s="56"/>
      <c r="B153" s="92"/>
      <c r="C153" s="93"/>
      <c r="D153" s="17"/>
      <c r="E153" s="14"/>
      <c r="F153" s="14"/>
      <c r="G153" s="82"/>
      <c r="H153" s="82"/>
      <c r="I153" s="452"/>
      <c r="J153" s="145"/>
      <c r="K153" s="149"/>
      <c r="L153" s="154"/>
      <c r="M153" s="154"/>
      <c r="N153" s="155"/>
      <c r="O153" s="155"/>
      <c r="P153" s="11"/>
      <c r="Q153" s="449"/>
      <c r="R153" s="449"/>
      <c r="S153" s="449"/>
      <c r="T153" s="449"/>
      <c r="U153" s="449"/>
      <c r="V153" s="449"/>
      <c r="W153" s="77"/>
    </row>
    <row r="154" spans="1:13" ht="19.5" customHeight="1">
      <c r="A154" s="56"/>
      <c r="B154" s="56"/>
      <c r="C154" s="111"/>
      <c r="D154" s="112"/>
      <c r="E154" s="112"/>
      <c r="F154" s="113"/>
      <c r="G154" s="112"/>
      <c r="H154" s="82"/>
      <c r="I154" s="446"/>
      <c r="J154" s="436"/>
      <c r="K154" s="458"/>
      <c r="L154" s="425"/>
      <c r="M154" s="425"/>
    </row>
    <row r="155" spans="1:13" ht="19.5" customHeight="1">
      <c r="A155" s="114" t="s">
        <v>42</v>
      </c>
      <c r="B155" s="114"/>
      <c r="C155" s="115"/>
      <c r="D155" s="116"/>
      <c r="E155" s="116"/>
      <c r="F155" s="117"/>
      <c r="G155" s="116"/>
      <c r="H155" s="15"/>
      <c r="I155" s="446"/>
      <c r="J155" s="436"/>
      <c r="K155" s="458"/>
      <c r="L155" s="425"/>
      <c r="M155" s="425"/>
    </row>
    <row r="156" spans="1:13" ht="19.5" customHeight="1">
      <c r="A156" s="114"/>
      <c r="B156" s="114"/>
      <c r="C156" s="115"/>
      <c r="D156" s="116"/>
      <c r="E156" s="116"/>
      <c r="F156" s="117"/>
      <c r="G156" s="116"/>
      <c r="H156" s="15"/>
      <c r="I156" s="446"/>
      <c r="J156" s="436"/>
      <c r="K156" s="458"/>
      <c r="L156" s="425"/>
      <c r="M156" s="425"/>
    </row>
    <row r="157" spans="1:13" ht="19.5" customHeight="1">
      <c r="A157" s="114"/>
      <c r="B157" s="114"/>
      <c r="C157" s="115"/>
      <c r="D157" s="116"/>
      <c r="E157" s="116"/>
      <c r="F157" s="117"/>
      <c r="G157" s="116"/>
      <c r="H157" s="15"/>
      <c r="I157" s="446"/>
      <c r="J157" s="436"/>
      <c r="K157" s="458"/>
      <c r="L157" s="425"/>
      <c r="M157" s="425"/>
    </row>
    <row r="158" spans="1:13" ht="19.5" customHeight="1">
      <c r="A158" s="56" t="s">
        <v>0</v>
      </c>
      <c r="B158" s="56"/>
      <c r="C158" s="111"/>
      <c r="D158" s="112"/>
      <c r="E158" s="112"/>
      <c r="F158" s="113"/>
      <c r="G158" s="112"/>
      <c r="H158" s="82"/>
      <c r="I158" s="446"/>
      <c r="J158" s="436"/>
      <c r="K158" s="458"/>
      <c r="L158" s="425"/>
      <c r="M158" s="425"/>
    </row>
    <row r="159" spans="1:13" ht="19.5" customHeight="1">
      <c r="A159" s="56"/>
      <c r="B159" s="56"/>
      <c r="C159" s="111"/>
      <c r="D159" s="112"/>
      <c r="E159" s="112"/>
      <c r="F159" s="113"/>
      <c r="G159" s="112"/>
      <c r="H159" s="82"/>
      <c r="I159" s="446"/>
      <c r="J159" s="436"/>
      <c r="K159" s="458"/>
      <c r="L159" s="425"/>
      <c r="M159" s="425"/>
    </row>
    <row r="160" spans="1:13" ht="19.5" customHeight="1">
      <c r="A160" s="114" t="s">
        <v>43</v>
      </c>
      <c r="B160" s="114"/>
      <c r="C160" s="115"/>
      <c r="D160" s="116"/>
      <c r="E160" s="116"/>
      <c r="F160" s="117"/>
      <c r="G160" s="116"/>
      <c r="I160" s="459"/>
      <c r="J160" s="436"/>
      <c r="K160" s="458"/>
      <c r="L160" s="426"/>
      <c r="M160" s="425"/>
    </row>
    <row r="161" spans="1:13" ht="19.5" customHeight="1">
      <c r="A161" s="114"/>
      <c r="B161" s="114"/>
      <c r="C161" s="115"/>
      <c r="D161" s="116"/>
      <c r="E161" s="116"/>
      <c r="F161" s="117"/>
      <c r="G161" s="116"/>
      <c r="I161" s="459"/>
      <c r="J161" s="436"/>
      <c r="K161" s="458"/>
      <c r="L161" s="426"/>
      <c r="M161" s="425"/>
    </row>
    <row r="162" spans="1:13" ht="19.5" customHeight="1">
      <c r="A162" s="114"/>
      <c r="B162" s="114"/>
      <c r="C162" s="115"/>
      <c r="D162" s="116"/>
      <c r="E162" s="116"/>
      <c r="F162" s="117"/>
      <c r="G162" s="116"/>
      <c r="I162" s="459"/>
      <c r="J162" s="436"/>
      <c r="K162" s="458"/>
      <c r="L162" s="426"/>
      <c r="M162" s="425"/>
    </row>
    <row r="163" spans="1:11" ht="19.5" customHeight="1">
      <c r="A163" s="54"/>
      <c r="B163" s="54"/>
      <c r="C163" s="55"/>
      <c r="D163" s="118"/>
      <c r="E163" s="118"/>
      <c r="F163" s="119" t="s">
        <v>44</v>
      </c>
      <c r="G163" s="118"/>
      <c r="I163" s="446"/>
      <c r="K163" s="441"/>
    </row>
    <row r="164" spans="1:11" ht="19.5" customHeight="1">
      <c r="A164" s="54"/>
      <c r="B164" s="54"/>
      <c r="C164" s="55"/>
      <c r="D164" s="118"/>
      <c r="E164" s="118"/>
      <c r="F164" s="119" t="s">
        <v>45</v>
      </c>
      <c r="G164" s="118"/>
      <c r="I164" s="446"/>
      <c r="K164" s="441"/>
    </row>
    <row r="165" spans="1:11" ht="19.5" customHeight="1">
      <c r="A165" s="54"/>
      <c r="B165" s="54"/>
      <c r="C165" s="55"/>
      <c r="D165" s="118"/>
      <c r="E165" s="118"/>
      <c r="F165" s="119"/>
      <c r="G165" s="118"/>
      <c r="I165" s="446"/>
      <c r="K165" s="441"/>
    </row>
    <row r="166" spans="1:11" ht="19.5" customHeight="1">
      <c r="A166" s="54"/>
      <c r="B166" s="54"/>
      <c r="C166" s="55"/>
      <c r="D166" s="118"/>
      <c r="E166" s="118"/>
      <c r="F166" s="120" t="s">
        <v>46</v>
      </c>
      <c r="G166" s="118"/>
      <c r="I166" s="446"/>
      <c r="K166" s="441"/>
    </row>
    <row r="167" spans="1:11" ht="19.5" customHeight="1">
      <c r="A167" s="43"/>
      <c r="B167" s="43"/>
      <c r="C167" s="43"/>
      <c r="I167" s="446"/>
      <c r="K167" s="441"/>
    </row>
    <row r="168" spans="1:11" ht="19.5" customHeight="1">
      <c r="A168" s="43"/>
      <c r="B168" s="43"/>
      <c r="C168" s="43"/>
      <c r="I168" s="446"/>
      <c r="K168" s="441"/>
    </row>
    <row r="169" spans="1:11" ht="19.5" customHeight="1">
      <c r="A169" s="43"/>
      <c r="B169" s="43"/>
      <c r="C169" s="43"/>
      <c r="H169" s="112"/>
      <c r="I169" s="446"/>
      <c r="K169" s="441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57421875" style="385" customWidth="1"/>
    <col min="2" max="2" width="5.140625" style="38" customWidth="1"/>
    <col min="3" max="3" width="6.57421875" style="38" customWidth="1"/>
    <col min="4" max="4" width="5.28125" style="386" customWidth="1"/>
    <col min="5" max="5" width="50.421875" style="258" customWidth="1"/>
    <col min="6" max="6" width="14.8515625" style="385" customWidth="1"/>
    <col min="7" max="7" width="13.421875" style="385" customWidth="1"/>
    <col min="8" max="8" width="7.421875" style="38" customWidth="1"/>
    <col min="9" max="9" width="20.8515625" style="38" customWidth="1"/>
    <col min="10" max="10" width="14.7109375" style="182" customWidth="1"/>
    <col min="11" max="11" width="11.7109375" style="182" bestFit="1" customWidth="1"/>
    <col min="12" max="13" width="9.140625" style="182" customWidth="1"/>
    <col min="14" max="16384" width="9.140625" style="38" customWidth="1"/>
  </cols>
  <sheetData>
    <row r="1" spans="1:7" ht="20.25">
      <c r="A1" s="179"/>
      <c r="B1" s="177"/>
      <c r="C1" s="177"/>
      <c r="D1" s="179"/>
      <c r="E1" s="180"/>
      <c r="F1" s="181" t="s">
        <v>66</v>
      </c>
      <c r="G1" s="178"/>
    </row>
    <row r="2" spans="1:7" ht="18.75">
      <c r="A2" s="179"/>
      <c r="B2" s="177"/>
      <c r="C2" s="177"/>
      <c r="D2" s="179"/>
      <c r="E2" s="180"/>
      <c r="F2" s="53" t="s">
        <v>277</v>
      </c>
      <c r="G2" s="178"/>
    </row>
    <row r="3" spans="1:7" ht="18.75">
      <c r="A3" s="179"/>
      <c r="B3" s="177"/>
      <c r="C3" s="177"/>
      <c r="D3" s="179"/>
      <c r="E3" s="180"/>
      <c r="F3" s="53" t="s">
        <v>45</v>
      </c>
      <c r="G3" s="178"/>
    </row>
    <row r="4" spans="1:7" ht="15.75">
      <c r="A4" s="179"/>
      <c r="B4" s="177"/>
      <c r="C4" s="177"/>
      <c r="D4" s="179"/>
      <c r="E4" s="180"/>
      <c r="F4" s="1" t="s">
        <v>280</v>
      </c>
      <c r="G4" s="178"/>
    </row>
    <row r="5" spans="1:7" ht="12.75">
      <c r="A5" s="179"/>
      <c r="B5" s="177"/>
      <c r="C5" s="177"/>
      <c r="D5" s="179"/>
      <c r="E5" s="180"/>
      <c r="F5" s="178"/>
      <c r="G5" s="178"/>
    </row>
    <row r="6" spans="1:7" ht="12.75">
      <c r="A6" s="179"/>
      <c r="B6" s="177"/>
      <c r="C6" s="177"/>
      <c r="D6" s="179"/>
      <c r="E6" s="180"/>
      <c r="F6" s="178"/>
      <c r="G6" s="178"/>
    </row>
    <row r="7" spans="1:7" ht="19.5">
      <c r="A7" s="179"/>
      <c r="B7" s="183"/>
      <c r="C7" s="184" t="s">
        <v>67</v>
      </c>
      <c r="D7" s="185"/>
      <c r="E7" s="186"/>
      <c r="F7" s="187"/>
      <c r="G7" s="187"/>
    </row>
    <row r="8" spans="1:7" ht="19.5">
      <c r="A8" s="179"/>
      <c r="B8" s="183"/>
      <c r="C8" s="184" t="s">
        <v>68</v>
      </c>
      <c r="D8" s="185"/>
      <c r="E8" s="186"/>
      <c r="F8" s="187"/>
      <c r="G8" s="188"/>
    </row>
    <row r="9" spans="1:7" ht="18.75">
      <c r="A9" s="179"/>
      <c r="B9" s="183"/>
      <c r="C9" s="189"/>
      <c r="D9" s="185"/>
      <c r="E9" s="186"/>
      <c r="F9" s="187"/>
      <c r="G9" s="187"/>
    </row>
    <row r="10" spans="1:7" ht="12.75">
      <c r="A10" s="179"/>
      <c r="B10" s="183" t="s">
        <v>13</v>
      </c>
      <c r="C10" s="190"/>
      <c r="D10" s="191"/>
      <c r="E10" s="186"/>
      <c r="F10" s="192" t="s">
        <v>23</v>
      </c>
      <c r="G10" s="192"/>
    </row>
    <row r="11" spans="1:7" ht="18.75" customHeight="1">
      <c r="A11" s="193"/>
      <c r="B11" s="194"/>
      <c r="C11" s="195"/>
      <c r="D11" s="196"/>
      <c r="E11" s="197"/>
      <c r="F11" s="198" t="s">
        <v>69</v>
      </c>
      <c r="G11" s="199"/>
    </row>
    <row r="12" spans="1:7" ht="16.5" customHeight="1">
      <c r="A12" s="200" t="s">
        <v>70</v>
      </c>
      <c r="B12" s="201" t="s">
        <v>24</v>
      </c>
      <c r="C12" s="202" t="s">
        <v>21</v>
      </c>
      <c r="D12" s="202" t="s">
        <v>16</v>
      </c>
      <c r="E12" s="203" t="s">
        <v>71</v>
      </c>
      <c r="F12" s="204"/>
      <c r="G12" s="205" t="s">
        <v>12</v>
      </c>
    </row>
    <row r="13" spans="1:10" ht="46.5" customHeight="1">
      <c r="A13" s="206"/>
      <c r="B13" s="207"/>
      <c r="C13" s="208"/>
      <c r="D13" s="209"/>
      <c r="E13" s="210"/>
      <c r="F13" s="211" t="s">
        <v>72</v>
      </c>
      <c r="G13" s="212" t="s">
        <v>73</v>
      </c>
      <c r="I13" s="213"/>
      <c r="J13" s="214"/>
    </row>
    <row r="14" spans="1:10" ht="21" customHeight="1">
      <c r="A14" s="193"/>
      <c r="B14" s="215" t="s">
        <v>74</v>
      </c>
      <c r="C14" s="216"/>
      <c r="D14" s="217"/>
      <c r="E14" s="218"/>
      <c r="F14" s="219">
        <f>F15+F42+F52+F60+F65+F68+F105+F108+F112+F121+F150+F155</f>
        <v>50376986.23</v>
      </c>
      <c r="G14" s="219">
        <f>G15+G42+G52+G60+G65+G68+G105+G108+G112+G121+G150+G155</f>
        <v>8868191.52</v>
      </c>
      <c r="I14" s="214"/>
      <c r="J14" s="214"/>
    </row>
    <row r="15" spans="1:10" ht="19.5" customHeight="1">
      <c r="A15" s="126"/>
      <c r="B15" s="220">
        <v>600</v>
      </c>
      <c r="C15" s="220"/>
      <c r="D15" s="175"/>
      <c r="E15" s="221" t="s">
        <v>60</v>
      </c>
      <c r="F15" s="222">
        <f>F16+F18</f>
        <v>14019692.569999998</v>
      </c>
      <c r="G15" s="223">
        <f>G16+G18</f>
        <v>2500000</v>
      </c>
      <c r="I15" s="224"/>
      <c r="J15" s="224"/>
    </row>
    <row r="16" spans="1:13" s="231" customFormat="1" ht="19.5" customHeight="1">
      <c r="A16" s="206"/>
      <c r="B16" s="225"/>
      <c r="C16" s="226">
        <v>60004</v>
      </c>
      <c r="D16" s="227"/>
      <c r="E16" s="228" t="s">
        <v>75</v>
      </c>
      <c r="F16" s="229">
        <f>F17</f>
        <v>20000</v>
      </c>
      <c r="G16" s="230"/>
      <c r="I16" s="232"/>
      <c r="J16" s="232"/>
      <c r="K16" s="233"/>
      <c r="L16" s="233"/>
      <c r="M16" s="233"/>
    </row>
    <row r="17" spans="1:13" s="231" customFormat="1" ht="19.5" customHeight="1">
      <c r="A17" s="206">
        <v>1</v>
      </c>
      <c r="B17" s="225"/>
      <c r="C17" s="226"/>
      <c r="D17" s="227">
        <v>6050</v>
      </c>
      <c r="E17" s="228" t="s">
        <v>76</v>
      </c>
      <c r="F17" s="229">
        <v>20000</v>
      </c>
      <c r="G17" s="230"/>
      <c r="I17" s="232"/>
      <c r="J17" s="232"/>
      <c r="K17" s="233"/>
      <c r="L17" s="233"/>
      <c r="M17" s="233"/>
    </row>
    <row r="18" spans="1:7" ht="18" customHeight="1">
      <c r="A18" s="206"/>
      <c r="B18" s="234"/>
      <c r="C18" s="235">
        <v>60016</v>
      </c>
      <c r="D18" s="236"/>
      <c r="E18" s="237" t="s">
        <v>77</v>
      </c>
      <c r="F18" s="238">
        <f>SUM(F19:F41)</f>
        <v>13999692.569999998</v>
      </c>
      <c r="G18" s="239">
        <f>SUM(G19:G41)</f>
        <v>2500000</v>
      </c>
    </row>
    <row r="19" spans="1:13" s="242" customFormat="1" ht="22.5" customHeight="1">
      <c r="A19" s="126">
        <v>2</v>
      </c>
      <c r="B19" s="240"/>
      <c r="C19" s="338"/>
      <c r="D19" s="227">
        <v>6050</v>
      </c>
      <c r="E19" s="125" t="s">
        <v>78</v>
      </c>
      <c r="F19" s="230">
        <f>3013000-46563.41+1702980.52</f>
        <v>4669417.109999999</v>
      </c>
      <c r="G19" s="230">
        <v>2000000</v>
      </c>
      <c r="H19" s="241"/>
      <c r="I19" s="241"/>
      <c r="J19" s="241"/>
      <c r="K19" s="241"/>
      <c r="L19" s="241"/>
      <c r="M19" s="241"/>
    </row>
    <row r="20" spans="1:13" s="242" customFormat="1" ht="38.25" customHeight="1">
      <c r="A20" s="126">
        <v>3</v>
      </c>
      <c r="B20" s="240"/>
      <c r="C20" s="338"/>
      <c r="D20" s="227">
        <v>6050</v>
      </c>
      <c r="E20" s="243" t="s">
        <v>79</v>
      </c>
      <c r="F20" s="229">
        <v>1857.05</v>
      </c>
      <c r="G20" s="230">
        <v>0</v>
      </c>
      <c r="H20" s="241"/>
      <c r="J20" s="241"/>
      <c r="K20" s="241"/>
      <c r="L20" s="241"/>
      <c r="M20" s="241"/>
    </row>
    <row r="21" spans="1:13" s="242" customFormat="1" ht="29.25" customHeight="1">
      <c r="A21" s="126">
        <v>4</v>
      </c>
      <c r="B21" s="244"/>
      <c r="C21" s="200"/>
      <c r="D21" s="227">
        <v>6050</v>
      </c>
      <c r="E21" s="245" t="s">
        <v>80</v>
      </c>
      <c r="F21" s="229">
        <f>1500000-15444.76-5872.57-700000</f>
        <v>778682.6699999999</v>
      </c>
      <c r="G21" s="230">
        <v>0</v>
      </c>
      <c r="I21" s="241"/>
      <c r="J21" s="241"/>
      <c r="K21" s="241"/>
      <c r="L21" s="241"/>
      <c r="M21" s="241"/>
    </row>
    <row r="22" spans="1:13" s="242" customFormat="1" ht="31.5" customHeight="1">
      <c r="A22" s="126">
        <v>5</v>
      </c>
      <c r="B22" s="244"/>
      <c r="C22" s="200"/>
      <c r="D22" s="227">
        <v>6050</v>
      </c>
      <c r="E22" s="245" t="s">
        <v>81</v>
      </c>
      <c r="F22" s="229">
        <f>90000-7000</f>
        <v>83000</v>
      </c>
      <c r="G22" s="230">
        <v>0</v>
      </c>
      <c r="J22" s="241"/>
      <c r="K22" s="241"/>
      <c r="L22" s="241"/>
      <c r="M22" s="241"/>
    </row>
    <row r="23" spans="1:13" s="242" customFormat="1" ht="22.5" customHeight="1">
      <c r="A23" s="126">
        <v>6</v>
      </c>
      <c r="B23" s="244"/>
      <c r="C23" s="200"/>
      <c r="D23" s="227">
        <v>6050</v>
      </c>
      <c r="E23" s="245" t="s">
        <v>82</v>
      </c>
      <c r="F23" s="229">
        <f>2000000-78000</f>
        <v>1922000</v>
      </c>
      <c r="G23" s="230">
        <f>104918.45+100000</f>
        <v>204918.45</v>
      </c>
      <c r="J23" s="241"/>
      <c r="K23" s="241"/>
      <c r="L23" s="241"/>
      <c r="M23" s="241"/>
    </row>
    <row r="24" spans="1:13" s="242" customFormat="1" ht="23.25" customHeight="1">
      <c r="A24" s="126">
        <v>7</v>
      </c>
      <c r="B24" s="244"/>
      <c r="C24" s="200"/>
      <c r="D24" s="227">
        <v>6050</v>
      </c>
      <c r="E24" s="245" t="s">
        <v>83</v>
      </c>
      <c r="F24" s="229">
        <f>1200000+52435.98</f>
        <v>1252435.98</v>
      </c>
      <c r="G24" s="230">
        <f>400000-104918.45</f>
        <v>295081.55</v>
      </c>
      <c r="J24" s="241"/>
      <c r="K24" s="241"/>
      <c r="L24" s="241"/>
      <c r="M24" s="241"/>
    </row>
    <row r="25" spans="1:13" s="242" customFormat="1" ht="43.5" customHeight="1">
      <c r="A25" s="126">
        <v>8</v>
      </c>
      <c r="B25" s="244"/>
      <c r="C25" s="200"/>
      <c r="D25" s="227">
        <v>6050</v>
      </c>
      <c r="E25" s="245" t="s">
        <v>84</v>
      </c>
      <c r="F25" s="229">
        <f>148000-8000-41000</f>
        <v>99000</v>
      </c>
      <c r="G25" s="230">
        <v>0</v>
      </c>
      <c r="J25" s="241"/>
      <c r="K25" s="241"/>
      <c r="L25" s="241"/>
      <c r="M25" s="241"/>
    </row>
    <row r="26" spans="1:13" s="242" customFormat="1" ht="24.75" customHeight="1">
      <c r="A26" s="126">
        <v>9</v>
      </c>
      <c r="B26" s="244"/>
      <c r="C26" s="200"/>
      <c r="D26" s="227">
        <v>6050</v>
      </c>
      <c r="E26" s="245" t="s">
        <v>85</v>
      </c>
      <c r="F26" s="229">
        <f>45000+32121</f>
        <v>77121</v>
      </c>
      <c r="G26" s="230">
        <v>0</v>
      </c>
      <c r="J26" s="241"/>
      <c r="K26" s="241"/>
      <c r="L26" s="241"/>
      <c r="M26" s="241"/>
    </row>
    <row r="27" spans="1:13" s="242" customFormat="1" ht="28.5" customHeight="1">
      <c r="A27" s="206">
        <v>10</v>
      </c>
      <c r="B27" s="244"/>
      <c r="C27" s="200"/>
      <c r="D27" s="227">
        <v>6050</v>
      </c>
      <c r="E27" s="245" t="s">
        <v>86</v>
      </c>
      <c r="F27" s="421">
        <f>500+41000-41350</f>
        <v>150</v>
      </c>
      <c r="G27" s="230">
        <v>0</v>
      </c>
      <c r="J27" s="241"/>
      <c r="K27" s="241"/>
      <c r="L27" s="241"/>
      <c r="M27" s="241"/>
    </row>
    <row r="28" spans="1:13" s="242" customFormat="1" ht="25.5" customHeight="1">
      <c r="A28" s="206">
        <v>11</v>
      </c>
      <c r="B28" s="244"/>
      <c r="C28" s="200"/>
      <c r="D28" s="227">
        <v>6050</v>
      </c>
      <c r="E28" s="245" t="s">
        <v>87</v>
      </c>
      <c r="F28" s="229">
        <f>21000-5095.24</f>
        <v>15904.76</v>
      </c>
      <c r="G28" s="230">
        <v>0</v>
      </c>
      <c r="J28" s="241"/>
      <c r="K28" s="241"/>
      <c r="L28" s="241"/>
      <c r="M28" s="241"/>
    </row>
    <row r="29" spans="1:13" s="242" customFormat="1" ht="30.75" customHeight="1">
      <c r="A29" s="206">
        <v>12</v>
      </c>
      <c r="B29" s="244"/>
      <c r="C29" s="200"/>
      <c r="D29" s="227">
        <v>6050</v>
      </c>
      <c r="E29" s="245" t="s">
        <v>88</v>
      </c>
      <c r="F29" s="229">
        <v>30000</v>
      </c>
      <c r="G29" s="230">
        <v>0</v>
      </c>
      <c r="J29" s="241"/>
      <c r="K29" s="241"/>
      <c r="L29" s="241"/>
      <c r="M29" s="241"/>
    </row>
    <row r="30" spans="1:13" s="242" customFormat="1" ht="24.75" customHeight="1">
      <c r="A30" s="206">
        <v>13</v>
      </c>
      <c r="B30" s="244"/>
      <c r="C30" s="200"/>
      <c r="D30" s="227">
        <v>6050</v>
      </c>
      <c r="E30" s="245" t="s">
        <v>89</v>
      </c>
      <c r="F30" s="421">
        <f>3000+2500000+1693000</f>
        <v>4196000</v>
      </c>
      <c r="G30" s="230">
        <v>0</v>
      </c>
      <c r="J30" s="241"/>
      <c r="K30" s="241"/>
      <c r="L30" s="241"/>
      <c r="M30" s="241"/>
    </row>
    <row r="31" spans="1:13" s="242" customFormat="1" ht="21" customHeight="1">
      <c r="A31" s="206">
        <v>14</v>
      </c>
      <c r="B31" s="244"/>
      <c r="C31" s="200"/>
      <c r="D31" s="227">
        <v>6050</v>
      </c>
      <c r="E31" s="245" t="s">
        <v>90</v>
      </c>
      <c r="F31" s="229">
        <v>64000</v>
      </c>
      <c r="G31" s="230"/>
      <c r="J31" s="241"/>
      <c r="K31" s="241"/>
      <c r="L31" s="241"/>
      <c r="M31" s="241"/>
    </row>
    <row r="32" spans="1:13" s="242" customFormat="1" ht="24" customHeight="1">
      <c r="A32" s="206">
        <v>15</v>
      </c>
      <c r="B32" s="244"/>
      <c r="C32" s="200"/>
      <c r="D32" s="227">
        <v>6050</v>
      </c>
      <c r="E32" s="245" t="s">
        <v>91</v>
      </c>
      <c r="F32" s="229">
        <f>18995+23450-18995</f>
        <v>23450</v>
      </c>
      <c r="G32" s="230"/>
      <c r="J32" s="241"/>
      <c r="K32" s="241"/>
      <c r="L32" s="241"/>
      <c r="M32" s="241"/>
    </row>
    <row r="33" spans="1:13" s="242" customFormat="1" ht="22.5" customHeight="1">
      <c r="A33" s="206">
        <v>16</v>
      </c>
      <c r="B33" s="244"/>
      <c r="C33" s="200"/>
      <c r="D33" s="227">
        <v>6050</v>
      </c>
      <c r="E33" s="245" t="s">
        <v>92</v>
      </c>
      <c r="F33" s="229">
        <f>105000+300000</f>
        <v>405000</v>
      </c>
      <c r="G33" s="230"/>
      <c r="J33" s="241"/>
      <c r="K33" s="241"/>
      <c r="L33" s="241"/>
      <c r="M33" s="241"/>
    </row>
    <row r="34" spans="1:13" s="242" customFormat="1" ht="30.75" customHeight="1">
      <c r="A34" s="206">
        <v>17</v>
      </c>
      <c r="B34" s="244"/>
      <c r="C34" s="200"/>
      <c r="D34" s="227">
        <v>6050</v>
      </c>
      <c r="E34" s="245" t="s">
        <v>93</v>
      </c>
      <c r="F34" s="421">
        <f>70000-24490</f>
        <v>45510</v>
      </c>
      <c r="G34" s="230"/>
      <c r="J34" s="241"/>
      <c r="K34" s="241"/>
      <c r="L34" s="241"/>
      <c r="M34" s="241"/>
    </row>
    <row r="35" spans="1:13" s="242" customFormat="1" ht="30.75" customHeight="1">
      <c r="A35" s="206">
        <v>18</v>
      </c>
      <c r="B35" s="244"/>
      <c r="C35" s="200"/>
      <c r="D35" s="227">
        <v>6050</v>
      </c>
      <c r="E35" s="245" t="s">
        <v>94</v>
      </c>
      <c r="F35" s="229">
        <v>60000</v>
      </c>
      <c r="G35" s="230"/>
      <c r="J35" s="241"/>
      <c r="K35" s="241"/>
      <c r="L35" s="241"/>
      <c r="M35" s="241"/>
    </row>
    <row r="36" spans="1:13" s="242" customFormat="1" ht="30.75" customHeight="1">
      <c r="A36" s="206">
        <v>19</v>
      </c>
      <c r="B36" s="244"/>
      <c r="C36" s="200"/>
      <c r="D36" s="227">
        <v>6050</v>
      </c>
      <c r="E36" s="245" t="s">
        <v>95</v>
      </c>
      <c r="F36" s="229">
        <v>20000</v>
      </c>
      <c r="G36" s="230"/>
      <c r="J36" s="241"/>
      <c r="K36" s="241"/>
      <c r="L36" s="241"/>
      <c r="M36" s="241"/>
    </row>
    <row r="37" spans="1:13" s="242" customFormat="1" ht="30.75" customHeight="1">
      <c r="A37" s="206">
        <v>20</v>
      </c>
      <c r="B37" s="244"/>
      <c r="C37" s="200"/>
      <c r="D37" s="227">
        <v>6050</v>
      </c>
      <c r="E37" s="245" t="s">
        <v>96</v>
      </c>
      <c r="F37" s="421">
        <f>220000-187036</f>
        <v>32964</v>
      </c>
      <c r="G37" s="230"/>
      <c r="J37" s="241"/>
      <c r="K37" s="241"/>
      <c r="L37" s="241"/>
      <c r="M37" s="241"/>
    </row>
    <row r="38" spans="1:13" s="242" customFormat="1" ht="24" customHeight="1">
      <c r="A38" s="206">
        <v>21</v>
      </c>
      <c r="B38" s="244"/>
      <c r="C38" s="200"/>
      <c r="D38" s="227">
        <v>6050</v>
      </c>
      <c r="E38" s="245" t="s">
        <v>97</v>
      </c>
      <c r="F38" s="229">
        <v>51660</v>
      </c>
      <c r="G38" s="230"/>
      <c r="J38" s="241"/>
      <c r="K38" s="241"/>
      <c r="L38" s="241"/>
      <c r="M38" s="241"/>
    </row>
    <row r="39" spans="1:13" s="242" customFormat="1" ht="21.75" customHeight="1">
      <c r="A39" s="206">
        <v>22</v>
      </c>
      <c r="B39" s="244"/>
      <c r="C39" s="200"/>
      <c r="D39" s="227">
        <v>6050</v>
      </c>
      <c r="E39" s="245" t="s">
        <v>98</v>
      </c>
      <c r="F39" s="229">
        <v>1000</v>
      </c>
      <c r="G39" s="230"/>
      <c r="J39" s="241"/>
      <c r="K39" s="241"/>
      <c r="L39" s="241"/>
      <c r="M39" s="241"/>
    </row>
    <row r="40" spans="1:13" s="242" customFormat="1" ht="24" customHeight="1">
      <c r="A40" s="206">
        <v>23</v>
      </c>
      <c r="B40" s="244"/>
      <c r="C40" s="200"/>
      <c r="D40" s="227">
        <v>6050</v>
      </c>
      <c r="E40" s="245" t="s">
        <v>99</v>
      </c>
      <c r="F40" s="229">
        <v>50000</v>
      </c>
      <c r="G40" s="230"/>
      <c r="J40" s="241"/>
      <c r="K40" s="241"/>
      <c r="L40" s="241"/>
      <c r="M40" s="241"/>
    </row>
    <row r="41" spans="1:13" s="242" customFormat="1" ht="28.5" customHeight="1">
      <c r="A41" s="206">
        <v>24</v>
      </c>
      <c r="B41" s="244"/>
      <c r="C41" s="200"/>
      <c r="D41" s="227">
        <v>6050</v>
      </c>
      <c r="E41" s="245" t="s">
        <v>100</v>
      </c>
      <c r="F41" s="229">
        <f>100000+20540</f>
        <v>120540</v>
      </c>
      <c r="G41" s="230">
        <v>0</v>
      </c>
      <c r="J41" s="241"/>
      <c r="K41" s="241"/>
      <c r="L41" s="241"/>
      <c r="M41" s="241"/>
    </row>
    <row r="42" spans="1:7" ht="21" customHeight="1">
      <c r="A42" s="246"/>
      <c r="B42" s="220">
        <v>700</v>
      </c>
      <c r="C42" s="220"/>
      <c r="D42" s="175"/>
      <c r="E42" s="247" t="s">
        <v>101</v>
      </c>
      <c r="F42" s="248">
        <f>F43+F46</f>
        <v>1827516</v>
      </c>
      <c r="G42" s="249">
        <f>G43+G46</f>
        <v>0</v>
      </c>
    </row>
    <row r="43" spans="1:7" ht="23.25" customHeight="1">
      <c r="A43" s="126"/>
      <c r="B43" s="250"/>
      <c r="C43" s="251">
        <v>70005</v>
      </c>
      <c r="D43" s="236"/>
      <c r="E43" s="237" t="s">
        <v>102</v>
      </c>
      <c r="F43" s="238">
        <f>SUM(F44:F45)</f>
        <v>937910</v>
      </c>
      <c r="G43" s="239">
        <f>SUM(G45:G45)</f>
        <v>0</v>
      </c>
    </row>
    <row r="44" spans="1:13" s="231" customFormat="1" ht="27" customHeight="1">
      <c r="A44" s="126">
        <v>25</v>
      </c>
      <c r="B44" s="252"/>
      <c r="C44" s="225"/>
      <c r="D44" s="227">
        <v>6050</v>
      </c>
      <c r="E44" s="245" t="s">
        <v>103</v>
      </c>
      <c r="F44" s="253">
        <v>17600</v>
      </c>
      <c r="G44" s="254"/>
      <c r="J44" s="233"/>
      <c r="K44" s="233"/>
      <c r="L44" s="233"/>
      <c r="M44" s="233"/>
    </row>
    <row r="45" spans="1:7" ht="24" customHeight="1">
      <c r="A45" s="126">
        <v>26</v>
      </c>
      <c r="B45" s="252"/>
      <c r="C45" s="225"/>
      <c r="D45" s="227">
        <v>6060</v>
      </c>
      <c r="E45" s="245" t="s">
        <v>104</v>
      </c>
      <c r="F45" s="254">
        <f>866460+45000+2500+7500-1150</f>
        <v>920310</v>
      </c>
      <c r="G45" s="254">
        <v>0</v>
      </c>
    </row>
    <row r="46" spans="1:7" ht="24.75" customHeight="1">
      <c r="A46" s="126"/>
      <c r="B46" s="255"/>
      <c r="C46" s="256">
        <v>70095</v>
      </c>
      <c r="D46" s="257"/>
      <c r="E46" s="237" t="s">
        <v>105</v>
      </c>
      <c r="F46" s="238">
        <f>SUM(F47:F51)</f>
        <v>889606</v>
      </c>
      <c r="G46" s="239">
        <f>SUM(G47:G51)</f>
        <v>0</v>
      </c>
    </row>
    <row r="47" spans="1:7" ht="34.5" customHeight="1">
      <c r="A47" s="126">
        <v>27</v>
      </c>
      <c r="B47" s="255"/>
      <c r="C47" s="234"/>
      <c r="D47" s="126">
        <v>6050</v>
      </c>
      <c r="E47" s="125" t="s">
        <v>106</v>
      </c>
      <c r="F47" s="254">
        <f>574383+10000+156073+7000+1150</f>
        <v>748606</v>
      </c>
      <c r="G47" s="254">
        <v>0</v>
      </c>
    </row>
    <row r="48" spans="1:7" ht="34.5" customHeight="1">
      <c r="A48" s="126">
        <v>28</v>
      </c>
      <c r="B48" s="255"/>
      <c r="C48" s="234"/>
      <c r="D48" s="126">
        <v>6050</v>
      </c>
      <c r="E48" s="125" t="s">
        <v>107</v>
      </c>
      <c r="F48" s="254">
        <v>75000</v>
      </c>
      <c r="G48" s="254"/>
    </row>
    <row r="49" spans="1:7" ht="28.5" customHeight="1">
      <c r="A49" s="126">
        <v>29</v>
      </c>
      <c r="B49" s="255"/>
      <c r="C49" s="234"/>
      <c r="D49" s="126">
        <v>6050</v>
      </c>
      <c r="E49" s="125" t="s">
        <v>108</v>
      </c>
      <c r="F49" s="254">
        <v>60000</v>
      </c>
      <c r="G49" s="254"/>
    </row>
    <row r="50" spans="1:7" ht="41.25" customHeight="1">
      <c r="A50" s="126">
        <v>30</v>
      </c>
      <c r="B50" s="255"/>
      <c r="C50" s="234"/>
      <c r="D50" s="126">
        <v>6050</v>
      </c>
      <c r="E50" s="125" t="s">
        <v>109</v>
      </c>
      <c r="F50" s="254">
        <v>5000</v>
      </c>
      <c r="G50" s="254"/>
    </row>
    <row r="51" spans="1:13" s="258" customFormat="1" ht="33" customHeight="1">
      <c r="A51" s="126">
        <v>31</v>
      </c>
      <c r="B51" s="252"/>
      <c r="C51" s="225"/>
      <c r="D51" s="126">
        <v>6050</v>
      </c>
      <c r="E51" s="125" t="s">
        <v>110</v>
      </c>
      <c r="F51" s="254">
        <f>11000-10000</f>
        <v>1000</v>
      </c>
      <c r="G51" s="254">
        <v>0</v>
      </c>
      <c r="J51" s="259"/>
      <c r="K51" s="259"/>
      <c r="L51" s="259"/>
      <c r="M51" s="259"/>
    </row>
    <row r="52" spans="1:7" ht="21" customHeight="1">
      <c r="A52" s="260"/>
      <c r="B52" s="220">
        <v>750</v>
      </c>
      <c r="C52" s="220"/>
      <c r="D52" s="175"/>
      <c r="E52" s="261" t="s">
        <v>61</v>
      </c>
      <c r="F52" s="262">
        <f>F53+F56+F58</f>
        <v>861100</v>
      </c>
      <c r="G52" s="263">
        <f>G53+G58</f>
        <v>0</v>
      </c>
    </row>
    <row r="53" spans="1:7" ht="24.75" customHeight="1">
      <c r="A53" s="126"/>
      <c r="B53" s="264"/>
      <c r="C53" s="250">
        <v>75023</v>
      </c>
      <c r="D53" s="257"/>
      <c r="E53" s="265" t="s">
        <v>111</v>
      </c>
      <c r="F53" s="266">
        <f>SUM(F54:F55)</f>
        <v>258000</v>
      </c>
      <c r="G53" s="267">
        <f>SUM(G55:G55)</f>
        <v>0</v>
      </c>
    </row>
    <row r="54" spans="1:13" s="231" customFormat="1" ht="24.75" customHeight="1">
      <c r="A54" s="126">
        <v>32</v>
      </c>
      <c r="B54" s="268"/>
      <c r="C54" s="269"/>
      <c r="D54" s="126">
        <v>6050</v>
      </c>
      <c r="E54" s="270" t="s">
        <v>112</v>
      </c>
      <c r="F54" s="254">
        <v>18000</v>
      </c>
      <c r="G54" s="271"/>
      <c r="J54" s="233"/>
      <c r="K54" s="233"/>
      <c r="L54" s="233"/>
      <c r="M54" s="233"/>
    </row>
    <row r="55" spans="1:7" ht="21" customHeight="1">
      <c r="A55" s="126">
        <v>33</v>
      </c>
      <c r="B55" s="272"/>
      <c r="C55" s="273"/>
      <c r="D55" s="274">
        <v>6060</v>
      </c>
      <c r="E55" s="275" t="s">
        <v>113</v>
      </c>
      <c r="F55" s="276">
        <f>250000+300000-310000</f>
        <v>240000</v>
      </c>
      <c r="G55" s="277">
        <v>0</v>
      </c>
    </row>
    <row r="56" spans="1:7" ht="28.5" customHeight="1">
      <c r="A56" s="126"/>
      <c r="B56" s="272"/>
      <c r="C56" s="273">
        <v>75075</v>
      </c>
      <c r="D56" s="278"/>
      <c r="E56" s="279" t="s">
        <v>114</v>
      </c>
      <c r="F56" s="276">
        <f>F57</f>
        <v>8100</v>
      </c>
      <c r="G56" s="271"/>
    </row>
    <row r="57" spans="1:7" ht="23.25" customHeight="1">
      <c r="A57" s="126">
        <v>34</v>
      </c>
      <c r="B57" s="272"/>
      <c r="C57" s="273"/>
      <c r="D57" s="227">
        <v>6060</v>
      </c>
      <c r="E57" s="280" t="s">
        <v>115</v>
      </c>
      <c r="F57" s="281">
        <v>8100</v>
      </c>
      <c r="G57" s="271"/>
    </row>
    <row r="58" spans="1:7" ht="21.75" customHeight="1">
      <c r="A58" s="126"/>
      <c r="B58" s="282"/>
      <c r="C58" s="235">
        <v>75095</v>
      </c>
      <c r="D58" s="257"/>
      <c r="E58" s="265" t="s">
        <v>105</v>
      </c>
      <c r="F58" s="266">
        <f>SUM(F59:F59)</f>
        <v>595000</v>
      </c>
      <c r="G58" s="267">
        <f>SUM(G59:G59)</f>
        <v>0</v>
      </c>
    </row>
    <row r="59" spans="1:7" ht="33" customHeight="1">
      <c r="A59" s="126">
        <v>35</v>
      </c>
      <c r="B59" s="282"/>
      <c r="C59" s="234"/>
      <c r="D59" s="278">
        <v>6050</v>
      </c>
      <c r="E59" s="125" t="s">
        <v>116</v>
      </c>
      <c r="F59" s="254">
        <f>950000-300000-55000</f>
        <v>595000</v>
      </c>
      <c r="G59" s="254">
        <v>0</v>
      </c>
    </row>
    <row r="60" spans="1:7" ht="26.25" customHeight="1">
      <c r="A60" s="260"/>
      <c r="B60" s="220">
        <v>754</v>
      </c>
      <c r="C60" s="220"/>
      <c r="D60" s="260"/>
      <c r="E60" s="283" t="s">
        <v>117</v>
      </c>
      <c r="F60" s="249">
        <f>F61+F63</f>
        <v>23000</v>
      </c>
      <c r="G60" s="249">
        <f>G61+G63</f>
        <v>0</v>
      </c>
    </row>
    <row r="61" spans="1:7" ht="21.75" customHeight="1">
      <c r="A61" s="126"/>
      <c r="B61" s="284"/>
      <c r="C61" s="250">
        <v>75412</v>
      </c>
      <c r="D61" s="285"/>
      <c r="E61" s="286" t="s">
        <v>118</v>
      </c>
      <c r="F61" s="239">
        <f>F62</f>
        <v>6000</v>
      </c>
      <c r="G61" s="239">
        <f>G62</f>
        <v>0</v>
      </c>
    </row>
    <row r="62" spans="1:7" ht="21" customHeight="1">
      <c r="A62" s="126">
        <v>36</v>
      </c>
      <c r="B62" s="287"/>
      <c r="C62" s="269"/>
      <c r="D62" s="227">
        <v>6060</v>
      </c>
      <c r="E62" s="245" t="s">
        <v>119</v>
      </c>
      <c r="F62" s="254">
        <v>6000</v>
      </c>
      <c r="G62" s="254"/>
    </row>
    <row r="63" spans="1:7" ht="22.5" customHeight="1">
      <c r="A63" s="126"/>
      <c r="B63" s="284"/>
      <c r="C63" s="256">
        <v>75414</v>
      </c>
      <c r="D63" s="285"/>
      <c r="E63" s="286" t="s">
        <v>120</v>
      </c>
      <c r="F63" s="266">
        <f>SUM(F64)</f>
        <v>17000</v>
      </c>
      <c r="G63" s="267">
        <f>SUM(G64)</f>
        <v>0</v>
      </c>
    </row>
    <row r="64" spans="1:7" ht="26.25" customHeight="1">
      <c r="A64" s="126">
        <v>37</v>
      </c>
      <c r="B64" s="252"/>
      <c r="C64" s="288"/>
      <c r="D64" s="278">
        <v>6060</v>
      </c>
      <c r="E64" s="245" t="s">
        <v>119</v>
      </c>
      <c r="F64" s="230">
        <v>17000</v>
      </c>
      <c r="G64" s="230">
        <v>0</v>
      </c>
    </row>
    <row r="65" spans="1:7" ht="21.75" customHeight="1">
      <c r="A65" s="289"/>
      <c r="B65" s="220">
        <v>758</v>
      </c>
      <c r="C65" s="220"/>
      <c r="D65" s="175"/>
      <c r="E65" s="247" t="s">
        <v>121</v>
      </c>
      <c r="F65" s="248">
        <f>F66</f>
        <v>165347</v>
      </c>
      <c r="G65" s="249">
        <f>G66</f>
        <v>0</v>
      </c>
    </row>
    <row r="66" spans="1:7" ht="22.5" customHeight="1">
      <c r="A66" s="200"/>
      <c r="B66" s="290"/>
      <c r="C66" s="291">
        <v>75818</v>
      </c>
      <c r="D66" s="257"/>
      <c r="E66" s="265" t="s">
        <v>122</v>
      </c>
      <c r="F66" s="266">
        <f>F67</f>
        <v>165347</v>
      </c>
      <c r="G66" s="267">
        <f>G67</f>
        <v>0</v>
      </c>
    </row>
    <row r="67" spans="1:7" ht="23.25" customHeight="1">
      <c r="A67" s="200"/>
      <c r="B67" s="292"/>
      <c r="C67" s="288"/>
      <c r="D67" s="278">
        <v>6800</v>
      </c>
      <c r="E67" s="293" t="s">
        <v>123</v>
      </c>
      <c r="F67" s="420">
        <f>400000-200000+24500-10000+174688-2498-40000-6000-101073-30478-5492+739700-35000+55000-18000-25000-730000-25000</f>
        <v>165347</v>
      </c>
      <c r="G67" s="230">
        <f>500000-500000</f>
        <v>0</v>
      </c>
    </row>
    <row r="68" spans="1:7" ht="24.75" customHeight="1">
      <c r="A68" s="206"/>
      <c r="B68" s="294">
        <v>801</v>
      </c>
      <c r="C68" s="288"/>
      <c r="D68" s="278"/>
      <c r="E68" s="295" t="s">
        <v>25</v>
      </c>
      <c r="F68" s="262">
        <f>F69+F79+F93+F96+F103</f>
        <v>1608578.7</v>
      </c>
      <c r="G68" s="263">
        <f>G69+G79+G93+G96</f>
        <v>0</v>
      </c>
    </row>
    <row r="69" spans="1:7" ht="24" customHeight="1">
      <c r="A69" s="278"/>
      <c r="B69" s="290"/>
      <c r="C69" s="234">
        <v>80101</v>
      </c>
      <c r="D69" s="257"/>
      <c r="E69" s="265" t="s">
        <v>124</v>
      </c>
      <c r="F69" s="266">
        <f>SUM(F70:F78)</f>
        <v>1040478</v>
      </c>
      <c r="G69" s="267">
        <f>SUM(G70:G78)</f>
        <v>0</v>
      </c>
    </row>
    <row r="70" spans="1:7" ht="30.75" customHeight="1">
      <c r="A70" s="278">
        <v>38</v>
      </c>
      <c r="B70" s="284"/>
      <c r="C70" s="296"/>
      <c r="D70" s="227">
        <v>6050</v>
      </c>
      <c r="E70" s="125" t="s">
        <v>125</v>
      </c>
      <c r="F70" s="253">
        <f>40000+30000</f>
        <v>70000</v>
      </c>
      <c r="G70" s="230">
        <v>0</v>
      </c>
    </row>
    <row r="71" spans="1:9" ht="23.25" customHeight="1">
      <c r="A71" s="278">
        <v>39</v>
      </c>
      <c r="B71" s="284"/>
      <c r="C71" s="234"/>
      <c r="D71" s="227">
        <v>6050</v>
      </c>
      <c r="E71" s="245" t="s">
        <v>126</v>
      </c>
      <c r="F71" s="253">
        <f>600000-89889</f>
        <v>510111</v>
      </c>
      <c r="G71" s="230">
        <v>0</v>
      </c>
      <c r="I71" s="297"/>
    </row>
    <row r="72" spans="1:9" ht="27.75" customHeight="1">
      <c r="A72" s="278">
        <v>40</v>
      </c>
      <c r="B72" s="284"/>
      <c r="C72" s="234"/>
      <c r="D72" s="227">
        <v>6050</v>
      </c>
      <c r="E72" s="245" t="s">
        <v>127</v>
      </c>
      <c r="F72" s="253">
        <v>89889</v>
      </c>
      <c r="G72" s="230"/>
      <c r="I72" s="297"/>
    </row>
    <row r="73" spans="1:7" ht="23.25" customHeight="1">
      <c r="A73" s="278">
        <v>41</v>
      </c>
      <c r="B73" s="284"/>
      <c r="C73" s="234"/>
      <c r="D73" s="298">
        <v>6050</v>
      </c>
      <c r="E73" s="124" t="s">
        <v>128</v>
      </c>
      <c r="F73" s="254">
        <v>9000</v>
      </c>
      <c r="G73" s="230">
        <v>0</v>
      </c>
    </row>
    <row r="74" spans="1:7" ht="32.25" customHeight="1">
      <c r="A74" s="278">
        <v>42</v>
      </c>
      <c r="B74" s="292"/>
      <c r="C74" s="234"/>
      <c r="D74" s="298">
        <v>6050</v>
      </c>
      <c r="E74" s="124" t="s">
        <v>129</v>
      </c>
      <c r="F74" s="254">
        <v>50000</v>
      </c>
      <c r="G74" s="230">
        <v>0</v>
      </c>
    </row>
    <row r="75" spans="1:7" ht="34.5" customHeight="1">
      <c r="A75" s="278">
        <v>43</v>
      </c>
      <c r="B75" s="292"/>
      <c r="C75" s="234"/>
      <c r="D75" s="298">
        <v>6050</v>
      </c>
      <c r="E75" s="124" t="s">
        <v>130</v>
      </c>
      <c r="F75" s="254">
        <f>30478+200000</f>
        <v>230478</v>
      </c>
      <c r="G75" s="230">
        <v>0</v>
      </c>
    </row>
    <row r="76" spans="1:7" ht="23.25" customHeight="1">
      <c r="A76" s="278">
        <v>44</v>
      </c>
      <c r="B76" s="292"/>
      <c r="C76" s="234"/>
      <c r="D76" s="298">
        <v>6050</v>
      </c>
      <c r="E76" s="124" t="s">
        <v>131</v>
      </c>
      <c r="F76" s="254">
        <v>60000</v>
      </c>
      <c r="G76" s="230"/>
    </row>
    <row r="77" spans="1:7" ht="21.75" customHeight="1">
      <c r="A77" s="278">
        <v>45</v>
      </c>
      <c r="B77" s="292"/>
      <c r="C77" s="225"/>
      <c r="D77" s="298">
        <v>6060</v>
      </c>
      <c r="E77" s="125" t="s">
        <v>132</v>
      </c>
      <c r="F77" s="254">
        <v>15000</v>
      </c>
      <c r="G77" s="230">
        <v>0</v>
      </c>
    </row>
    <row r="78" spans="1:7" ht="27" customHeight="1">
      <c r="A78" s="278">
        <v>46</v>
      </c>
      <c r="B78" s="292"/>
      <c r="C78" s="288"/>
      <c r="D78" s="298">
        <v>6060</v>
      </c>
      <c r="E78" s="125" t="s">
        <v>133</v>
      </c>
      <c r="F78" s="254">
        <v>6000</v>
      </c>
      <c r="G78" s="230">
        <v>0</v>
      </c>
    </row>
    <row r="79" spans="1:7" ht="24" customHeight="1">
      <c r="A79" s="278"/>
      <c r="B79" s="284"/>
      <c r="C79" s="251">
        <v>80104</v>
      </c>
      <c r="D79" s="236"/>
      <c r="E79" s="237" t="s">
        <v>134</v>
      </c>
      <c r="F79" s="238">
        <f>SUM(F80:F92)</f>
        <v>245893</v>
      </c>
      <c r="G79" s="239">
        <f>SUM(G80:G92)</f>
        <v>0</v>
      </c>
    </row>
    <row r="80" spans="1:13" s="231" customFormat="1" ht="21.75" customHeight="1">
      <c r="A80" s="278">
        <v>47</v>
      </c>
      <c r="B80" s="292"/>
      <c r="C80" s="225"/>
      <c r="D80" s="298">
        <v>6050</v>
      </c>
      <c r="E80" s="245" t="s">
        <v>135</v>
      </c>
      <c r="F80" s="253">
        <f>26000+78000-13000</f>
        <v>91000</v>
      </c>
      <c r="G80" s="254">
        <v>0</v>
      </c>
      <c r="J80" s="233"/>
      <c r="K80" s="233"/>
      <c r="L80" s="233"/>
      <c r="M80" s="233"/>
    </row>
    <row r="81" spans="1:13" s="231" customFormat="1" ht="25.5" customHeight="1">
      <c r="A81" s="278">
        <v>48</v>
      </c>
      <c r="B81" s="292"/>
      <c r="C81" s="225"/>
      <c r="D81" s="298">
        <v>6050</v>
      </c>
      <c r="E81" s="245" t="s">
        <v>136</v>
      </c>
      <c r="F81" s="253">
        <v>40000</v>
      </c>
      <c r="G81" s="254"/>
      <c r="J81" s="233"/>
      <c r="K81" s="233"/>
      <c r="L81" s="233"/>
      <c r="M81" s="233"/>
    </row>
    <row r="82" spans="1:13" s="231" customFormat="1" ht="20.25" customHeight="1">
      <c r="A82" s="278">
        <v>49</v>
      </c>
      <c r="B82" s="292"/>
      <c r="C82" s="225"/>
      <c r="D82" s="298">
        <v>6050</v>
      </c>
      <c r="E82" s="245" t="s">
        <v>137</v>
      </c>
      <c r="F82" s="253">
        <v>11600</v>
      </c>
      <c r="G82" s="254"/>
      <c r="J82" s="233"/>
      <c r="K82" s="233"/>
      <c r="L82" s="233"/>
      <c r="M82" s="233"/>
    </row>
    <row r="83" spans="1:13" s="231" customFormat="1" ht="21" customHeight="1">
      <c r="A83" s="278">
        <v>50</v>
      </c>
      <c r="B83" s="292"/>
      <c r="C83" s="225"/>
      <c r="D83" s="298">
        <v>6050</v>
      </c>
      <c r="E83" s="245" t="s">
        <v>138</v>
      </c>
      <c r="F83" s="253">
        <v>8000</v>
      </c>
      <c r="G83" s="254"/>
      <c r="J83" s="233"/>
      <c r="K83" s="233"/>
      <c r="L83" s="233"/>
      <c r="M83" s="233"/>
    </row>
    <row r="84" spans="1:13" s="231" customFormat="1" ht="25.5" customHeight="1">
      <c r="A84" s="278">
        <v>51</v>
      </c>
      <c r="B84" s="292"/>
      <c r="C84" s="225"/>
      <c r="D84" s="298">
        <v>6060</v>
      </c>
      <c r="E84" s="245" t="s">
        <v>139</v>
      </c>
      <c r="F84" s="253">
        <f>7500-827</f>
        <v>6673</v>
      </c>
      <c r="G84" s="254"/>
      <c r="J84" s="233"/>
      <c r="K84" s="233"/>
      <c r="L84" s="233"/>
      <c r="M84" s="233"/>
    </row>
    <row r="85" spans="1:13" s="231" customFormat="1" ht="23.25" customHeight="1">
      <c r="A85" s="278">
        <v>52</v>
      </c>
      <c r="B85" s="292"/>
      <c r="C85" s="225"/>
      <c r="D85" s="298">
        <v>6060</v>
      </c>
      <c r="E85" s="245" t="s">
        <v>140</v>
      </c>
      <c r="F85" s="253">
        <v>20000</v>
      </c>
      <c r="G85" s="254"/>
      <c r="J85" s="233"/>
      <c r="K85" s="233"/>
      <c r="L85" s="233"/>
      <c r="M85" s="233"/>
    </row>
    <row r="86" spans="1:13" s="231" customFormat="1" ht="21" customHeight="1">
      <c r="A86" s="278">
        <v>53</v>
      </c>
      <c r="B86" s="292"/>
      <c r="C86" s="225"/>
      <c r="D86" s="298">
        <v>6060</v>
      </c>
      <c r="E86" s="245" t="s">
        <v>141</v>
      </c>
      <c r="F86" s="253">
        <v>20000</v>
      </c>
      <c r="G86" s="254"/>
      <c r="J86" s="233"/>
      <c r="K86" s="233"/>
      <c r="L86" s="233"/>
      <c r="M86" s="233"/>
    </row>
    <row r="87" spans="1:13" s="231" customFormat="1" ht="21.75" customHeight="1">
      <c r="A87" s="278">
        <v>54</v>
      </c>
      <c r="B87" s="292"/>
      <c r="C87" s="225"/>
      <c r="D87" s="298">
        <v>6060</v>
      </c>
      <c r="E87" s="245" t="s">
        <v>142</v>
      </c>
      <c r="F87" s="253">
        <v>5000</v>
      </c>
      <c r="G87" s="254"/>
      <c r="J87" s="233"/>
      <c r="K87" s="233"/>
      <c r="L87" s="233"/>
      <c r="M87" s="233"/>
    </row>
    <row r="88" spans="1:13" s="231" customFormat="1" ht="21.75" customHeight="1">
      <c r="A88" s="278">
        <v>55</v>
      </c>
      <c r="B88" s="292"/>
      <c r="C88" s="225"/>
      <c r="D88" s="298">
        <v>6060</v>
      </c>
      <c r="E88" s="245" t="s">
        <v>143</v>
      </c>
      <c r="F88" s="253">
        <v>7300</v>
      </c>
      <c r="G88" s="254"/>
      <c r="J88" s="233"/>
      <c r="K88" s="233"/>
      <c r="L88" s="233"/>
      <c r="M88" s="233"/>
    </row>
    <row r="89" spans="1:13" s="231" customFormat="1" ht="20.25" customHeight="1">
      <c r="A89" s="278">
        <v>56</v>
      </c>
      <c r="B89" s="292"/>
      <c r="C89" s="225"/>
      <c r="D89" s="298">
        <v>6060</v>
      </c>
      <c r="E89" s="245" t="s">
        <v>144</v>
      </c>
      <c r="F89" s="253">
        <v>10320</v>
      </c>
      <c r="G89" s="254"/>
      <c r="J89" s="233"/>
      <c r="K89" s="233"/>
      <c r="L89" s="233"/>
      <c r="M89" s="233"/>
    </row>
    <row r="90" spans="1:7" ht="30" customHeight="1">
      <c r="A90" s="278">
        <v>57</v>
      </c>
      <c r="B90" s="292"/>
      <c r="C90" s="225"/>
      <c r="D90" s="126">
        <v>6060</v>
      </c>
      <c r="E90" s="125" t="s">
        <v>145</v>
      </c>
      <c r="F90" s="254">
        <v>11000</v>
      </c>
      <c r="G90" s="230">
        <v>0</v>
      </c>
    </row>
    <row r="91" spans="1:7" ht="21.75" customHeight="1">
      <c r="A91" s="278">
        <v>58</v>
      </c>
      <c r="B91" s="292"/>
      <c r="C91" s="225"/>
      <c r="D91" s="126">
        <v>6060</v>
      </c>
      <c r="E91" s="125" t="s">
        <v>146</v>
      </c>
      <c r="F91" s="254">
        <v>7000</v>
      </c>
      <c r="G91" s="230">
        <v>0</v>
      </c>
    </row>
    <row r="92" spans="1:7" ht="30" customHeight="1">
      <c r="A92" s="278">
        <v>59</v>
      </c>
      <c r="B92" s="292"/>
      <c r="C92" s="225"/>
      <c r="D92" s="126">
        <v>6060</v>
      </c>
      <c r="E92" s="125" t="s">
        <v>147</v>
      </c>
      <c r="F92" s="254">
        <v>8000</v>
      </c>
      <c r="G92" s="230">
        <v>0</v>
      </c>
    </row>
    <row r="93" spans="1:7" ht="19.5" customHeight="1">
      <c r="A93" s="278"/>
      <c r="B93" s="292"/>
      <c r="C93" s="251">
        <v>80110</v>
      </c>
      <c r="D93" s="236"/>
      <c r="E93" s="237" t="s">
        <v>148</v>
      </c>
      <c r="F93" s="238">
        <f>F94+F95</f>
        <v>250000</v>
      </c>
      <c r="G93" s="239">
        <f>G95</f>
        <v>0</v>
      </c>
    </row>
    <row r="94" spans="1:13" s="231" customFormat="1" ht="23.25" customHeight="1">
      <c r="A94" s="278">
        <v>60</v>
      </c>
      <c r="B94" s="292"/>
      <c r="C94" s="225"/>
      <c r="D94" s="299">
        <v>6050</v>
      </c>
      <c r="E94" s="245" t="s">
        <v>149</v>
      </c>
      <c r="F94" s="253">
        <v>220000</v>
      </c>
      <c r="G94" s="254">
        <v>0</v>
      </c>
      <c r="J94" s="233"/>
      <c r="K94" s="233"/>
      <c r="L94" s="233"/>
      <c r="M94" s="233"/>
    </row>
    <row r="95" spans="1:7" ht="31.5" customHeight="1">
      <c r="A95" s="278">
        <v>61</v>
      </c>
      <c r="B95" s="292"/>
      <c r="C95" s="234"/>
      <c r="D95" s="300">
        <v>6050</v>
      </c>
      <c r="E95" s="125" t="s">
        <v>150</v>
      </c>
      <c r="F95" s="253">
        <v>30000</v>
      </c>
      <c r="G95" s="254">
        <v>0</v>
      </c>
    </row>
    <row r="96" spans="1:13" s="301" customFormat="1" ht="22.5" customHeight="1">
      <c r="A96" s="257"/>
      <c r="B96" s="284"/>
      <c r="C96" s="251">
        <v>80148</v>
      </c>
      <c r="D96" s="236"/>
      <c r="E96" s="237" t="s">
        <v>151</v>
      </c>
      <c r="F96" s="238">
        <f>SUM(F97:F102)</f>
        <v>42208</v>
      </c>
      <c r="G96" s="239">
        <f>SUM(G97:G102)</f>
        <v>0</v>
      </c>
      <c r="J96" s="302"/>
      <c r="K96" s="302"/>
      <c r="L96" s="302"/>
      <c r="M96" s="302"/>
    </row>
    <row r="97" spans="1:7" ht="27" customHeight="1">
      <c r="A97" s="278">
        <v>62</v>
      </c>
      <c r="B97" s="292"/>
      <c r="C97" s="234"/>
      <c r="D97" s="126">
        <v>6060</v>
      </c>
      <c r="E97" s="125" t="s">
        <v>152</v>
      </c>
      <c r="F97" s="253">
        <f>12000-5400</f>
        <v>6600</v>
      </c>
      <c r="G97" s="254">
        <v>0</v>
      </c>
    </row>
    <row r="98" spans="1:7" ht="22.5" customHeight="1">
      <c r="A98" s="278">
        <v>63</v>
      </c>
      <c r="B98" s="292"/>
      <c r="C98" s="234"/>
      <c r="D98" s="126">
        <v>6060</v>
      </c>
      <c r="E98" s="125" t="s">
        <v>153</v>
      </c>
      <c r="F98" s="253">
        <v>5400</v>
      </c>
      <c r="G98" s="254">
        <v>0</v>
      </c>
    </row>
    <row r="99" spans="1:7" ht="21.75" customHeight="1">
      <c r="A99" s="278">
        <v>64</v>
      </c>
      <c r="B99" s="292"/>
      <c r="C99" s="234"/>
      <c r="D99" s="126">
        <v>6060</v>
      </c>
      <c r="E99" s="125" t="s">
        <v>154</v>
      </c>
      <c r="F99" s="253">
        <f>12000-2442</f>
        <v>9558</v>
      </c>
      <c r="G99" s="254">
        <v>0</v>
      </c>
    </row>
    <row r="100" spans="1:7" ht="21.75" customHeight="1">
      <c r="A100" s="278">
        <v>65</v>
      </c>
      <c r="B100" s="292"/>
      <c r="C100" s="234"/>
      <c r="D100" s="126">
        <v>6060</v>
      </c>
      <c r="E100" s="125" t="s">
        <v>155</v>
      </c>
      <c r="F100" s="253">
        <v>7000</v>
      </c>
      <c r="G100" s="254">
        <v>0</v>
      </c>
    </row>
    <row r="101" spans="1:7" ht="21.75" customHeight="1">
      <c r="A101" s="278">
        <v>66</v>
      </c>
      <c r="B101" s="292"/>
      <c r="C101" s="225"/>
      <c r="D101" s="126">
        <v>6060</v>
      </c>
      <c r="E101" s="125" t="s">
        <v>156</v>
      </c>
      <c r="F101" s="253">
        <f>6200-550</f>
        <v>5650</v>
      </c>
      <c r="G101" s="230">
        <v>0</v>
      </c>
    </row>
    <row r="102" spans="1:7" ht="19.5" customHeight="1">
      <c r="A102" s="278">
        <v>67</v>
      </c>
      <c r="B102" s="303"/>
      <c r="C102" s="225"/>
      <c r="D102" s="126">
        <v>6060</v>
      </c>
      <c r="E102" s="125" t="s">
        <v>157</v>
      </c>
      <c r="F102" s="253">
        <v>8000</v>
      </c>
      <c r="G102" s="230">
        <v>0</v>
      </c>
    </row>
    <row r="103" spans="1:13" s="301" customFormat="1" ht="21.75" customHeight="1">
      <c r="A103" s="257"/>
      <c r="B103" s="304"/>
      <c r="C103" s="256">
        <v>80195</v>
      </c>
      <c r="D103" s="305"/>
      <c r="E103" s="306" t="s">
        <v>105</v>
      </c>
      <c r="F103" s="238">
        <f>F104</f>
        <v>29999.7</v>
      </c>
      <c r="G103" s="238">
        <f>G104</f>
        <v>0</v>
      </c>
      <c r="J103" s="302"/>
      <c r="K103" s="302"/>
      <c r="L103" s="302"/>
      <c r="M103" s="302"/>
    </row>
    <row r="104" spans="1:7" ht="21.75" customHeight="1">
      <c r="A104" s="278">
        <v>68</v>
      </c>
      <c r="B104" s="307"/>
      <c r="C104" s="225"/>
      <c r="D104" s="298">
        <v>6050</v>
      </c>
      <c r="E104" s="125" t="s">
        <v>158</v>
      </c>
      <c r="F104" s="253">
        <v>29999.7</v>
      </c>
      <c r="G104" s="230">
        <v>0</v>
      </c>
    </row>
    <row r="105" spans="1:13" s="309" customFormat="1" ht="18.75" customHeight="1">
      <c r="A105" s="260"/>
      <c r="B105" s="307">
        <v>851</v>
      </c>
      <c r="C105" s="220"/>
      <c r="D105" s="308"/>
      <c r="E105" s="261" t="s">
        <v>26</v>
      </c>
      <c r="F105" s="248">
        <f>F106</f>
        <v>7500</v>
      </c>
      <c r="G105" s="249">
        <f>G106</f>
        <v>0</v>
      </c>
      <c r="J105" s="310"/>
      <c r="K105" s="310"/>
      <c r="L105" s="310"/>
      <c r="M105" s="310"/>
    </row>
    <row r="106" spans="1:13" s="301" customFormat="1" ht="19.5" customHeight="1">
      <c r="A106" s="285"/>
      <c r="B106" s="311"/>
      <c r="C106" s="256">
        <v>85154</v>
      </c>
      <c r="D106" s="285"/>
      <c r="E106" s="306" t="s">
        <v>159</v>
      </c>
      <c r="F106" s="238">
        <f>F107</f>
        <v>7500</v>
      </c>
      <c r="G106" s="312"/>
      <c r="J106" s="302"/>
      <c r="K106" s="302"/>
      <c r="L106" s="302"/>
      <c r="M106" s="302"/>
    </row>
    <row r="107" spans="1:7" ht="33.75" customHeight="1">
      <c r="A107" s="126">
        <v>69</v>
      </c>
      <c r="B107" s="287"/>
      <c r="C107" s="252"/>
      <c r="D107" s="227">
        <v>6220</v>
      </c>
      <c r="E107" s="245" t="s">
        <v>160</v>
      </c>
      <c r="F107" s="229">
        <v>7500</v>
      </c>
      <c r="G107" s="230">
        <v>0</v>
      </c>
    </row>
    <row r="108" spans="1:7" ht="20.25" customHeight="1">
      <c r="A108" s="126"/>
      <c r="B108" s="313">
        <v>852</v>
      </c>
      <c r="C108" s="220"/>
      <c r="D108" s="308"/>
      <c r="E108" s="261" t="s">
        <v>47</v>
      </c>
      <c r="F108" s="248">
        <f>F109</f>
        <v>55000</v>
      </c>
      <c r="G108" s="249">
        <f>G109</f>
        <v>0</v>
      </c>
    </row>
    <row r="109" spans="1:13" s="301" customFormat="1" ht="25.5" customHeight="1">
      <c r="A109" s="285"/>
      <c r="B109" s="314"/>
      <c r="C109" s="256">
        <v>85219</v>
      </c>
      <c r="D109" s="285"/>
      <c r="E109" s="306" t="s">
        <v>161</v>
      </c>
      <c r="F109" s="238">
        <f>F110+F111</f>
        <v>55000</v>
      </c>
      <c r="G109" s="312"/>
      <c r="J109" s="302"/>
      <c r="K109" s="302"/>
      <c r="L109" s="302"/>
      <c r="M109" s="302"/>
    </row>
    <row r="110" spans="1:7" ht="30" customHeight="1">
      <c r="A110" s="126">
        <v>70</v>
      </c>
      <c r="B110" s="287"/>
      <c r="C110" s="252"/>
      <c r="D110" s="227">
        <v>6050</v>
      </c>
      <c r="E110" s="245" t="s">
        <v>162</v>
      </c>
      <c r="F110" s="229">
        <v>15000</v>
      </c>
      <c r="G110" s="230">
        <v>0</v>
      </c>
    </row>
    <row r="111" spans="1:7" ht="34.5" customHeight="1">
      <c r="A111" s="126">
        <v>71</v>
      </c>
      <c r="B111" s="287"/>
      <c r="C111" s="252"/>
      <c r="D111" s="299">
        <v>6060</v>
      </c>
      <c r="E111" s="245" t="s">
        <v>163</v>
      </c>
      <c r="F111" s="229">
        <v>40000</v>
      </c>
      <c r="G111" s="230"/>
    </row>
    <row r="112" spans="1:7" ht="22.5" customHeight="1">
      <c r="A112" s="126"/>
      <c r="B112" s="294">
        <v>853</v>
      </c>
      <c r="C112" s="315"/>
      <c r="D112" s="299"/>
      <c r="E112" s="247" t="s">
        <v>27</v>
      </c>
      <c r="F112" s="248">
        <f>F113+F116</f>
        <v>908534.88</v>
      </c>
      <c r="G112" s="249">
        <f>G116</f>
        <v>0</v>
      </c>
    </row>
    <row r="113" spans="1:13" s="301" customFormat="1" ht="22.5" customHeight="1">
      <c r="A113" s="316"/>
      <c r="B113" s="250"/>
      <c r="C113" s="251">
        <v>85305</v>
      </c>
      <c r="D113" s="317"/>
      <c r="E113" s="237" t="s">
        <v>164</v>
      </c>
      <c r="F113" s="238">
        <f>F114+F115</f>
        <v>66553</v>
      </c>
      <c r="G113" s="239"/>
      <c r="J113" s="302"/>
      <c r="K113" s="302"/>
      <c r="L113" s="302"/>
      <c r="M113" s="302"/>
    </row>
    <row r="114" spans="1:7" ht="37.5" customHeight="1">
      <c r="A114" s="300">
        <v>72</v>
      </c>
      <c r="B114" s="294"/>
      <c r="C114" s="318"/>
      <c r="D114" s="299">
        <v>6050</v>
      </c>
      <c r="E114" s="319" t="s">
        <v>165</v>
      </c>
      <c r="F114" s="253">
        <v>2618</v>
      </c>
      <c r="G114" s="249"/>
    </row>
    <row r="115" spans="1:7" ht="33.75" customHeight="1">
      <c r="A115" s="300">
        <v>73</v>
      </c>
      <c r="B115" s="294"/>
      <c r="C115" s="318"/>
      <c r="D115" s="299">
        <v>6050</v>
      </c>
      <c r="E115" s="319" t="s">
        <v>166</v>
      </c>
      <c r="F115" s="253">
        <v>63935</v>
      </c>
      <c r="G115" s="249"/>
    </row>
    <row r="116" spans="1:7" ht="24" customHeight="1">
      <c r="A116" s="300">
        <v>74</v>
      </c>
      <c r="B116" s="294"/>
      <c r="C116" s="251">
        <v>85395</v>
      </c>
      <c r="D116" s="317"/>
      <c r="E116" s="237" t="s">
        <v>167</v>
      </c>
      <c r="F116" s="238">
        <f>SUM(F117:F120)</f>
        <v>841981.88</v>
      </c>
      <c r="G116" s="239">
        <f>SUM(G117:G120)</f>
        <v>0</v>
      </c>
    </row>
    <row r="117" spans="1:7" ht="34.5" customHeight="1">
      <c r="A117" s="461">
        <v>75</v>
      </c>
      <c r="B117" s="320"/>
      <c r="C117" s="234"/>
      <c r="D117" s="126">
        <v>6237</v>
      </c>
      <c r="E117" s="121" t="s">
        <v>168</v>
      </c>
      <c r="F117" s="253">
        <v>35684.6</v>
      </c>
      <c r="G117" s="239">
        <v>0</v>
      </c>
    </row>
    <row r="118" spans="1:7" ht="34.5" customHeight="1">
      <c r="A118" s="462"/>
      <c r="B118" s="320"/>
      <c r="C118" s="234"/>
      <c r="D118" s="126">
        <v>6239</v>
      </c>
      <c r="E118" s="121" t="s">
        <v>168</v>
      </c>
      <c r="F118" s="253">
        <v>6297.28</v>
      </c>
      <c r="G118" s="239">
        <v>0</v>
      </c>
    </row>
    <row r="119" spans="1:7" ht="36.75" customHeight="1">
      <c r="A119" s="321">
        <v>76</v>
      </c>
      <c r="B119" s="292"/>
      <c r="C119" s="234"/>
      <c r="D119" s="299">
        <v>6237</v>
      </c>
      <c r="E119" s="245" t="s">
        <v>50</v>
      </c>
      <c r="F119" s="229">
        <v>680000</v>
      </c>
      <c r="G119" s="230">
        <v>0</v>
      </c>
    </row>
    <row r="120" spans="1:7" ht="31.5" customHeight="1">
      <c r="A120" s="322"/>
      <c r="B120" s="303"/>
      <c r="C120" s="225"/>
      <c r="D120" s="299">
        <v>6239</v>
      </c>
      <c r="E120" s="245" t="s">
        <v>50</v>
      </c>
      <c r="F120" s="229">
        <v>120000</v>
      </c>
      <c r="G120" s="230">
        <v>0</v>
      </c>
    </row>
    <row r="121" spans="1:7" ht="24" customHeight="1">
      <c r="A121" s="260"/>
      <c r="B121" s="303">
        <v>900</v>
      </c>
      <c r="C121" s="220"/>
      <c r="D121" s="175"/>
      <c r="E121" s="247" t="s">
        <v>169</v>
      </c>
      <c r="F121" s="248">
        <f>F122+F125+F127+F137</f>
        <v>29122173.18</v>
      </c>
      <c r="G121" s="249">
        <f>G122+G125+G127+G137</f>
        <v>5716191.52</v>
      </c>
    </row>
    <row r="122" spans="1:7" ht="21" customHeight="1">
      <c r="A122" s="260"/>
      <c r="B122" s="292"/>
      <c r="C122" s="255">
        <v>90002</v>
      </c>
      <c r="D122" s="257"/>
      <c r="E122" s="237" t="s">
        <v>170</v>
      </c>
      <c r="F122" s="238">
        <f>SUM(F123:F124)</f>
        <v>42000</v>
      </c>
      <c r="G122" s="239">
        <f>SUM(G123:G124)</f>
        <v>42000</v>
      </c>
    </row>
    <row r="123" spans="1:7" ht="30" customHeight="1">
      <c r="A123" s="126">
        <v>77</v>
      </c>
      <c r="B123" s="287"/>
      <c r="C123" s="294"/>
      <c r="D123" s="227">
        <v>6220</v>
      </c>
      <c r="E123" s="279" t="s">
        <v>171</v>
      </c>
      <c r="F123" s="323">
        <v>12000</v>
      </c>
      <c r="G123" s="324">
        <v>12000</v>
      </c>
    </row>
    <row r="124" spans="1:7" ht="27.75" customHeight="1">
      <c r="A124" s="126">
        <v>78</v>
      </c>
      <c r="B124" s="287"/>
      <c r="C124" s="303"/>
      <c r="D124" s="227">
        <v>6230</v>
      </c>
      <c r="E124" s="176" t="s">
        <v>171</v>
      </c>
      <c r="F124" s="323">
        <v>30000</v>
      </c>
      <c r="G124" s="324">
        <v>30000</v>
      </c>
    </row>
    <row r="125" spans="1:13" s="301" customFormat="1" ht="27" customHeight="1">
      <c r="A125" s="285"/>
      <c r="B125" s="314"/>
      <c r="C125" s="235">
        <v>90004</v>
      </c>
      <c r="D125" s="236"/>
      <c r="E125" s="325" t="s">
        <v>172</v>
      </c>
      <c r="F125" s="326">
        <f>F126</f>
        <v>25000</v>
      </c>
      <c r="G125" s="327"/>
      <c r="J125" s="302"/>
      <c r="K125" s="302"/>
      <c r="L125" s="302"/>
      <c r="M125" s="302"/>
    </row>
    <row r="126" spans="1:7" ht="29.25" customHeight="1">
      <c r="A126" s="126">
        <v>79</v>
      </c>
      <c r="B126" s="287"/>
      <c r="C126" s="303"/>
      <c r="D126" s="227">
        <v>6050</v>
      </c>
      <c r="E126" s="245" t="s">
        <v>173</v>
      </c>
      <c r="F126" s="323">
        <v>25000</v>
      </c>
      <c r="G126" s="324"/>
    </row>
    <row r="127" spans="1:7" ht="24.75" customHeight="1">
      <c r="A127" s="126"/>
      <c r="B127" s="255"/>
      <c r="C127" s="256">
        <v>90015</v>
      </c>
      <c r="D127" s="257"/>
      <c r="E127" s="237" t="s">
        <v>174</v>
      </c>
      <c r="F127" s="238">
        <f>SUM(F128:F136)</f>
        <v>3935025.01</v>
      </c>
      <c r="G127" s="239">
        <f>SUM(G128:G134)</f>
        <v>0</v>
      </c>
    </row>
    <row r="128" spans="1:7" ht="33" customHeight="1">
      <c r="A128" s="126">
        <v>80</v>
      </c>
      <c r="B128" s="268"/>
      <c r="C128" s="252"/>
      <c r="D128" s="274">
        <v>6050</v>
      </c>
      <c r="E128" s="328" t="s">
        <v>175</v>
      </c>
      <c r="F128" s="323">
        <v>1149.61</v>
      </c>
      <c r="G128" s="324">
        <v>0</v>
      </c>
    </row>
    <row r="129" spans="1:7" ht="24.75" customHeight="1">
      <c r="A129" s="126">
        <v>81</v>
      </c>
      <c r="B129" s="268"/>
      <c r="C129" s="252"/>
      <c r="D129" s="274">
        <v>6050</v>
      </c>
      <c r="E129" s="176" t="s">
        <v>176</v>
      </c>
      <c r="F129" s="323">
        <v>442.17</v>
      </c>
      <c r="G129" s="324">
        <v>0</v>
      </c>
    </row>
    <row r="130" spans="1:7" ht="28.5" customHeight="1">
      <c r="A130" s="126">
        <v>82</v>
      </c>
      <c r="B130" s="268"/>
      <c r="C130" s="252"/>
      <c r="D130" s="274">
        <v>6050</v>
      </c>
      <c r="E130" s="176" t="s">
        <v>177</v>
      </c>
      <c r="F130" s="323">
        <v>6000</v>
      </c>
      <c r="G130" s="324"/>
    </row>
    <row r="131" spans="1:7" ht="33.75" customHeight="1">
      <c r="A131" s="126">
        <v>83</v>
      </c>
      <c r="B131" s="268"/>
      <c r="C131" s="252"/>
      <c r="D131" s="274">
        <v>6050</v>
      </c>
      <c r="E131" s="176" t="s">
        <v>178</v>
      </c>
      <c r="F131" s="323">
        <v>20000</v>
      </c>
      <c r="G131" s="324"/>
    </row>
    <row r="132" spans="1:7" ht="36.75" customHeight="1">
      <c r="A132" s="126">
        <v>84</v>
      </c>
      <c r="B132" s="268"/>
      <c r="C132" s="252"/>
      <c r="D132" s="274">
        <v>6050</v>
      </c>
      <c r="E132" s="176" t="s">
        <v>179</v>
      </c>
      <c r="F132" s="422">
        <f>10000-10000</f>
        <v>0</v>
      </c>
      <c r="G132" s="324"/>
    </row>
    <row r="133" spans="1:7" ht="32.25" customHeight="1">
      <c r="A133" s="126">
        <v>85</v>
      </c>
      <c r="B133" s="268"/>
      <c r="C133" s="252"/>
      <c r="D133" s="274">
        <v>6050</v>
      </c>
      <c r="E133" s="176" t="s">
        <v>180</v>
      </c>
      <c r="F133" s="323">
        <v>18000</v>
      </c>
      <c r="G133" s="324"/>
    </row>
    <row r="134" spans="1:7" ht="25.5" customHeight="1">
      <c r="A134" s="126">
        <v>86</v>
      </c>
      <c r="B134" s="268"/>
      <c r="C134" s="252"/>
      <c r="D134" s="274">
        <v>6050</v>
      </c>
      <c r="E134" s="176" t="s">
        <v>65</v>
      </c>
      <c r="F134" s="323">
        <f>3760327-2+1+10000+45000</f>
        <v>3815326</v>
      </c>
      <c r="G134" s="324">
        <v>0</v>
      </c>
    </row>
    <row r="135" spans="1:7" ht="24.75" customHeight="1">
      <c r="A135" s="126">
        <v>87</v>
      </c>
      <c r="B135" s="268"/>
      <c r="C135" s="252"/>
      <c r="D135" s="227">
        <v>6060</v>
      </c>
      <c r="E135" s="176" t="s">
        <v>181</v>
      </c>
      <c r="F135" s="323">
        <v>55112.23</v>
      </c>
      <c r="G135" s="324"/>
    </row>
    <row r="136" spans="1:7" ht="26.25" customHeight="1">
      <c r="A136" s="126">
        <v>88</v>
      </c>
      <c r="B136" s="268"/>
      <c r="C136" s="252"/>
      <c r="D136" s="227">
        <v>6060</v>
      </c>
      <c r="E136" s="176" t="s">
        <v>182</v>
      </c>
      <c r="F136" s="323">
        <v>18995</v>
      </c>
      <c r="G136" s="324"/>
    </row>
    <row r="137" spans="1:7" ht="21.75" customHeight="1">
      <c r="A137" s="126" t="s">
        <v>13</v>
      </c>
      <c r="B137" s="255"/>
      <c r="C137" s="256">
        <v>90095</v>
      </c>
      <c r="D137" s="257"/>
      <c r="E137" s="237" t="s">
        <v>105</v>
      </c>
      <c r="F137" s="238">
        <f>SUM(F138:F149)</f>
        <v>25120148.17</v>
      </c>
      <c r="G137" s="239">
        <f>SUM(G138:G149)</f>
        <v>5674191.52</v>
      </c>
    </row>
    <row r="138" spans="1:13" s="231" customFormat="1" ht="33" customHeight="1">
      <c r="A138" s="193">
        <v>89</v>
      </c>
      <c r="B138" s="329"/>
      <c r="C138" s="252"/>
      <c r="D138" s="227">
        <v>6010</v>
      </c>
      <c r="E138" s="245" t="s">
        <v>183</v>
      </c>
      <c r="F138" s="253">
        <f>182470-11590</f>
        <v>170880</v>
      </c>
      <c r="G138" s="254">
        <f>175999-11590</f>
        <v>164409</v>
      </c>
      <c r="I138" s="233"/>
      <c r="J138" s="233"/>
      <c r="K138" s="233"/>
      <c r="L138" s="233"/>
      <c r="M138" s="233"/>
    </row>
    <row r="139" spans="1:13" s="231" customFormat="1" ht="27" customHeight="1">
      <c r="A139" s="193">
        <v>90</v>
      </c>
      <c r="B139" s="329"/>
      <c r="C139" s="252"/>
      <c r="D139" s="278">
        <v>6010</v>
      </c>
      <c r="E139" s="245" t="s">
        <v>184</v>
      </c>
      <c r="F139" s="253">
        <f>328000+3892000</f>
        <v>4220000</v>
      </c>
      <c r="G139" s="254">
        <v>328000</v>
      </c>
      <c r="J139" s="233"/>
      <c r="K139" s="233"/>
      <c r="L139" s="233"/>
      <c r="M139" s="233"/>
    </row>
    <row r="140" spans="1:13" s="231" customFormat="1" ht="32.25" customHeight="1">
      <c r="A140" s="193">
        <v>91</v>
      </c>
      <c r="B140" s="329"/>
      <c r="C140" s="252"/>
      <c r="D140" s="227">
        <v>6010</v>
      </c>
      <c r="E140" s="125" t="s">
        <v>185</v>
      </c>
      <c r="F140" s="253">
        <v>72254</v>
      </c>
      <c r="G140" s="254"/>
      <c r="J140" s="233"/>
      <c r="K140" s="233"/>
      <c r="L140" s="233"/>
      <c r="M140" s="233"/>
    </row>
    <row r="141" spans="1:13" s="231" customFormat="1" ht="32.25" customHeight="1">
      <c r="A141" s="193">
        <v>92</v>
      </c>
      <c r="B141" s="329"/>
      <c r="C141" s="252"/>
      <c r="D141" s="227">
        <v>6010</v>
      </c>
      <c r="E141" s="125" t="s">
        <v>186</v>
      </c>
      <c r="F141" s="253">
        <v>107746</v>
      </c>
      <c r="G141" s="254"/>
      <c r="J141" s="233"/>
      <c r="K141" s="233"/>
      <c r="L141" s="233"/>
      <c r="M141" s="233"/>
    </row>
    <row r="142" spans="1:13" s="231" customFormat="1" ht="32.25" customHeight="1">
      <c r="A142" s="193">
        <v>93</v>
      </c>
      <c r="B142" s="329"/>
      <c r="C142" s="252"/>
      <c r="D142" s="227">
        <v>6010</v>
      </c>
      <c r="E142" s="330" t="s">
        <v>187</v>
      </c>
      <c r="F142" s="253">
        <v>48000</v>
      </c>
      <c r="G142" s="254">
        <v>11590</v>
      </c>
      <c r="J142" s="233"/>
      <c r="K142" s="233"/>
      <c r="L142" s="233"/>
      <c r="M142" s="233"/>
    </row>
    <row r="143" spans="1:13" s="231" customFormat="1" ht="23.25" customHeight="1">
      <c r="A143" s="193">
        <v>94</v>
      </c>
      <c r="B143" s="329"/>
      <c r="C143" s="252"/>
      <c r="D143" s="227">
        <v>6050</v>
      </c>
      <c r="E143" s="245" t="s">
        <v>188</v>
      </c>
      <c r="F143" s="253">
        <f>200000-50000</f>
        <v>150000</v>
      </c>
      <c r="G143" s="254">
        <v>0</v>
      </c>
      <c r="J143" s="233"/>
      <c r="K143" s="233"/>
      <c r="L143" s="233"/>
      <c r="M143" s="233"/>
    </row>
    <row r="144" spans="1:7" ht="25.5" customHeight="1">
      <c r="A144" s="193">
        <v>95</v>
      </c>
      <c r="B144" s="331"/>
      <c r="C144" s="255"/>
      <c r="D144" s="227">
        <v>6050</v>
      </c>
      <c r="E144" s="125" t="s">
        <v>189</v>
      </c>
      <c r="F144" s="253">
        <f>500000+1476+3600000+3307000</f>
        <v>7408476</v>
      </c>
      <c r="G144" s="254">
        <v>500000</v>
      </c>
    </row>
    <row r="145" spans="1:7" ht="33.75" customHeight="1">
      <c r="A145" s="193">
        <v>96</v>
      </c>
      <c r="B145" s="331"/>
      <c r="C145" s="255"/>
      <c r="D145" s="227">
        <v>6050</v>
      </c>
      <c r="E145" s="245" t="s">
        <v>190</v>
      </c>
      <c r="F145" s="253">
        <v>15000</v>
      </c>
      <c r="G145" s="254">
        <v>15000</v>
      </c>
    </row>
    <row r="146" spans="1:7" ht="30.75" customHeight="1">
      <c r="A146" s="193">
        <v>97</v>
      </c>
      <c r="B146" s="331"/>
      <c r="C146" s="255"/>
      <c r="D146" s="227">
        <v>6050</v>
      </c>
      <c r="E146" s="245" t="s">
        <v>191</v>
      </c>
      <c r="F146" s="253">
        <v>180000</v>
      </c>
      <c r="G146" s="254"/>
    </row>
    <row r="147" spans="1:9" ht="24" customHeight="1">
      <c r="A147" s="193">
        <v>98</v>
      </c>
      <c r="B147" s="331"/>
      <c r="C147" s="255"/>
      <c r="D147" s="227">
        <v>6057</v>
      </c>
      <c r="E147" s="176" t="s">
        <v>192</v>
      </c>
      <c r="F147" s="323">
        <v>7482653.84</v>
      </c>
      <c r="G147" s="324"/>
      <c r="I147" s="182">
        <f>F147+F148</f>
        <v>12347792.17</v>
      </c>
    </row>
    <row r="148" spans="1:9" ht="22.5" customHeight="1">
      <c r="A148" s="193">
        <v>99</v>
      </c>
      <c r="B148" s="332"/>
      <c r="C148" s="333"/>
      <c r="D148" s="227">
        <v>6059</v>
      </c>
      <c r="E148" s="176" t="s">
        <v>192</v>
      </c>
      <c r="F148" s="323">
        <f>1320468.33+3544670</f>
        <v>4865138.33</v>
      </c>
      <c r="G148" s="324">
        <f>784794+3422398.52+88000+55000-95000</f>
        <v>4255192.52</v>
      </c>
      <c r="I148" s="182"/>
    </row>
    <row r="149" spans="1:9" ht="30.75" customHeight="1">
      <c r="A149" s="126">
        <v>100</v>
      </c>
      <c r="B149" s="332"/>
      <c r="C149" s="333"/>
      <c r="D149" s="227">
        <v>6230</v>
      </c>
      <c r="E149" s="176" t="s">
        <v>193</v>
      </c>
      <c r="F149" s="323">
        <f>600000-200000</f>
        <v>400000</v>
      </c>
      <c r="G149" s="324">
        <f>600000-200000</f>
        <v>400000</v>
      </c>
      <c r="I149" s="182"/>
    </row>
    <row r="150" spans="1:13" s="309" customFormat="1" ht="22.5" customHeight="1">
      <c r="A150" s="260"/>
      <c r="B150" s="334">
        <v>921</v>
      </c>
      <c r="C150" s="334"/>
      <c r="D150" s="260"/>
      <c r="E150" s="335" t="s">
        <v>51</v>
      </c>
      <c r="F150" s="336">
        <f>F151</f>
        <v>1166543.9</v>
      </c>
      <c r="G150" s="337">
        <f>G151</f>
        <v>652000</v>
      </c>
      <c r="J150" s="310"/>
      <c r="K150" s="310"/>
      <c r="L150" s="310"/>
      <c r="M150" s="310"/>
    </row>
    <row r="151" spans="1:13" s="301" customFormat="1" ht="27" customHeight="1">
      <c r="A151" s="338" t="s">
        <v>13</v>
      </c>
      <c r="B151" s="339"/>
      <c r="C151" s="340">
        <v>92109</v>
      </c>
      <c r="D151" s="341"/>
      <c r="E151" s="325" t="s">
        <v>194</v>
      </c>
      <c r="F151" s="342">
        <f>SUM(F152:F154)</f>
        <v>1166543.9</v>
      </c>
      <c r="G151" s="343">
        <f>SUM(G152:G154)</f>
        <v>652000</v>
      </c>
      <c r="J151" s="302"/>
      <c r="K151" s="302"/>
      <c r="L151" s="302"/>
      <c r="M151" s="302"/>
    </row>
    <row r="152" spans="1:7" ht="29.25" customHeight="1">
      <c r="A152" s="126">
        <v>101</v>
      </c>
      <c r="B152" s="332"/>
      <c r="C152" s="350"/>
      <c r="D152" s="278">
        <v>6050</v>
      </c>
      <c r="E152" s="176" t="s">
        <v>195</v>
      </c>
      <c r="F152" s="323">
        <f>1428930-574386.1+262000-55000</f>
        <v>1061543.9</v>
      </c>
      <c r="G152" s="324">
        <f>700000-350000+262000-55000</f>
        <v>557000</v>
      </c>
    </row>
    <row r="153" spans="1:7" ht="34.5" customHeight="1">
      <c r="A153" s="126">
        <v>102</v>
      </c>
      <c r="B153" s="332"/>
      <c r="C153" s="333"/>
      <c r="D153" s="278">
        <v>6220</v>
      </c>
      <c r="E153" s="176" t="s">
        <v>196</v>
      </c>
      <c r="F153" s="323">
        <v>10000</v>
      </c>
      <c r="G153" s="324"/>
    </row>
    <row r="154" spans="1:7" ht="30" customHeight="1">
      <c r="A154" s="193">
        <v>103</v>
      </c>
      <c r="B154" s="332"/>
      <c r="C154" s="333"/>
      <c r="D154" s="300">
        <v>6220</v>
      </c>
      <c r="E154" s="176" t="s">
        <v>62</v>
      </c>
      <c r="F154" s="323">
        <v>95000</v>
      </c>
      <c r="G154" s="324">
        <v>95000</v>
      </c>
    </row>
    <row r="155" spans="1:13" s="309" customFormat="1" ht="24.75" customHeight="1">
      <c r="A155" s="260"/>
      <c r="B155" s="344">
        <v>926</v>
      </c>
      <c r="C155" s="334"/>
      <c r="D155" s="260"/>
      <c r="E155" s="345" t="s">
        <v>197</v>
      </c>
      <c r="F155" s="346">
        <f>F156+F159</f>
        <v>612000</v>
      </c>
      <c r="G155" s="347"/>
      <c r="J155" s="310"/>
      <c r="K155" s="310"/>
      <c r="L155" s="310"/>
      <c r="M155" s="310"/>
    </row>
    <row r="156" spans="1:13" s="301" customFormat="1" ht="21.75" customHeight="1">
      <c r="A156" s="348"/>
      <c r="B156" s="339"/>
      <c r="C156" s="340">
        <v>92601</v>
      </c>
      <c r="D156" s="285"/>
      <c r="E156" s="237" t="s">
        <v>198</v>
      </c>
      <c r="F156" s="326">
        <f>SUM(F157:F158)</f>
        <v>170000</v>
      </c>
      <c r="G156" s="327"/>
      <c r="J156" s="302"/>
      <c r="K156" s="302"/>
      <c r="L156" s="302"/>
      <c r="M156" s="302"/>
    </row>
    <row r="157" spans="1:13" s="309" customFormat="1" ht="30.75" customHeight="1">
      <c r="A157" s="206">
        <v>104</v>
      </c>
      <c r="B157" s="349"/>
      <c r="C157" s="334"/>
      <c r="D157" s="278">
        <v>6050</v>
      </c>
      <c r="E157" s="279" t="s">
        <v>199</v>
      </c>
      <c r="F157" s="323">
        <v>60000</v>
      </c>
      <c r="G157" s="347"/>
      <c r="J157" s="310"/>
      <c r="K157" s="310"/>
      <c r="L157" s="310"/>
      <c r="M157" s="310"/>
    </row>
    <row r="158" spans="1:13" s="309" customFormat="1" ht="21.75" customHeight="1">
      <c r="A158" s="206">
        <v>105</v>
      </c>
      <c r="B158" s="349"/>
      <c r="C158" s="334"/>
      <c r="D158" s="278">
        <v>6050</v>
      </c>
      <c r="E158" s="279" t="s">
        <v>200</v>
      </c>
      <c r="F158" s="323">
        <v>110000</v>
      </c>
      <c r="G158" s="347"/>
      <c r="J158" s="310"/>
      <c r="K158" s="310"/>
      <c r="L158" s="310"/>
      <c r="M158" s="310"/>
    </row>
    <row r="159" spans="1:7" ht="22.5" customHeight="1">
      <c r="A159" s="206"/>
      <c r="B159" s="332"/>
      <c r="C159" s="350">
        <v>92604</v>
      </c>
      <c r="D159" s="126"/>
      <c r="E159" s="275" t="s">
        <v>201</v>
      </c>
      <c r="F159" s="323">
        <f>SUM(F160:F162)</f>
        <v>442000</v>
      </c>
      <c r="G159" s="324"/>
    </row>
    <row r="160" spans="1:7" ht="23.25" customHeight="1">
      <c r="A160" s="126">
        <v>106</v>
      </c>
      <c r="B160" s="332"/>
      <c r="C160" s="333"/>
      <c r="D160" s="278">
        <v>6050</v>
      </c>
      <c r="E160" s="279" t="s">
        <v>202</v>
      </c>
      <c r="F160" s="323">
        <v>180000</v>
      </c>
      <c r="G160" s="324"/>
    </row>
    <row r="161" spans="1:7" ht="23.25" customHeight="1">
      <c r="A161" s="126">
        <v>107</v>
      </c>
      <c r="B161" s="332"/>
      <c r="C161" s="333"/>
      <c r="D161" s="278">
        <v>6050</v>
      </c>
      <c r="E161" s="279" t="s">
        <v>203</v>
      </c>
      <c r="F161" s="323">
        <v>150000</v>
      </c>
      <c r="G161" s="324"/>
    </row>
    <row r="162" spans="1:7" ht="24" customHeight="1">
      <c r="A162" s="126">
        <v>108</v>
      </c>
      <c r="B162" s="332"/>
      <c r="C162" s="333"/>
      <c r="D162" s="126">
        <v>6060</v>
      </c>
      <c r="E162" s="275" t="s">
        <v>204</v>
      </c>
      <c r="F162" s="323">
        <v>112000</v>
      </c>
      <c r="G162" s="324"/>
    </row>
    <row r="163" spans="1:10" ht="30" customHeight="1">
      <c r="A163" s="126"/>
      <c r="B163" s="351" t="s">
        <v>205</v>
      </c>
      <c r="C163" s="352"/>
      <c r="D163" s="278"/>
      <c r="E163" s="353"/>
      <c r="F163" s="223">
        <f>F164+F177+F185+F188+F191+F181+F201+F205</f>
        <v>14276150</v>
      </c>
      <c r="G163" s="223">
        <f>G164+G177+G185+G188+G191+G181+G201+G205</f>
        <v>0</v>
      </c>
      <c r="J163" s="214"/>
    </row>
    <row r="164" spans="1:10" ht="26.25" customHeight="1">
      <c r="A164" s="260"/>
      <c r="B164" s="294">
        <v>600</v>
      </c>
      <c r="C164" s="220"/>
      <c r="D164" s="175"/>
      <c r="E164" s="247" t="s">
        <v>60</v>
      </c>
      <c r="F164" s="248">
        <f>F165</f>
        <v>11826850</v>
      </c>
      <c r="G164" s="249">
        <f>G165</f>
        <v>0</v>
      </c>
      <c r="J164" s="224"/>
    </row>
    <row r="165" spans="1:7" ht="27" customHeight="1">
      <c r="A165" s="126"/>
      <c r="B165" s="250"/>
      <c r="C165" s="256">
        <v>60015</v>
      </c>
      <c r="D165" s="236"/>
      <c r="E165" s="237" t="s">
        <v>206</v>
      </c>
      <c r="F165" s="238">
        <f>SUM(F166:F176)</f>
        <v>11826850</v>
      </c>
      <c r="G165" s="239">
        <f>SUM(G166:G176)</f>
        <v>0</v>
      </c>
    </row>
    <row r="166" spans="1:13" s="258" customFormat="1" ht="23.25" customHeight="1">
      <c r="A166" s="126">
        <v>109</v>
      </c>
      <c r="B166" s="268"/>
      <c r="C166" s="252"/>
      <c r="D166" s="227">
        <v>6050</v>
      </c>
      <c r="E166" s="279" t="s">
        <v>207</v>
      </c>
      <c r="F166" s="354">
        <f>3700000-3650000</f>
        <v>50000</v>
      </c>
      <c r="G166" s="324">
        <v>0</v>
      </c>
      <c r="J166" s="259"/>
      <c r="K166" s="259"/>
      <c r="L166" s="259"/>
      <c r="M166" s="259"/>
    </row>
    <row r="167" spans="1:13" s="258" customFormat="1" ht="27.75" customHeight="1">
      <c r="A167" s="126">
        <v>110</v>
      </c>
      <c r="B167" s="268"/>
      <c r="C167" s="252"/>
      <c r="D167" s="227">
        <v>6050</v>
      </c>
      <c r="E167" s="245" t="s">
        <v>208</v>
      </c>
      <c r="F167" s="421">
        <f>5000+500000-500000</f>
        <v>5000</v>
      </c>
      <c r="G167" s="230">
        <v>0</v>
      </c>
      <c r="J167" s="259"/>
      <c r="K167" s="259"/>
      <c r="L167" s="259"/>
      <c r="M167" s="259"/>
    </row>
    <row r="168" spans="1:13" s="258" customFormat="1" ht="24" customHeight="1">
      <c r="A168" s="126">
        <v>111</v>
      </c>
      <c r="B168" s="268"/>
      <c r="C168" s="252"/>
      <c r="D168" s="227">
        <v>6050</v>
      </c>
      <c r="E168" s="245" t="s">
        <v>209</v>
      </c>
      <c r="F168" s="229">
        <v>64000</v>
      </c>
      <c r="G168" s="230"/>
      <c r="J168" s="259"/>
      <c r="K168" s="259"/>
      <c r="L168" s="259"/>
      <c r="M168" s="259"/>
    </row>
    <row r="169" spans="1:13" s="258" customFormat="1" ht="21.75" customHeight="1">
      <c r="A169" s="126">
        <v>112</v>
      </c>
      <c r="B169" s="268"/>
      <c r="C169" s="252"/>
      <c r="D169" s="227">
        <v>6050</v>
      </c>
      <c r="E169" s="245" t="s">
        <v>210</v>
      </c>
      <c r="F169" s="229">
        <v>18450</v>
      </c>
      <c r="G169" s="230"/>
      <c r="J169" s="259"/>
      <c r="K169" s="259"/>
      <c r="L169" s="259"/>
      <c r="M169" s="259"/>
    </row>
    <row r="170" spans="1:13" s="258" customFormat="1" ht="40.5" customHeight="1">
      <c r="A170" s="126">
        <v>113</v>
      </c>
      <c r="B170" s="268"/>
      <c r="C170" s="252"/>
      <c r="D170" s="227">
        <v>6050</v>
      </c>
      <c r="E170" s="245" t="s">
        <v>211</v>
      </c>
      <c r="F170" s="229">
        <v>3000</v>
      </c>
      <c r="G170" s="230"/>
      <c r="J170" s="259"/>
      <c r="K170" s="259"/>
      <c r="L170" s="259"/>
      <c r="M170" s="259"/>
    </row>
    <row r="171" spans="1:13" s="258" customFormat="1" ht="32.25" customHeight="1">
      <c r="A171" s="126">
        <v>114</v>
      </c>
      <c r="B171" s="268"/>
      <c r="C171" s="252"/>
      <c r="D171" s="227">
        <v>6050</v>
      </c>
      <c r="E171" s="245" t="s">
        <v>212</v>
      </c>
      <c r="F171" s="421">
        <f>103000-39000</f>
        <v>64000</v>
      </c>
      <c r="G171" s="230"/>
      <c r="J171" s="259"/>
      <c r="K171" s="259"/>
      <c r="L171" s="259"/>
      <c r="M171" s="259"/>
    </row>
    <row r="172" spans="1:13" s="258" customFormat="1" ht="33.75" customHeight="1">
      <c r="A172" s="126">
        <v>115</v>
      </c>
      <c r="B172" s="268"/>
      <c r="C172" s="252"/>
      <c r="D172" s="227">
        <v>6050</v>
      </c>
      <c r="E172" s="245" t="s">
        <v>213</v>
      </c>
      <c r="F172" s="229">
        <v>25000</v>
      </c>
      <c r="G172" s="230"/>
      <c r="J172" s="259"/>
      <c r="K172" s="259"/>
      <c r="L172" s="259"/>
      <c r="M172" s="259"/>
    </row>
    <row r="173" spans="1:13" s="258" customFormat="1" ht="21.75" customHeight="1">
      <c r="A173" s="126">
        <v>116</v>
      </c>
      <c r="B173" s="268"/>
      <c r="C173" s="252"/>
      <c r="D173" s="227">
        <v>6050</v>
      </c>
      <c r="E173" s="245" t="s">
        <v>214</v>
      </c>
      <c r="F173" s="229">
        <v>119400</v>
      </c>
      <c r="G173" s="230"/>
      <c r="J173" s="259"/>
      <c r="K173" s="259"/>
      <c r="L173" s="259"/>
      <c r="M173" s="259"/>
    </row>
    <row r="174" spans="1:13" s="258" customFormat="1" ht="24.75" customHeight="1">
      <c r="A174" s="126">
        <v>117</v>
      </c>
      <c r="B174" s="268"/>
      <c r="C174" s="252"/>
      <c r="D174" s="227">
        <v>6050</v>
      </c>
      <c r="E174" s="245" t="s">
        <v>215</v>
      </c>
      <c r="F174" s="229">
        <v>400000</v>
      </c>
      <c r="G174" s="230"/>
      <c r="J174" s="259"/>
      <c r="K174" s="259"/>
      <c r="L174" s="259"/>
      <c r="M174" s="259"/>
    </row>
    <row r="175" spans="1:13" s="258" customFormat="1" ht="24.75" customHeight="1">
      <c r="A175" s="126">
        <v>118</v>
      </c>
      <c r="B175" s="268"/>
      <c r="C175" s="252"/>
      <c r="D175" s="227">
        <v>6050</v>
      </c>
      <c r="E175" s="245" t="s">
        <v>216</v>
      </c>
      <c r="F175" s="229">
        <v>50000</v>
      </c>
      <c r="G175" s="230"/>
      <c r="J175" s="259"/>
      <c r="K175" s="259"/>
      <c r="L175" s="259"/>
      <c r="M175" s="259"/>
    </row>
    <row r="176" spans="1:13" s="258" customFormat="1" ht="23.25" customHeight="1">
      <c r="A176" s="126">
        <v>119</v>
      </c>
      <c r="B176" s="268"/>
      <c r="C176" s="252"/>
      <c r="D176" s="227">
        <v>6050</v>
      </c>
      <c r="E176" s="355" t="s">
        <v>217</v>
      </c>
      <c r="F176" s="324">
        <f>5000000+6528000-500000</f>
        <v>11028000</v>
      </c>
      <c r="G176" s="324"/>
      <c r="J176" s="259"/>
      <c r="K176" s="259"/>
      <c r="L176" s="259"/>
      <c r="M176" s="259"/>
    </row>
    <row r="177" spans="1:13" s="357" customFormat="1" ht="22.5" customHeight="1">
      <c r="A177" s="260"/>
      <c r="B177" s="313">
        <v>630</v>
      </c>
      <c r="C177" s="220"/>
      <c r="D177" s="308"/>
      <c r="E177" s="356" t="s">
        <v>52</v>
      </c>
      <c r="F177" s="337">
        <f>F178</f>
        <v>221000</v>
      </c>
      <c r="G177" s="337">
        <f>G178</f>
        <v>0</v>
      </c>
      <c r="J177" s="358"/>
      <c r="K177" s="358"/>
      <c r="L177" s="358"/>
      <c r="M177" s="358"/>
    </row>
    <row r="178" spans="1:13" s="361" customFormat="1" ht="21" customHeight="1">
      <c r="A178" s="338"/>
      <c r="B178" s="311"/>
      <c r="C178" s="256">
        <v>63095</v>
      </c>
      <c r="D178" s="359"/>
      <c r="E178" s="360" t="s">
        <v>105</v>
      </c>
      <c r="F178" s="343">
        <f>SUM(F179:F180)</f>
        <v>221000</v>
      </c>
      <c r="G178" s="343">
        <f>SUM(G180:G180)</f>
        <v>0</v>
      </c>
      <c r="J178" s="362"/>
      <c r="K178" s="362"/>
      <c r="L178" s="362"/>
      <c r="M178" s="362"/>
    </row>
    <row r="179" spans="1:19" s="365" customFormat="1" ht="30" customHeight="1">
      <c r="A179" s="200">
        <v>120</v>
      </c>
      <c r="B179" s="268"/>
      <c r="C179" s="252"/>
      <c r="D179" s="363">
        <v>6050</v>
      </c>
      <c r="E179" s="279" t="s">
        <v>218</v>
      </c>
      <c r="F179" s="364">
        <v>220000</v>
      </c>
      <c r="G179" s="364"/>
      <c r="J179" s="366"/>
      <c r="K179" s="366"/>
      <c r="L179" s="366"/>
      <c r="M179" s="366"/>
      <c r="S179" s="366"/>
    </row>
    <row r="180" spans="1:13" s="258" customFormat="1" ht="28.5" customHeight="1">
      <c r="A180" s="126">
        <v>121</v>
      </c>
      <c r="B180" s="268"/>
      <c r="C180" s="252"/>
      <c r="D180" s="227">
        <v>6050</v>
      </c>
      <c r="E180" s="279" t="s">
        <v>219</v>
      </c>
      <c r="F180" s="324">
        <v>1000</v>
      </c>
      <c r="G180" s="324">
        <v>0</v>
      </c>
      <c r="I180" s="259"/>
      <c r="J180" s="259"/>
      <c r="K180" s="259"/>
      <c r="L180" s="259"/>
      <c r="M180" s="259"/>
    </row>
    <row r="181" spans="1:13" s="258" customFormat="1" ht="22.5" customHeight="1">
      <c r="A181" s="126"/>
      <c r="B181" s="313">
        <v>710</v>
      </c>
      <c r="C181" s="220"/>
      <c r="D181" s="308"/>
      <c r="E181" s="356" t="s">
        <v>220</v>
      </c>
      <c r="F181" s="337">
        <f>F182</f>
        <v>105000</v>
      </c>
      <c r="G181" s="337">
        <f>G182</f>
        <v>0</v>
      </c>
      <c r="I181" s="259"/>
      <c r="J181" s="259"/>
      <c r="K181" s="259"/>
      <c r="L181" s="259"/>
      <c r="M181" s="259"/>
    </row>
    <row r="182" spans="1:13" s="258" customFormat="1" ht="27" customHeight="1">
      <c r="A182" s="126"/>
      <c r="B182" s="311"/>
      <c r="C182" s="256">
        <v>71012</v>
      </c>
      <c r="D182" s="359"/>
      <c r="E182" s="360" t="s">
        <v>221</v>
      </c>
      <c r="F182" s="343">
        <f>SUM(F183:F184)</f>
        <v>105000</v>
      </c>
      <c r="G182" s="343">
        <f>SUM(G184:G184)</f>
        <v>0</v>
      </c>
      <c r="I182" s="259"/>
      <c r="J182" s="259"/>
      <c r="K182" s="259"/>
      <c r="L182" s="259"/>
      <c r="M182" s="259"/>
    </row>
    <row r="183" spans="1:13" s="365" customFormat="1" ht="36" customHeight="1">
      <c r="A183" s="126">
        <v>122</v>
      </c>
      <c r="B183" s="268"/>
      <c r="C183" s="252"/>
      <c r="D183" s="363">
        <v>6050</v>
      </c>
      <c r="E183" s="367" t="s">
        <v>222</v>
      </c>
      <c r="F183" s="364">
        <v>60000</v>
      </c>
      <c r="G183" s="364"/>
      <c r="I183" s="366"/>
      <c r="J183" s="366"/>
      <c r="K183" s="366"/>
      <c r="L183" s="366"/>
      <c r="M183" s="366"/>
    </row>
    <row r="184" spans="1:13" s="258" customFormat="1" ht="24.75" customHeight="1">
      <c r="A184" s="126">
        <v>123</v>
      </c>
      <c r="B184" s="268"/>
      <c r="C184" s="252"/>
      <c r="D184" s="227">
        <v>6060</v>
      </c>
      <c r="E184" s="279" t="s">
        <v>223</v>
      </c>
      <c r="F184" s="324">
        <v>45000</v>
      </c>
      <c r="G184" s="324">
        <v>0</v>
      </c>
      <c r="I184" s="259"/>
      <c r="J184" s="259"/>
      <c r="K184" s="259"/>
      <c r="L184" s="259"/>
      <c r="M184" s="259"/>
    </row>
    <row r="185" spans="1:13" s="31" customFormat="1" ht="24" customHeight="1">
      <c r="A185" s="260"/>
      <c r="B185" s="220">
        <v>754</v>
      </c>
      <c r="C185" s="220"/>
      <c r="D185" s="260"/>
      <c r="E185" s="295" t="s">
        <v>117</v>
      </c>
      <c r="F185" s="249">
        <f>F186</f>
        <v>400000</v>
      </c>
      <c r="G185" s="249">
        <f>G186</f>
        <v>0</v>
      </c>
      <c r="J185" s="368"/>
      <c r="K185" s="368"/>
      <c r="L185" s="3"/>
      <c r="M185" s="3"/>
    </row>
    <row r="186" spans="1:13" s="31" customFormat="1" ht="24" customHeight="1">
      <c r="A186" s="126"/>
      <c r="B186" s="255"/>
      <c r="C186" s="256">
        <v>75411</v>
      </c>
      <c r="D186" s="341"/>
      <c r="E186" s="265" t="s">
        <v>224</v>
      </c>
      <c r="F186" s="239">
        <f>SUM(F187:F187)</f>
        <v>400000</v>
      </c>
      <c r="G186" s="239">
        <f>SUM(G187:G187)</f>
        <v>0</v>
      </c>
      <c r="I186" s="368"/>
      <c r="J186" s="368"/>
      <c r="K186" s="368"/>
      <c r="L186" s="3"/>
      <c r="M186" s="3"/>
    </row>
    <row r="187" spans="1:13" s="31" customFormat="1" ht="58.5" customHeight="1">
      <c r="A187" s="193">
        <v>124</v>
      </c>
      <c r="B187" s="252"/>
      <c r="C187" s="225"/>
      <c r="D187" s="300">
        <v>6050</v>
      </c>
      <c r="E187" s="245" t="s">
        <v>225</v>
      </c>
      <c r="F187" s="254">
        <v>400000</v>
      </c>
      <c r="G187" s="254">
        <v>0</v>
      </c>
      <c r="I187" s="368"/>
      <c r="J187" s="368"/>
      <c r="K187" s="368"/>
      <c r="L187" s="3"/>
      <c r="M187" s="3"/>
    </row>
    <row r="188" spans="1:7" ht="21" customHeight="1">
      <c r="A188" s="260"/>
      <c r="B188" s="220">
        <v>758</v>
      </c>
      <c r="C188" s="220"/>
      <c r="D188" s="175"/>
      <c r="E188" s="247" t="s">
        <v>121</v>
      </c>
      <c r="F188" s="248">
        <f>F189</f>
        <v>187200</v>
      </c>
      <c r="G188" s="249">
        <f>G189</f>
        <v>0</v>
      </c>
    </row>
    <row r="189" spans="1:7" ht="22.5" customHeight="1">
      <c r="A189" s="200"/>
      <c r="B189" s="290"/>
      <c r="C189" s="291">
        <v>75818</v>
      </c>
      <c r="D189" s="257"/>
      <c r="E189" s="265" t="s">
        <v>122</v>
      </c>
      <c r="F189" s="266">
        <f>F190</f>
        <v>187200</v>
      </c>
      <c r="G189" s="267">
        <f>G190</f>
        <v>0</v>
      </c>
    </row>
    <row r="190" spans="1:9" ht="21.75" customHeight="1">
      <c r="A190" s="200"/>
      <c r="B190" s="292"/>
      <c r="C190" s="225"/>
      <c r="D190" s="278">
        <v>6800</v>
      </c>
      <c r="E190" s="293" t="s">
        <v>123</v>
      </c>
      <c r="F190" s="420">
        <f>658000-500000+80500-16200-8100-50000+600000-300000-277000</f>
        <v>187200</v>
      </c>
      <c r="G190" s="230">
        <f>500000-500000</f>
        <v>0</v>
      </c>
      <c r="I190" s="182"/>
    </row>
    <row r="191" spans="1:7" ht="24.75" customHeight="1">
      <c r="A191" s="193"/>
      <c r="B191" s="294">
        <v>801</v>
      </c>
      <c r="C191" s="220"/>
      <c r="D191" s="260"/>
      <c r="E191" s="283" t="s">
        <v>25</v>
      </c>
      <c r="F191" s="248">
        <f>F192+F197</f>
        <v>126000</v>
      </c>
      <c r="G191" s="249">
        <f>G192+G197</f>
        <v>0</v>
      </c>
    </row>
    <row r="192" spans="1:13" s="301" customFormat="1" ht="25.5" customHeight="1">
      <c r="A192" s="369"/>
      <c r="B192" s="250"/>
      <c r="C192" s="296">
        <v>80120</v>
      </c>
      <c r="D192" s="285"/>
      <c r="E192" s="286" t="s">
        <v>226</v>
      </c>
      <c r="F192" s="238">
        <f>SUM(F193:F196)</f>
        <v>101953</v>
      </c>
      <c r="G192" s="239">
        <f>SUM(G193:G196)</f>
        <v>0</v>
      </c>
      <c r="J192" s="302"/>
      <c r="K192" s="302"/>
      <c r="L192" s="302"/>
      <c r="M192" s="302"/>
    </row>
    <row r="193" spans="1:13" s="231" customFormat="1" ht="24.75" customHeight="1">
      <c r="A193" s="126">
        <v>125</v>
      </c>
      <c r="B193" s="268"/>
      <c r="C193" s="269"/>
      <c r="D193" s="274">
        <v>6050</v>
      </c>
      <c r="E193" s="270" t="s">
        <v>227</v>
      </c>
      <c r="F193" s="253">
        <v>45000</v>
      </c>
      <c r="G193" s="254">
        <v>0</v>
      </c>
      <c r="J193" s="233"/>
      <c r="K193" s="233"/>
      <c r="L193" s="233"/>
      <c r="M193" s="233"/>
    </row>
    <row r="194" spans="1:13" s="231" customFormat="1" ht="24" customHeight="1">
      <c r="A194" s="126">
        <v>126</v>
      </c>
      <c r="B194" s="268"/>
      <c r="C194" s="252"/>
      <c r="D194" s="298">
        <v>6050</v>
      </c>
      <c r="E194" s="125" t="s">
        <v>228</v>
      </c>
      <c r="F194" s="253">
        <v>50000</v>
      </c>
      <c r="G194" s="254">
        <v>0</v>
      </c>
      <c r="J194" s="233"/>
      <c r="K194" s="233"/>
      <c r="L194" s="233"/>
      <c r="M194" s="233"/>
    </row>
    <row r="195" spans="1:13" s="231" customFormat="1" ht="27.75" customHeight="1">
      <c r="A195" s="126">
        <v>127</v>
      </c>
      <c r="B195" s="268"/>
      <c r="C195" s="252"/>
      <c r="D195" s="298">
        <v>6060</v>
      </c>
      <c r="E195" s="125" t="s">
        <v>229</v>
      </c>
      <c r="F195" s="253">
        <v>1953</v>
      </c>
      <c r="G195" s="254">
        <v>0</v>
      </c>
      <c r="J195" s="233"/>
      <c r="K195" s="233"/>
      <c r="L195" s="233"/>
      <c r="M195" s="233"/>
    </row>
    <row r="196" spans="1:13" s="231" customFormat="1" ht="24.75" customHeight="1">
      <c r="A196" s="126">
        <v>128</v>
      </c>
      <c r="B196" s="268"/>
      <c r="C196" s="226"/>
      <c r="D196" s="274">
        <v>6060</v>
      </c>
      <c r="E196" s="270" t="s">
        <v>230</v>
      </c>
      <c r="F196" s="253">
        <v>5000</v>
      </c>
      <c r="G196" s="254">
        <v>0</v>
      </c>
      <c r="J196" s="233"/>
      <c r="K196" s="233"/>
      <c r="L196" s="233"/>
      <c r="M196" s="233"/>
    </row>
    <row r="197" spans="1:13" s="231" customFormat="1" ht="20.25" customHeight="1">
      <c r="A197" s="126"/>
      <c r="B197" s="225"/>
      <c r="C197" s="234">
        <v>80130</v>
      </c>
      <c r="D197" s="285"/>
      <c r="E197" s="286" t="s">
        <v>231</v>
      </c>
      <c r="F197" s="238">
        <f>SUM(F198:F200)</f>
        <v>24047</v>
      </c>
      <c r="G197" s="239">
        <f>SUM(G198:G200)</f>
        <v>0</v>
      </c>
      <c r="J197" s="233"/>
      <c r="K197" s="233"/>
      <c r="L197" s="233"/>
      <c r="M197" s="233"/>
    </row>
    <row r="198" spans="1:13" s="231" customFormat="1" ht="29.25" customHeight="1">
      <c r="A198" s="126">
        <v>129</v>
      </c>
      <c r="B198" s="329"/>
      <c r="C198" s="250"/>
      <c r="D198" s="298">
        <v>6060</v>
      </c>
      <c r="E198" s="125" t="s">
        <v>232</v>
      </c>
      <c r="F198" s="253">
        <v>6000</v>
      </c>
      <c r="G198" s="254">
        <v>0</v>
      </c>
      <c r="J198" s="233"/>
      <c r="K198" s="233"/>
      <c r="L198" s="233"/>
      <c r="M198" s="233"/>
    </row>
    <row r="199" spans="1:13" s="231" customFormat="1" ht="30" customHeight="1">
      <c r="A199" s="126">
        <v>130</v>
      </c>
      <c r="B199" s="329"/>
      <c r="C199" s="255"/>
      <c r="D199" s="298">
        <v>6060</v>
      </c>
      <c r="E199" s="125" t="s">
        <v>229</v>
      </c>
      <c r="F199" s="253">
        <v>8047</v>
      </c>
      <c r="G199" s="254">
        <v>0</v>
      </c>
      <c r="J199" s="233"/>
      <c r="K199" s="233"/>
      <c r="L199" s="233"/>
      <c r="M199" s="233"/>
    </row>
    <row r="200" spans="1:13" s="231" customFormat="1" ht="26.25" customHeight="1">
      <c r="A200" s="126">
        <v>131</v>
      </c>
      <c r="B200" s="329"/>
      <c r="C200" s="226"/>
      <c r="D200" s="298">
        <v>6060</v>
      </c>
      <c r="E200" s="125" t="s">
        <v>233</v>
      </c>
      <c r="F200" s="253">
        <v>10000</v>
      </c>
      <c r="G200" s="254">
        <v>0</v>
      </c>
      <c r="J200" s="233"/>
      <c r="K200" s="233"/>
      <c r="L200" s="233"/>
      <c r="M200" s="233"/>
    </row>
    <row r="201" spans="1:13" s="309" customFormat="1" ht="25.5" customHeight="1">
      <c r="A201" s="260"/>
      <c r="B201" s="220">
        <v>854</v>
      </c>
      <c r="C201" s="370"/>
      <c r="D201" s="175"/>
      <c r="E201" s="371" t="s">
        <v>53</v>
      </c>
      <c r="F201" s="248">
        <f>F202</f>
        <v>65300</v>
      </c>
      <c r="G201" s="249">
        <f>G202</f>
        <v>0</v>
      </c>
      <c r="J201" s="310"/>
      <c r="K201" s="310"/>
      <c r="L201" s="310"/>
      <c r="M201" s="310"/>
    </row>
    <row r="202" spans="1:13" s="301" customFormat="1" ht="24.75" customHeight="1">
      <c r="A202" s="285"/>
      <c r="B202" s="234"/>
      <c r="C202" s="251">
        <v>85403</v>
      </c>
      <c r="D202" s="372"/>
      <c r="E202" s="373" t="s">
        <v>234</v>
      </c>
      <c r="F202" s="238">
        <f>F203+F204</f>
        <v>65300</v>
      </c>
      <c r="G202" s="239">
        <f>G204</f>
        <v>0</v>
      </c>
      <c r="J202" s="302"/>
      <c r="K202" s="302"/>
      <c r="L202" s="302"/>
      <c r="M202" s="302"/>
    </row>
    <row r="203" spans="1:13" s="231" customFormat="1" ht="24.75" customHeight="1">
      <c r="A203" s="126">
        <v>132</v>
      </c>
      <c r="B203" s="225"/>
      <c r="C203" s="318"/>
      <c r="D203" s="374">
        <v>6060</v>
      </c>
      <c r="E203" s="375" t="s">
        <v>235</v>
      </c>
      <c r="F203" s="253">
        <v>53000</v>
      </c>
      <c r="G203" s="254"/>
      <c r="J203" s="233"/>
      <c r="K203" s="233"/>
      <c r="L203" s="233"/>
      <c r="M203" s="233"/>
    </row>
    <row r="204" spans="1:13" s="231" customFormat="1" ht="24" customHeight="1">
      <c r="A204" s="126">
        <v>133</v>
      </c>
      <c r="B204" s="225"/>
      <c r="C204" s="318"/>
      <c r="D204" s="126">
        <v>6060</v>
      </c>
      <c r="E204" s="125" t="s">
        <v>236</v>
      </c>
      <c r="F204" s="253">
        <v>12300</v>
      </c>
      <c r="G204" s="254">
        <v>0</v>
      </c>
      <c r="J204" s="233"/>
      <c r="K204" s="233"/>
      <c r="L204" s="233"/>
      <c r="M204" s="233"/>
    </row>
    <row r="205" spans="1:7" ht="20.25" customHeight="1">
      <c r="A205" s="260"/>
      <c r="B205" s="220">
        <v>926</v>
      </c>
      <c r="C205" s="220"/>
      <c r="D205" s="175"/>
      <c r="E205" s="247" t="s">
        <v>237</v>
      </c>
      <c r="F205" s="248">
        <f>F206</f>
        <v>1344800</v>
      </c>
      <c r="G205" s="249">
        <f>G206</f>
        <v>0</v>
      </c>
    </row>
    <row r="206" spans="1:7" ht="24" customHeight="1">
      <c r="A206" s="376"/>
      <c r="B206" s="290"/>
      <c r="C206" s="291">
        <v>92601</v>
      </c>
      <c r="D206" s="257"/>
      <c r="E206" s="237" t="s">
        <v>198</v>
      </c>
      <c r="F206" s="238">
        <f>SUM(F207:F207)</f>
        <v>1344800</v>
      </c>
      <c r="G206" s="239">
        <f>SUM(G207:G207)</f>
        <v>0</v>
      </c>
    </row>
    <row r="207" spans="1:7" ht="29.25" customHeight="1">
      <c r="A207" s="377">
        <v>134</v>
      </c>
      <c r="B207" s="284"/>
      <c r="C207" s="234"/>
      <c r="D207" s="300">
        <v>6050</v>
      </c>
      <c r="E207" s="125" t="s">
        <v>238</v>
      </c>
      <c r="F207" s="253">
        <v>1344800</v>
      </c>
      <c r="G207" s="254">
        <v>0</v>
      </c>
    </row>
    <row r="208" spans="1:10" ht="28.5" customHeight="1">
      <c r="A208" s="260"/>
      <c r="B208" s="378" t="s">
        <v>22</v>
      </c>
      <c r="C208" s="344"/>
      <c r="D208" s="379"/>
      <c r="E208" s="380"/>
      <c r="F208" s="223">
        <f>F14+F163</f>
        <v>64653136.23</v>
      </c>
      <c r="G208" s="223">
        <f>G14+G163</f>
        <v>8868191.52</v>
      </c>
      <c r="I208" s="214"/>
      <c r="J208" s="214"/>
    </row>
    <row r="209" spans="1:10" ht="21.75" customHeight="1">
      <c r="A209" s="179"/>
      <c r="B209" s="381"/>
      <c r="C209" s="381"/>
      <c r="D209" s="179"/>
      <c r="F209" s="382"/>
      <c r="G209" s="382"/>
      <c r="I209" s="224"/>
      <c r="J209" s="224"/>
    </row>
    <row r="210" spans="1:10" ht="22.5" customHeight="1">
      <c r="A210" s="179"/>
      <c r="B210" s="177"/>
      <c r="C210" s="177"/>
      <c r="D210" s="179"/>
      <c r="F210" s="383"/>
      <c r="G210" s="383"/>
      <c r="I210" s="182"/>
      <c r="J210" s="384"/>
    </row>
    <row r="211" spans="1:9" ht="12.75">
      <c r="A211" s="179"/>
      <c r="B211" s="177"/>
      <c r="C211" s="177"/>
      <c r="D211" s="179"/>
      <c r="F211" s="383"/>
      <c r="G211" s="383"/>
      <c r="H211" s="182"/>
      <c r="I211" s="182"/>
    </row>
    <row r="212" spans="6:9" ht="12.75">
      <c r="F212" s="241"/>
      <c r="G212" s="387"/>
      <c r="I212" s="182"/>
    </row>
    <row r="213" spans="6:9" ht="12.75">
      <c r="F213" s="388"/>
      <c r="G213" s="387"/>
      <c r="I213" s="182"/>
    </row>
    <row r="214" spans="6:9" ht="12.75">
      <c r="F214" s="387"/>
      <c r="G214" s="387"/>
      <c r="I214" s="182"/>
    </row>
    <row r="215" spans="6:9" ht="12.75">
      <c r="F215" s="387"/>
      <c r="G215" s="387"/>
      <c r="I215" s="182"/>
    </row>
    <row r="216" spans="6:7" ht="12.75">
      <c r="F216" s="387"/>
      <c r="G216" s="387"/>
    </row>
    <row r="217" spans="6:7" ht="12.75">
      <c r="F217" s="387"/>
      <c r="G217" s="387"/>
    </row>
    <row r="218" spans="6:7" ht="12.75">
      <c r="F218" s="387"/>
      <c r="G218" s="387"/>
    </row>
    <row r="219" spans="6:7" ht="12.75">
      <c r="F219" s="387"/>
      <c r="G219" s="387"/>
    </row>
    <row r="220" spans="6:7" ht="12.75">
      <c r="F220" s="387"/>
      <c r="G220" s="387"/>
    </row>
    <row r="221" spans="6:7" ht="12.75">
      <c r="F221" s="387"/>
      <c r="G221" s="387"/>
    </row>
    <row r="222" spans="6:7" ht="12.75">
      <c r="F222" s="387"/>
      <c r="G222" s="387"/>
    </row>
    <row r="223" spans="6:7" ht="12.75">
      <c r="F223" s="387"/>
      <c r="G223" s="387"/>
    </row>
  </sheetData>
  <sheetProtection/>
  <mergeCells count="1">
    <mergeCell ref="A117:A118"/>
  </mergeCells>
  <printOptions/>
  <pageMargins left="0.1968503937007874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mmichnicka</cp:lastModifiedBy>
  <cp:lastPrinted>2014-07-15T07:46:48Z</cp:lastPrinted>
  <dcterms:created xsi:type="dcterms:W3CDTF">2009-03-04T08:33:11Z</dcterms:created>
  <dcterms:modified xsi:type="dcterms:W3CDTF">2014-07-15T11:27:20Z</dcterms:modified>
  <cp:category/>
  <cp:version/>
  <cp:contentType/>
  <cp:contentStatus/>
</cp:coreProperties>
</file>