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<sst xmlns="http://schemas.openxmlformats.org/spreadsheetml/2006/main" count="156" uniqueCount="119">
  <si>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</si>
  <si>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</si>
  <si>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</si>
  <si>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</si>
  <si>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</si>
  <si>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</si>
  <si>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</si>
  <si>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</si>
  <si>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</si>
  <si>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</si>
  <si>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</si>
  <si>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</si>
  <si>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</si>
  <si>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</si>
  <si>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</si>
  <si>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</si>
  <si>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</si>
  <si>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</si>
  <si>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</si>
  <si>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</si>
  <si>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</si>
  <si>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</si>
  <si>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</si>
  <si>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</si>
  <si>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</si>
  <si>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</si>
  <si>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</si>
  <si>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</si>
  <si>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</si>
  <si>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</si>
  <si>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</si>
  <si>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</si>
  <si>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</si>
  <si>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</si>
  <si>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</si>
  <si>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</si>
  <si>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</si>
  <si>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</si>
  <si>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1.3.1.10</t>
  </si>
  <si>
    <t>1.3.1.11</t>
  </si>
  <si>
    <t>1.3.1.12</t>
  </si>
  <si>
    <t>1.3.1.13</t>
  </si>
  <si>
    <t>1.3.1.14</t>
  </si>
  <si>
    <t>1.3.1.15</t>
  </si>
  <si>
    <t>1.3.2.</t>
  </si>
  <si>
    <t>1.3.2.1</t>
  </si>
  <si>
    <t>1.3.</t>
  </si>
  <si>
    <t>jednostka odpowiedzialna lub koordynująca program</t>
  </si>
  <si>
    <t>Przedszkole nr 14 w Koninie</t>
  </si>
  <si>
    <t>1.1.1.1</t>
  </si>
  <si>
    <t>Program Operacyjny Kapitał Ludzki</t>
  </si>
  <si>
    <t>1.1.1</t>
  </si>
  <si>
    <t>1.1.2.</t>
  </si>
  <si>
    <t xml:space="preserve">"Uczenie się przez całe życie" Partnerskie Projekty Szkół Comenius 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</si>
  <si>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</si>
  <si>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</si>
  <si>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Europejski Fundusz Rozwoju Regionalnego-Program Operacyjny Innowacyjna Gospodarka</t>
  </si>
  <si>
    <t>1.1.2.1</t>
  </si>
  <si>
    <t>1.3.1.9</t>
  </si>
  <si>
    <t>1.3.2.2</t>
  </si>
  <si>
    <t>Utworzenie grupy zakupowej energii elektrycznej dla jednostek organizacyjnych Miasta Konina.</t>
  </si>
  <si>
    <t>Utrzymanie zimowe dróg gminnych oraz dróg w miastach na prawach powiatu na terenie miasta Konina.</t>
  </si>
  <si>
    <t>Limit wydatków w poszczególnych latach</t>
  </si>
  <si>
    <t>1.1.1.5</t>
  </si>
  <si>
    <t>Aktywni po pięćdziesiątce-czas na zmiany. Cel:Podniesienie poziomu aktywności zawodowej 45 osób bezrobotnych w wieku 50-64 lata w tym 10 bezrobotnych długotrwale z miasta Konina (dz.853 rozdz. 85395).</t>
  </si>
  <si>
    <t>Aglomeracja konińska - współpraca JST kluczem do nowoczesnego rozwoju gospodarczego (dział 750 rozdz. 75023, 75095).</t>
  </si>
  <si>
    <t xml:space="preserve">PI Wsparcie rozwoju narzędzi związanych z kontraktowaniem usług społecznych w Koninie. Cel: Poprawa warunków prawnych i administracyjnych do prowadzenia efektywnej polityki rozwoju gospodarczego przez Miasto Konin (dz.853 rozdz. 85395). </t>
  </si>
  <si>
    <t xml:space="preserve">Słoneczny świat przedszkolaka. Cel: Upowszechnianie edukacji przedszkolnej wsród 35 dzieci w wieku 3-5 lat z terenu miasta Konina, powiatu konińskiego, tureckiego, kolskiego i słupeckiego (dz.853 rozdz. 85395).  </t>
  </si>
  <si>
    <t xml:space="preserve"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01.03.2013r do 30.06.2015r. (dz. 853 rozdz. 85395). </t>
  </si>
  <si>
    <t>Objazd Europy z Jules Varnes i naszymi przyjaciółmi partnerami. Cel: Wymiana doświadczeń i uczenie się od siebie nawzajem w dziedzinie języków obcych (dz. 801 rozdz. 80195).</t>
  </si>
  <si>
    <t>Uzbrojenie terenów inwestycyjnych w obrębie Konin -Międzylesie. Cel: Rozwój polskiej gospodarki w oparciu o innowacyjne przedsiębiorstwa (dz. 900 rozdz. 90095).</t>
  </si>
  <si>
    <t xml:space="preserve">Sporządzenie miejscowych planów zagospodarowania przestrzennego oraz zmiany studium uwarunkowań i kierunków zagospodarowania przestrzennego miasta Konina (dz. 710 rozdz. 71004). </t>
  </si>
  <si>
    <t xml:space="preserve">Bankowa obsługa budżetu Miasta Konina i podległych jednostek organizacyjnych (dz. 750 rozdz. 75023). </t>
  </si>
  <si>
    <t xml:space="preserve">Utrzymanie szaletów miejskich na terenie miasta Konina (dz. 900 rozdz. 90095). </t>
  </si>
  <si>
    <t xml:space="preserve">Wykonanie i dostawa tablic rejestracyjnych (dz. 750 rozdz. 75020).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</si>
  <si>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</si>
  <si>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</si>
  <si>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</si>
  <si>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Odszkodowanie za bezumowne korzystanie z gruntu (dz.700 rozdz. 70005). </t>
  </si>
  <si>
    <t>Oczyszczanie Miasta Konina (dz. 900 rozdz. 90003).</t>
  </si>
  <si>
    <t xml:space="preserve">Utrzymanie ciągłości funkcjonowania systemów informatycznych (dz. 750 rozdz. 75023). </t>
  </si>
  <si>
    <t>Prowadzenie schroniska dla bezdomnych zwierząt w Koninie (dz. 900 rozdz. 90013).</t>
  </si>
  <si>
    <t xml:space="preserve">Nabycie nieruchomości gruntowych (dz. 700 rozdz. 70005). </t>
  </si>
  <si>
    <t>Wniesienie wkładu pieniężnego do spółki Geotermia Konin Spółka z o.o. w Koninie (dz. 900 rozdz. 90095).</t>
  </si>
  <si>
    <t>Świadczenie usług dystrybucji energii elektrycznej dla sygnalizacji świetlnych, oświetlenia ulic, przepompowni i osadników wód deszczowych (dz. 900 rozdz. 90015, 90095).</t>
  </si>
  <si>
    <t>1.3.1.16</t>
  </si>
  <si>
    <t>Utworzenie grupy zakupowej energii elektrycznej dla jednostek organizacyjnych Miasta Konina - 2 edycja.</t>
  </si>
  <si>
    <t>1.3.1.17</t>
  </si>
  <si>
    <t>Realizacja Programu opieki nad zwierzętami bezdomnymi oraz zapobieganie bezdomności zwierząt na terenie miasta Konina (dz. 900 rozdz. 90013).</t>
  </si>
  <si>
    <t>1.3.2.4</t>
  </si>
  <si>
    <t>1.3.2.3</t>
  </si>
  <si>
    <t>1.3.2.5</t>
  </si>
  <si>
    <t>Wniesienie wkładu pieniężnego na opracowanie dokumentacji projektowej na budowę kanalizacji sanitarnej w ulicach Poznańskiej i Bocznej (dz.900 rozdz. 90095).</t>
  </si>
  <si>
    <t>Opracowanie dokumentacji projektowo-kosztorysowej na budowę kanalizacji deszczowej w ulicach Staromorzysławskiej, Działkowej i Granicznej (dz.900 rozdz. 90095).</t>
  </si>
  <si>
    <t>Opracowanie dokumentacji projektowo-kosztorysowej na budowę kanalizacji deszczowej w ulicy Torowej (dz.900 rozdz. 90095).</t>
  </si>
  <si>
    <t>Załącznik nr 2</t>
  </si>
  <si>
    <t>Urządzanie, pielęgnacja i porządkowanie terenów zieleni wraz z prowadzeniem i ochroną Mini ZOO (dz. 900 rozdz. 90004).</t>
  </si>
  <si>
    <t xml:space="preserve">Budowa budynku usług publicznych przy ul. Z. Urbanowskiej w Koninie (dz. 630 rozdz. 63095) </t>
  </si>
  <si>
    <t>Budowa ulic: Dobrowolskiego, Kuratowskiego, Mazurkiewicza i Trzebiatowskiego w Koninie (dz. 600 rozdz. 60016).</t>
  </si>
  <si>
    <t>Budowa zespołu boisk przy Gimnazjum nr 7 w Koninie (dz.801 rozdz. 80110).</t>
  </si>
  <si>
    <t xml:space="preserve">Budowa drogi - łącznik od ul. Przemysłowej do ul. Kleczewskiej w Koninie (dz. 600 rozdz. 60015). </t>
  </si>
  <si>
    <t>1.3.1.18</t>
  </si>
  <si>
    <t>1.3.1.19</t>
  </si>
  <si>
    <t>1.3.2.6</t>
  </si>
  <si>
    <t>1.3.2.7</t>
  </si>
  <si>
    <t>1.3.2.8</t>
  </si>
  <si>
    <t>1.3.2.9</t>
  </si>
  <si>
    <t>Dostawa energii elektrycznej dla oświetlenia ulic, sygnalizacji świetlnych, przepompowni i osadników wód deszczowych na terenie Miasta Konina (dz. 900 rozdz. 90015, 90095).</t>
  </si>
  <si>
    <t>1.3.1.20</t>
  </si>
  <si>
    <t>Podmiot zatrudnienia socjalnego partnerem Ośrodka Pomocy Społecznej i Powiatowego Urzędu Pracy w realizacji kontraktów socjalnych (dz. 852 rozdz. 85295).</t>
  </si>
  <si>
    <t>MOPR w Koninie</t>
  </si>
  <si>
    <t>Budowa łącznika pomiędzy ul. Poznańską i ul. Przemysłową (dz. 600 rozdz. 60015).</t>
  </si>
  <si>
    <t>1.3.2.10</t>
  </si>
  <si>
    <t>1.3.1.21</t>
  </si>
  <si>
    <t>Zarządzanie energią w budynkach użyteczności publicznej w Koninie (dz. 801 rozdz. 80195).</t>
  </si>
  <si>
    <t>1.3.1.22</t>
  </si>
  <si>
    <t>Realizacja Programu Profilaktyki Zakażeń Wirusem HPV w mieście Koninie na lata 2014-2017 (dz. 851 rozdz. 85149).</t>
  </si>
  <si>
    <t xml:space="preserve">do Uchwały nr         </t>
  </si>
  <si>
    <t xml:space="preserve">z dnia 21 lipca 2014 roku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</si>
</sst>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3"/>
  <sheetViews>
    <sheetView tabSelected="1" zoomScalePageLayoutView="0" workbookViewId="0" topLeftCell="A61">
      <selection activeCell="H61" sqref="H61"/>
    </sheetView>
  </sheetViews>
  <sheetFormatPr defaultColWidth="9.140625" defaultRowHeight="12.75"/>
  <cols>
    <col min="1" max="1" width="6.28125" style="38" customWidth="1"/>
    <col min="2" max="2" width="23.710937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3.00390625" style="1" customWidth="1"/>
    <col min="8" max="8" width="13.28125" style="1" customWidth="1"/>
    <col min="9" max="9" width="12.57421875" style="1" customWidth="1"/>
    <col min="10" max="10" width="11.7109375" style="1" customWidth="1"/>
    <col min="11" max="11" width="8.140625" style="1" bestFit="1" customWidth="1"/>
    <col min="12" max="12" width="8.28125" style="1" customWidth="1"/>
    <col min="13" max="13" width="12.57421875" style="1" customWidth="1"/>
    <col min="14" max="14" width="15.7109375" style="1" customWidth="1"/>
    <col min="15" max="15" width="12.421875" style="1" customWidth="1"/>
    <col min="16" max="16" width="11.7109375" style="1" bestFit="1" customWidth="1"/>
    <col min="17" max="17" width="12.7109375" style="1" bestFit="1" customWidth="1"/>
    <col min="18" max="20" width="11.7109375" style="1" bestFit="1" customWidth="1"/>
    <col min="21" max="16384" width="9.140625" style="1" customWidth="1"/>
  </cols>
  <sheetData>
    <row r="1" ht="18.75">
      <c r="G1" s="15" t="s">
        <v>95</v>
      </c>
    </row>
    <row r="2" ht="15.75">
      <c r="G2" s="3" t="s">
        <v>117</v>
      </c>
    </row>
    <row r="3" ht="15.75">
      <c r="G3" s="3" t="s">
        <v>10</v>
      </c>
    </row>
    <row r="4" ht="15.75">
      <c r="G4" s="3" t="s">
        <v>118</v>
      </c>
    </row>
    <row r="5" ht="15.75">
      <c r="G5" s="3"/>
    </row>
    <row r="6" spans="2:6" ht="18.75">
      <c r="B6" s="16" t="s">
        <v>12</v>
      </c>
      <c r="C6" s="16"/>
      <c r="D6" s="16"/>
      <c r="E6" s="16"/>
      <c r="F6" s="16"/>
    </row>
    <row r="8" spans="1:13" s="14" customFormat="1" ht="56.25" customHeight="1">
      <c r="A8" s="83" t="s">
        <v>0</v>
      </c>
      <c r="B8" s="84" t="s">
        <v>1</v>
      </c>
      <c r="C8" s="85" t="s">
        <v>47</v>
      </c>
      <c r="D8" s="75" t="s">
        <v>2</v>
      </c>
      <c r="E8" s="75"/>
      <c r="F8" s="77" t="s">
        <v>3</v>
      </c>
      <c r="G8" s="76" t="s">
        <v>62</v>
      </c>
      <c r="H8" s="80"/>
      <c r="I8" s="80"/>
      <c r="J8" s="80"/>
      <c r="K8" s="66"/>
      <c r="L8" s="66"/>
      <c r="M8" s="74" t="s">
        <v>13</v>
      </c>
    </row>
    <row r="9" spans="1:13" s="14" customFormat="1" ht="24" customHeight="1">
      <c r="A9" s="83"/>
      <c r="B9" s="84"/>
      <c r="C9" s="85"/>
      <c r="D9" s="86" t="s">
        <v>4</v>
      </c>
      <c r="E9" s="86"/>
      <c r="F9" s="78"/>
      <c r="G9" s="75"/>
      <c r="H9" s="75"/>
      <c r="I9" s="75"/>
      <c r="J9" s="76"/>
      <c r="K9" s="65"/>
      <c r="L9" s="65"/>
      <c r="M9" s="74"/>
    </row>
    <row r="10" spans="1:13" ht="12.75">
      <c r="A10" s="83"/>
      <c r="B10" s="84"/>
      <c r="C10" s="85"/>
      <c r="D10" s="17" t="s">
        <v>5</v>
      </c>
      <c r="E10" s="17" t="s">
        <v>6</v>
      </c>
      <c r="F10" s="79"/>
      <c r="G10" s="17">
        <v>2014</v>
      </c>
      <c r="H10" s="17">
        <v>2015</v>
      </c>
      <c r="I10" s="17">
        <v>2016</v>
      </c>
      <c r="J10" s="17">
        <v>2017</v>
      </c>
      <c r="K10" s="17">
        <v>2018</v>
      </c>
      <c r="L10" s="17">
        <v>2019</v>
      </c>
      <c r="M10" s="74"/>
    </row>
    <row r="11" spans="1:13" s="37" customFormat="1" ht="13.5">
      <c r="A11" s="40">
        <v>1</v>
      </c>
      <c r="B11" s="34">
        <v>2</v>
      </c>
      <c r="C11" s="34">
        <v>3</v>
      </c>
      <c r="D11" s="35">
        <v>4</v>
      </c>
      <c r="E11" s="35">
        <v>5</v>
      </c>
      <c r="F11" s="36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46">
        <v>13</v>
      </c>
    </row>
    <row r="12" spans="1:13" ht="13.5">
      <c r="A12" s="39" t="s">
        <v>16</v>
      </c>
      <c r="B12" s="71" t="s">
        <v>15</v>
      </c>
      <c r="C12" s="71"/>
      <c r="D12" s="71"/>
      <c r="E12" s="71"/>
      <c r="F12" s="18">
        <f aca="true" t="shared" si="0" ref="F12:M12">+F13+F14</f>
        <v>105119868.84</v>
      </c>
      <c r="G12" s="18">
        <f t="shared" si="0"/>
        <v>41476121.730000004</v>
      </c>
      <c r="H12" s="18">
        <f t="shared" si="0"/>
        <v>42926381.43000001</v>
      </c>
      <c r="I12" s="18">
        <f t="shared" si="0"/>
        <v>10290826</v>
      </c>
      <c r="J12" s="18">
        <f t="shared" si="0"/>
        <v>1509024</v>
      </c>
      <c r="K12" s="18">
        <f t="shared" si="0"/>
        <v>9963</v>
      </c>
      <c r="L12" s="18">
        <f t="shared" si="0"/>
        <v>9963</v>
      </c>
      <c r="M12" s="18">
        <f t="shared" si="0"/>
        <v>94365765.35000001</v>
      </c>
    </row>
    <row r="13" spans="1:13" ht="13.5">
      <c r="A13" s="41" t="s">
        <v>17</v>
      </c>
      <c r="B13" s="71" t="s">
        <v>7</v>
      </c>
      <c r="C13" s="71"/>
      <c r="D13" s="71"/>
      <c r="E13" s="71"/>
      <c r="F13" s="19">
        <f aca="true" t="shared" si="1" ref="F13:M13">F16+F31</f>
        <v>54603847.230000004</v>
      </c>
      <c r="G13" s="19">
        <f t="shared" si="1"/>
        <v>23920365.56</v>
      </c>
      <c r="H13" s="19">
        <f t="shared" si="1"/>
        <v>17711115.990000002</v>
      </c>
      <c r="I13" s="19">
        <f t="shared" si="1"/>
        <v>2655826</v>
      </c>
      <c r="J13" s="19">
        <f t="shared" si="1"/>
        <v>1509024</v>
      </c>
      <c r="K13" s="19">
        <f t="shared" si="1"/>
        <v>9963</v>
      </c>
      <c r="L13" s="19">
        <f t="shared" si="1"/>
        <v>9963</v>
      </c>
      <c r="M13" s="19">
        <f t="shared" si="1"/>
        <v>43959743.74000001</v>
      </c>
    </row>
    <row r="14" spans="1:16" ht="13.5">
      <c r="A14" s="41" t="s">
        <v>18</v>
      </c>
      <c r="B14" s="71" t="s">
        <v>8</v>
      </c>
      <c r="C14" s="71"/>
      <c r="D14" s="71"/>
      <c r="E14" s="71"/>
      <c r="F14" s="19">
        <f aca="true" t="shared" si="2" ref="F14:M14">F24+F54</f>
        <v>50516021.61</v>
      </c>
      <c r="G14" s="19">
        <f t="shared" si="2"/>
        <v>17555756.17</v>
      </c>
      <c r="H14" s="19">
        <f t="shared" si="2"/>
        <v>25215265.44</v>
      </c>
      <c r="I14" s="19">
        <f t="shared" si="2"/>
        <v>7635000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19">
        <f t="shared" si="2"/>
        <v>50406021.61</v>
      </c>
      <c r="P14" s="13"/>
    </row>
    <row r="15" spans="1:15" ht="57" customHeight="1">
      <c r="A15" s="41" t="s">
        <v>19</v>
      </c>
      <c r="B15" s="73" t="s">
        <v>55</v>
      </c>
      <c r="C15" s="73"/>
      <c r="D15" s="73"/>
      <c r="E15" s="73"/>
      <c r="F15" s="18">
        <f aca="true" t="shared" si="3" ref="F15:M15">F16+F24</f>
        <v>22202093.08</v>
      </c>
      <c r="G15" s="18">
        <f t="shared" si="3"/>
        <v>14154152.96</v>
      </c>
      <c r="H15" s="18">
        <f t="shared" si="3"/>
        <v>7110548.0600000005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20590863.02</v>
      </c>
      <c r="O15" s="13"/>
    </row>
    <row r="16" spans="1:15" ht="13.5">
      <c r="A16" s="43" t="s">
        <v>51</v>
      </c>
      <c r="B16" s="72" t="s">
        <v>9</v>
      </c>
      <c r="C16" s="72"/>
      <c r="D16" s="72"/>
      <c r="E16" s="72"/>
      <c r="F16" s="19">
        <f aca="true" t="shared" si="4" ref="F16:M16">SUM(F18:F23)</f>
        <v>3973053.47</v>
      </c>
      <c r="G16" s="19">
        <f t="shared" si="4"/>
        <v>1806360.79</v>
      </c>
      <c r="H16" s="19">
        <f t="shared" si="4"/>
        <v>1229300.62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4"/>
        <v>2361823.41</v>
      </c>
      <c r="O16" s="13"/>
    </row>
    <row r="17" spans="1:15" ht="28.5" customHeight="1">
      <c r="A17" s="41"/>
      <c r="B17" s="47" t="s">
        <v>50</v>
      </c>
      <c r="C17" s="48"/>
      <c r="D17" s="48"/>
      <c r="E17" s="48"/>
      <c r="F17" s="19"/>
      <c r="G17" s="19"/>
      <c r="H17" s="19"/>
      <c r="I17" s="19"/>
      <c r="J17" s="19"/>
      <c r="K17" s="19"/>
      <c r="L17" s="19"/>
      <c r="M17" s="19"/>
      <c r="O17" s="13"/>
    </row>
    <row r="18" spans="1:17" s="10" customFormat="1" ht="154.5" customHeight="1">
      <c r="A18" s="41" t="s">
        <v>49</v>
      </c>
      <c r="B18" s="20" t="s">
        <v>66</v>
      </c>
      <c r="C18" s="25" t="s">
        <v>11</v>
      </c>
      <c r="D18" s="21">
        <v>2012</v>
      </c>
      <c r="E18" s="21">
        <v>2015</v>
      </c>
      <c r="F18" s="24">
        <v>938884</v>
      </c>
      <c r="G18" s="24">
        <f>261006.5+17540+27340.47+4824.79</f>
        <v>310711.75999999995</v>
      </c>
      <c r="H18" s="22">
        <f>249566.61+13933.65</f>
        <v>263500.26</v>
      </c>
      <c r="I18" s="22"/>
      <c r="J18" s="22"/>
      <c r="K18" s="22"/>
      <c r="L18" s="22"/>
      <c r="M18" s="22">
        <f>SUM(G18:J18)</f>
        <v>574212.02</v>
      </c>
      <c r="N18" s="52"/>
      <c r="O18" s="30"/>
      <c r="P18" s="30"/>
      <c r="Q18" s="30"/>
    </row>
    <row r="19" spans="1:17" s="27" customFormat="1" ht="125.25" customHeight="1">
      <c r="A19" s="41" t="s">
        <v>20</v>
      </c>
      <c r="B19" s="20" t="s">
        <v>67</v>
      </c>
      <c r="C19" s="25" t="s">
        <v>14</v>
      </c>
      <c r="D19" s="21">
        <v>2013</v>
      </c>
      <c r="E19" s="21">
        <v>2015</v>
      </c>
      <c r="F19" s="24">
        <v>841994.5</v>
      </c>
      <c r="G19" s="24">
        <f>422070+15020.34</f>
        <v>437090.34</v>
      </c>
      <c r="H19" s="24">
        <v>72298</v>
      </c>
      <c r="I19" s="22"/>
      <c r="J19" s="22"/>
      <c r="K19" s="22"/>
      <c r="L19" s="22"/>
      <c r="M19" s="22">
        <f>67368+15020.34</f>
        <v>82388.34</v>
      </c>
      <c r="N19" s="52"/>
      <c r="O19" s="32"/>
      <c r="Q19" s="31"/>
    </row>
    <row r="20" spans="1:17" s="10" customFormat="1" ht="190.5" customHeight="1">
      <c r="A20" s="41" t="s">
        <v>21</v>
      </c>
      <c r="B20" s="20" t="s">
        <v>68</v>
      </c>
      <c r="C20" s="25" t="s">
        <v>48</v>
      </c>
      <c r="D20" s="21">
        <v>2013</v>
      </c>
      <c r="E20" s="21">
        <v>2015</v>
      </c>
      <c r="F20" s="24">
        <v>542024</v>
      </c>
      <c r="G20" s="24">
        <f>192024+17733.92-10684</f>
        <v>199073.91999999998</v>
      </c>
      <c r="H20" s="22">
        <f>103970+10684</f>
        <v>114654</v>
      </c>
      <c r="I20" s="22"/>
      <c r="J20" s="22"/>
      <c r="K20" s="22"/>
      <c r="L20" s="22"/>
      <c r="M20" s="22">
        <f>49156+17733.92</f>
        <v>66889.92</v>
      </c>
      <c r="N20" s="52"/>
      <c r="O20" s="32"/>
      <c r="Q20" s="30"/>
    </row>
    <row r="21" spans="1:17" s="10" customFormat="1" ht="115.5" customHeight="1">
      <c r="A21" s="41" t="s">
        <v>22</v>
      </c>
      <c r="B21" s="20" t="s">
        <v>64</v>
      </c>
      <c r="C21" s="25" t="s">
        <v>11</v>
      </c>
      <c r="D21" s="21">
        <v>2014</v>
      </c>
      <c r="E21" s="21">
        <v>2015</v>
      </c>
      <c r="F21" s="24">
        <f>SUM(G21:H21)</f>
        <v>1565472.9700000002</v>
      </c>
      <c r="G21" s="24">
        <f>837935.03-34374.82</f>
        <v>803560.2100000001</v>
      </c>
      <c r="H21" s="22">
        <f>776293.56-14380.8</f>
        <v>761912.76</v>
      </c>
      <c r="I21" s="22"/>
      <c r="J21" s="22"/>
      <c r="K21" s="22"/>
      <c r="L21" s="22"/>
      <c r="M21" s="22">
        <f>SUM(G21:J21)</f>
        <v>1565472.9700000002</v>
      </c>
      <c r="N21" s="52"/>
      <c r="O21" s="32"/>
      <c r="Q21" s="30"/>
    </row>
    <row r="22" spans="1:15" s="10" customFormat="1" ht="48.75" customHeight="1">
      <c r="A22" s="41"/>
      <c r="B22" s="47" t="s">
        <v>53</v>
      </c>
      <c r="C22" s="20"/>
      <c r="D22" s="21"/>
      <c r="E22" s="21"/>
      <c r="F22" s="24"/>
      <c r="G22" s="24"/>
      <c r="H22" s="22"/>
      <c r="I22" s="22"/>
      <c r="J22" s="22"/>
      <c r="K22" s="22"/>
      <c r="L22" s="22"/>
      <c r="M22" s="22"/>
      <c r="N22" s="52"/>
      <c r="O22" s="30"/>
    </row>
    <row r="23" spans="1:17" s="27" customFormat="1" ht="105" customHeight="1">
      <c r="A23" s="41" t="s">
        <v>63</v>
      </c>
      <c r="B23" s="20" t="s">
        <v>69</v>
      </c>
      <c r="C23" s="25" t="s">
        <v>54</v>
      </c>
      <c r="D23" s="21">
        <v>2013</v>
      </c>
      <c r="E23" s="21">
        <v>2015</v>
      </c>
      <c r="F23" s="24">
        <v>84678</v>
      </c>
      <c r="G23" s="24">
        <f>42742.4+13182.16</f>
        <v>55924.56</v>
      </c>
      <c r="H23" s="22">
        <v>16935.6</v>
      </c>
      <c r="I23" s="22"/>
      <c r="J23" s="22"/>
      <c r="K23" s="22"/>
      <c r="L23" s="22"/>
      <c r="M23" s="22">
        <f>59678+13182.16</f>
        <v>72860.16</v>
      </c>
      <c r="N23" s="52"/>
      <c r="O23" s="30"/>
      <c r="P23" s="31"/>
      <c r="Q23" s="31"/>
    </row>
    <row r="24" spans="1:15" s="10" customFormat="1" ht="20.25" customHeight="1">
      <c r="A24" s="43" t="s">
        <v>52</v>
      </c>
      <c r="B24" s="45" t="s">
        <v>23</v>
      </c>
      <c r="C24" s="23"/>
      <c r="D24" s="21"/>
      <c r="E24" s="21"/>
      <c r="F24" s="24">
        <f aca="true" t="shared" si="5" ref="F24:M24">F26</f>
        <v>18229039.61</v>
      </c>
      <c r="G24" s="24">
        <f t="shared" si="5"/>
        <v>12347792.17</v>
      </c>
      <c r="H24" s="24">
        <f t="shared" si="5"/>
        <v>5881247.44</v>
      </c>
      <c r="I24" s="24">
        <f t="shared" si="5"/>
        <v>0</v>
      </c>
      <c r="J24" s="24">
        <f t="shared" si="5"/>
        <v>0</v>
      </c>
      <c r="K24" s="24"/>
      <c r="L24" s="24"/>
      <c r="M24" s="24">
        <f t="shared" si="5"/>
        <v>18229039.61</v>
      </c>
      <c r="N24" s="52"/>
      <c r="O24" s="32"/>
    </row>
    <row r="25" spans="1:15" s="10" customFormat="1" ht="62.25" customHeight="1">
      <c r="A25" s="43"/>
      <c r="B25" s="45" t="s">
        <v>56</v>
      </c>
      <c r="C25" s="23"/>
      <c r="D25" s="21"/>
      <c r="E25" s="21"/>
      <c r="F25" s="24"/>
      <c r="G25" s="24"/>
      <c r="H25" s="24"/>
      <c r="I25" s="24"/>
      <c r="J25" s="24"/>
      <c r="K25" s="24"/>
      <c r="L25" s="24"/>
      <c r="M25" s="24"/>
      <c r="N25" s="52"/>
      <c r="O25" s="32"/>
    </row>
    <row r="26" spans="1:16" ht="102">
      <c r="A26" s="41" t="s">
        <v>57</v>
      </c>
      <c r="B26" s="55" t="s">
        <v>70</v>
      </c>
      <c r="C26" s="29" t="s">
        <v>11</v>
      </c>
      <c r="D26" s="21">
        <v>2014</v>
      </c>
      <c r="E26" s="49">
        <v>2015</v>
      </c>
      <c r="F26" s="22">
        <f>SUM(G26:H26)</f>
        <v>18229039.61</v>
      </c>
      <c r="G26" s="22">
        <f>8803122.17+3544670</f>
        <v>12347792.17</v>
      </c>
      <c r="H26" s="22">
        <v>5881247.44</v>
      </c>
      <c r="I26" s="22"/>
      <c r="J26" s="56"/>
      <c r="K26" s="56"/>
      <c r="L26" s="56"/>
      <c r="M26" s="22">
        <f>SUM(G26:I26)</f>
        <v>18229039.61</v>
      </c>
      <c r="N26" s="52"/>
      <c r="O26" s="13"/>
      <c r="P26" s="13"/>
    </row>
    <row r="27" spans="1:15" s="10" customFormat="1" ht="42" customHeight="1">
      <c r="A27" s="41" t="s">
        <v>24</v>
      </c>
      <c r="B27" s="73" t="s">
        <v>25</v>
      </c>
      <c r="C27" s="73"/>
      <c r="D27" s="73"/>
      <c r="E27" s="73"/>
      <c r="F27" s="26">
        <f aca="true" t="shared" si="6" ref="F27:M27">+F28+F29</f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26"/>
      <c r="L27" s="26"/>
      <c r="M27" s="26">
        <f t="shared" si="6"/>
        <v>0</v>
      </c>
      <c r="N27" s="52"/>
      <c r="O27" s="32"/>
    </row>
    <row r="28" spans="1:15" s="10" customFormat="1" ht="16.5" customHeight="1">
      <c r="A28" s="41" t="s">
        <v>26</v>
      </c>
      <c r="B28" s="82" t="s">
        <v>7</v>
      </c>
      <c r="C28" s="82"/>
      <c r="D28" s="82"/>
      <c r="E28" s="82"/>
      <c r="F28" s="24">
        <v>0</v>
      </c>
      <c r="G28" s="24">
        <v>0</v>
      </c>
      <c r="H28" s="24"/>
      <c r="I28" s="24"/>
      <c r="J28" s="24">
        <v>0</v>
      </c>
      <c r="K28" s="24">
        <v>0</v>
      </c>
      <c r="L28" s="24">
        <v>0</v>
      </c>
      <c r="M28" s="24">
        <v>0</v>
      </c>
      <c r="N28" s="52"/>
      <c r="O28" s="32"/>
    </row>
    <row r="29" spans="1:15" s="10" customFormat="1" ht="16.5" customHeight="1">
      <c r="A29" s="41" t="s">
        <v>27</v>
      </c>
      <c r="B29" s="82" t="s">
        <v>8</v>
      </c>
      <c r="C29" s="82"/>
      <c r="D29" s="82"/>
      <c r="E29" s="82"/>
      <c r="F29" s="24">
        <v>0</v>
      </c>
      <c r="G29" s="24">
        <v>0</v>
      </c>
      <c r="H29" s="24"/>
      <c r="I29" s="24"/>
      <c r="J29" s="24">
        <v>0</v>
      </c>
      <c r="K29" s="24">
        <v>0</v>
      </c>
      <c r="L29" s="24">
        <v>0</v>
      </c>
      <c r="M29" s="24">
        <v>0</v>
      </c>
      <c r="N29" s="52"/>
      <c r="O29" s="32"/>
    </row>
    <row r="30" spans="1:15" s="2" customFormat="1" ht="39" customHeight="1">
      <c r="A30" s="41" t="s">
        <v>46</v>
      </c>
      <c r="B30" s="73" t="s">
        <v>28</v>
      </c>
      <c r="C30" s="73"/>
      <c r="D30" s="73"/>
      <c r="E30" s="73"/>
      <c r="F30" s="26">
        <f aca="true" t="shared" si="7" ref="F30:M30">F31+F54</f>
        <v>82917775.76</v>
      </c>
      <c r="G30" s="26">
        <f t="shared" si="7"/>
        <v>27321968.77</v>
      </c>
      <c r="H30" s="26">
        <f t="shared" si="7"/>
        <v>35815833.370000005</v>
      </c>
      <c r="I30" s="26">
        <f t="shared" si="7"/>
        <v>10290826</v>
      </c>
      <c r="J30" s="26">
        <f t="shared" si="7"/>
        <v>1509024</v>
      </c>
      <c r="K30" s="26">
        <f t="shared" si="7"/>
        <v>9963</v>
      </c>
      <c r="L30" s="26">
        <f t="shared" si="7"/>
        <v>9963</v>
      </c>
      <c r="M30" s="26">
        <f t="shared" si="7"/>
        <v>73774902.33000001</v>
      </c>
      <c r="N30" s="52"/>
      <c r="O30" s="32"/>
    </row>
    <row r="31" spans="1:15" s="2" customFormat="1" ht="16.5" customHeight="1">
      <c r="A31" s="43" t="s">
        <v>29</v>
      </c>
      <c r="B31" s="81" t="s">
        <v>7</v>
      </c>
      <c r="C31" s="81"/>
      <c r="D31" s="81"/>
      <c r="E31" s="81"/>
      <c r="F31" s="24">
        <f>SUM(F32:F53)</f>
        <v>50630793.760000005</v>
      </c>
      <c r="G31" s="24">
        <f aca="true" t="shared" si="8" ref="G31:M31">SUM(G32:G53)</f>
        <v>22114004.77</v>
      </c>
      <c r="H31" s="24">
        <f t="shared" si="8"/>
        <v>16481815.370000001</v>
      </c>
      <c r="I31" s="24">
        <f t="shared" si="8"/>
        <v>2655826</v>
      </c>
      <c r="J31" s="24">
        <f t="shared" si="8"/>
        <v>1509024</v>
      </c>
      <c r="K31" s="24">
        <f t="shared" si="8"/>
        <v>9963</v>
      </c>
      <c r="L31" s="24">
        <f t="shared" si="8"/>
        <v>9963</v>
      </c>
      <c r="M31" s="24">
        <f t="shared" si="8"/>
        <v>41597920.330000006</v>
      </c>
      <c r="N31" s="52"/>
      <c r="O31" s="32"/>
    </row>
    <row r="32" spans="1:20" s="2" customFormat="1" ht="117.75" customHeight="1">
      <c r="A32" s="41" t="s">
        <v>30</v>
      </c>
      <c r="B32" s="20" t="s">
        <v>71</v>
      </c>
      <c r="C32" s="29" t="s">
        <v>11</v>
      </c>
      <c r="D32" s="21">
        <v>2013</v>
      </c>
      <c r="E32" s="21">
        <v>2015</v>
      </c>
      <c r="F32" s="24">
        <f>90000+11752.65</f>
        <v>101752.65</v>
      </c>
      <c r="G32" s="24">
        <f>45000+6752.65</f>
        <v>51752.65</v>
      </c>
      <c r="H32" s="24">
        <f>45000+5000</f>
        <v>50000</v>
      </c>
      <c r="I32" s="24"/>
      <c r="J32" s="24"/>
      <c r="K32" s="24"/>
      <c r="L32" s="24"/>
      <c r="M32" s="24">
        <f>53100+11752.65</f>
        <v>64852.65</v>
      </c>
      <c r="N32" s="52"/>
      <c r="O32" s="32"/>
      <c r="P32" s="11"/>
      <c r="Q32" s="11"/>
      <c r="T32" s="11"/>
    </row>
    <row r="33" spans="1:20" s="2" customFormat="1" ht="63.75" customHeight="1">
      <c r="A33" s="41" t="s">
        <v>31</v>
      </c>
      <c r="B33" s="28" t="s">
        <v>72</v>
      </c>
      <c r="C33" s="29" t="s">
        <v>11</v>
      </c>
      <c r="D33" s="21">
        <v>2012</v>
      </c>
      <c r="E33" s="21">
        <v>2017</v>
      </c>
      <c r="F33" s="24">
        <v>255750</v>
      </c>
      <c r="G33" s="24">
        <v>57150</v>
      </c>
      <c r="H33" s="24">
        <v>57150</v>
      </c>
      <c r="I33" s="24">
        <v>57150</v>
      </c>
      <c r="J33" s="24">
        <v>19050</v>
      </c>
      <c r="K33" s="24"/>
      <c r="L33" s="24"/>
      <c r="M33" s="22">
        <f>SUM(G33:J33)</f>
        <v>190500</v>
      </c>
      <c r="N33" s="52"/>
      <c r="O33" s="32"/>
      <c r="P33" s="11"/>
      <c r="Q33" s="11"/>
      <c r="R33" s="11"/>
      <c r="S33" s="11"/>
      <c r="T33" s="11"/>
    </row>
    <row r="34" spans="1:17" s="2" customFormat="1" ht="54" customHeight="1">
      <c r="A34" s="41" t="s">
        <v>32</v>
      </c>
      <c r="B34" s="28" t="s">
        <v>73</v>
      </c>
      <c r="C34" s="29" t="s">
        <v>11</v>
      </c>
      <c r="D34" s="21">
        <v>2012</v>
      </c>
      <c r="E34" s="21">
        <v>2015</v>
      </c>
      <c r="F34" s="24">
        <v>316421.19</v>
      </c>
      <c r="G34" s="24">
        <v>142817.76</v>
      </c>
      <c r="H34" s="24">
        <v>36345.27</v>
      </c>
      <c r="I34" s="24"/>
      <c r="J34" s="24"/>
      <c r="K34" s="24"/>
      <c r="L34" s="24"/>
      <c r="M34" s="22">
        <v>0</v>
      </c>
      <c r="N34" s="52"/>
      <c r="O34" s="32"/>
      <c r="P34" s="11"/>
      <c r="Q34" s="11"/>
    </row>
    <row r="35" spans="1:17" s="2" customFormat="1" ht="41.25" customHeight="1">
      <c r="A35" s="41" t="s">
        <v>33</v>
      </c>
      <c r="B35" s="28" t="s">
        <v>74</v>
      </c>
      <c r="C35" s="29" t="s">
        <v>11</v>
      </c>
      <c r="D35" s="21">
        <v>2012</v>
      </c>
      <c r="E35" s="21">
        <v>2015</v>
      </c>
      <c r="F35" s="24">
        <v>578894.58</v>
      </c>
      <c r="G35" s="24">
        <v>192964.86</v>
      </c>
      <c r="H35" s="24">
        <v>203702.76</v>
      </c>
      <c r="I35" s="24"/>
      <c r="J35" s="24"/>
      <c r="K35" s="24"/>
      <c r="L35" s="24"/>
      <c r="M35" s="22">
        <v>0</v>
      </c>
      <c r="N35" s="52"/>
      <c r="O35" s="32"/>
      <c r="Q35" s="11"/>
    </row>
    <row r="36" spans="1:18" s="2" customFormat="1" ht="248.25" customHeight="1">
      <c r="A36" s="41" t="s">
        <v>34</v>
      </c>
      <c r="B36" s="28" t="s">
        <v>75</v>
      </c>
      <c r="C36" s="29" t="s">
        <v>11</v>
      </c>
      <c r="D36" s="21">
        <v>2012</v>
      </c>
      <c r="E36" s="21">
        <v>2016</v>
      </c>
      <c r="F36" s="24">
        <v>667000</v>
      </c>
      <c r="G36" s="24">
        <v>170000</v>
      </c>
      <c r="H36" s="24">
        <v>185000</v>
      </c>
      <c r="I36" s="24">
        <v>190000</v>
      </c>
      <c r="J36" s="24"/>
      <c r="K36" s="24"/>
      <c r="L36" s="24"/>
      <c r="M36" s="22">
        <v>25669.4</v>
      </c>
      <c r="N36" s="52"/>
      <c r="O36" s="32"/>
      <c r="P36" s="11"/>
      <c r="Q36" s="11"/>
      <c r="R36" s="11"/>
    </row>
    <row r="37" spans="1:17" s="2" customFormat="1" ht="51" customHeight="1">
      <c r="A37" s="41" t="s">
        <v>35</v>
      </c>
      <c r="B37" s="28" t="s">
        <v>76</v>
      </c>
      <c r="C37" s="29" t="s">
        <v>11</v>
      </c>
      <c r="D37" s="21">
        <v>2013</v>
      </c>
      <c r="E37" s="21">
        <v>2015</v>
      </c>
      <c r="F37" s="24">
        <f>31230200-2000000</f>
        <v>29230200</v>
      </c>
      <c r="G37" s="24">
        <f>16000000-2000000</f>
        <v>14000000</v>
      </c>
      <c r="H37" s="24">
        <v>8000000</v>
      </c>
      <c r="I37" s="24"/>
      <c r="J37" s="24"/>
      <c r="K37" s="24"/>
      <c r="L37" s="24"/>
      <c r="M37" s="22">
        <f>24000000-2000000</f>
        <v>22000000</v>
      </c>
      <c r="N37" s="52"/>
      <c r="O37" s="32"/>
      <c r="Q37" s="11"/>
    </row>
    <row r="38" spans="1:18" s="2" customFormat="1" ht="152.25" customHeight="1">
      <c r="A38" s="41" t="s">
        <v>36</v>
      </c>
      <c r="B38" s="28" t="s">
        <v>77</v>
      </c>
      <c r="C38" s="29" t="s">
        <v>11</v>
      </c>
      <c r="D38" s="21">
        <v>2013</v>
      </c>
      <c r="E38" s="21">
        <v>2017</v>
      </c>
      <c r="F38" s="24">
        <v>80000</v>
      </c>
      <c r="G38" s="24">
        <v>14000</v>
      </c>
      <c r="H38" s="24">
        <v>16000</v>
      </c>
      <c r="I38" s="24">
        <v>18000</v>
      </c>
      <c r="J38" s="24">
        <v>20000</v>
      </c>
      <c r="K38" s="24"/>
      <c r="L38" s="24"/>
      <c r="M38" s="22">
        <v>17385.44</v>
      </c>
      <c r="N38" s="52"/>
      <c r="O38" s="32"/>
      <c r="R38" s="11"/>
    </row>
    <row r="39" spans="1:20" s="2" customFormat="1" ht="51" customHeight="1">
      <c r="A39" s="41" t="s">
        <v>37</v>
      </c>
      <c r="B39" s="28" t="s">
        <v>78</v>
      </c>
      <c r="C39" s="29" t="s">
        <v>11</v>
      </c>
      <c r="D39" s="21">
        <v>2013</v>
      </c>
      <c r="E39" s="21">
        <v>2016</v>
      </c>
      <c r="F39" s="24">
        <v>360000</v>
      </c>
      <c r="G39" s="24">
        <v>90000</v>
      </c>
      <c r="H39" s="24">
        <v>90000</v>
      </c>
      <c r="I39" s="24">
        <v>90000</v>
      </c>
      <c r="J39" s="24"/>
      <c r="K39" s="24"/>
      <c r="L39" s="24"/>
      <c r="M39" s="24">
        <v>270000</v>
      </c>
      <c r="N39" s="52"/>
      <c r="O39" s="32"/>
      <c r="R39" s="11"/>
      <c r="T39" s="11"/>
    </row>
    <row r="40" spans="1:20" s="2" customFormat="1" ht="65.25" customHeight="1">
      <c r="A40" s="41" t="s">
        <v>58</v>
      </c>
      <c r="B40" s="28" t="s">
        <v>60</v>
      </c>
      <c r="C40" s="29" t="s">
        <v>11</v>
      </c>
      <c r="D40" s="21">
        <v>2013</v>
      </c>
      <c r="E40" s="21">
        <v>2015</v>
      </c>
      <c r="F40" s="24">
        <v>2416501.67</v>
      </c>
      <c r="G40" s="24">
        <v>1146886.35</v>
      </c>
      <c r="H40" s="24">
        <v>1263415.32</v>
      </c>
      <c r="I40" s="24"/>
      <c r="J40" s="24"/>
      <c r="K40" s="24"/>
      <c r="L40" s="24"/>
      <c r="M40" s="24">
        <v>2410301.67</v>
      </c>
      <c r="N40" s="52"/>
      <c r="O40" s="32"/>
      <c r="Q40" s="11"/>
      <c r="T40" s="11"/>
    </row>
    <row r="41" spans="1:20" s="2" customFormat="1" ht="64.5" customHeight="1">
      <c r="A41" s="41" t="s">
        <v>38</v>
      </c>
      <c r="B41" s="28" t="s">
        <v>61</v>
      </c>
      <c r="C41" s="29" t="s">
        <v>11</v>
      </c>
      <c r="D41" s="21">
        <v>2013</v>
      </c>
      <c r="E41" s="21">
        <v>2015</v>
      </c>
      <c r="F41" s="24">
        <v>3700000</v>
      </c>
      <c r="G41" s="24">
        <v>1800000</v>
      </c>
      <c r="H41" s="24">
        <v>1900000</v>
      </c>
      <c r="I41" s="24"/>
      <c r="J41" s="24"/>
      <c r="K41" s="24"/>
      <c r="L41" s="24"/>
      <c r="M41" s="24">
        <v>3700000</v>
      </c>
      <c r="N41" s="52"/>
      <c r="O41" s="32"/>
      <c r="T41" s="11"/>
    </row>
    <row r="42" spans="1:20" s="27" customFormat="1" ht="102" customHeight="1">
      <c r="A42" s="51" t="s">
        <v>39</v>
      </c>
      <c r="B42" s="28" t="s">
        <v>84</v>
      </c>
      <c r="C42" s="29" t="s">
        <v>11</v>
      </c>
      <c r="D42" s="21">
        <v>2013</v>
      </c>
      <c r="E42" s="21">
        <v>2017</v>
      </c>
      <c r="F42" s="24">
        <v>3530000</v>
      </c>
      <c r="G42" s="24">
        <v>850000</v>
      </c>
      <c r="H42" s="24">
        <v>870000</v>
      </c>
      <c r="I42" s="24">
        <v>890000</v>
      </c>
      <c r="J42" s="24">
        <v>920000</v>
      </c>
      <c r="K42" s="24"/>
      <c r="L42" s="24"/>
      <c r="M42" s="24">
        <v>3530000</v>
      </c>
      <c r="N42" s="52"/>
      <c r="O42" s="31"/>
      <c r="T42" s="31"/>
    </row>
    <row r="43" spans="1:20" s="27" customFormat="1" ht="68.25" customHeight="1">
      <c r="A43" s="51" t="s">
        <v>40</v>
      </c>
      <c r="B43" s="28" t="s">
        <v>65</v>
      </c>
      <c r="C43" s="29" t="s">
        <v>11</v>
      </c>
      <c r="D43" s="21">
        <v>2013</v>
      </c>
      <c r="E43" s="21">
        <v>2015</v>
      </c>
      <c r="F43" s="24">
        <v>43522.5</v>
      </c>
      <c r="G43" s="24">
        <f>32287.5+678.6</f>
        <v>32966.1</v>
      </c>
      <c r="H43" s="24">
        <f>6172.5-678.6</f>
        <v>5493.9</v>
      </c>
      <c r="I43" s="24"/>
      <c r="J43" s="24"/>
      <c r="K43" s="24"/>
      <c r="L43" s="24"/>
      <c r="M43" s="24">
        <v>38460</v>
      </c>
      <c r="N43" s="52"/>
      <c r="O43" s="31"/>
      <c r="Q43" s="31"/>
      <c r="T43" s="31"/>
    </row>
    <row r="44" spans="1:20" s="27" customFormat="1" ht="36" customHeight="1">
      <c r="A44" s="51" t="s">
        <v>41</v>
      </c>
      <c r="B44" s="28" t="s">
        <v>79</v>
      </c>
      <c r="C44" s="29" t="s">
        <v>11</v>
      </c>
      <c r="D44" s="21">
        <v>2013</v>
      </c>
      <c r="E44" s="21">
        <v>2017</v>
      </c>
      <c r="F44" s="24">
        <f>4268734-37000-18000</f>
        <v>4213734</v>
      </c>
      <c r="G44" s="24">
        <f>1235473-37000</f>
        <v>1198473</v>
      </c>
      <c r="H44" s="24">
        <f>1272537-18000</f>
        <v>1254537</v>
      </c>
      <c r="I44" s="24">
        <v>1310713</v>
      </c>
      <c r="J44" s="24">
        <v>450011</v>
      </c>
      <c r="K44" s="24"/>
      <c r="L44" s="24"/>
      <c r="M44" s="24">
        <f>4268734-37000-18000</f>
        <v>4213734</v>
      </c>
      <c r="N44" s="52"/>
      <c r="O44" s="31"/>
      <c r="T44" s="31"/>
    </row>
    <row r="45" spans="1:20" s="27" customFormat="1" ht="54" customHeight="1">
      <c r="A45" s="51" t="s">
        <v>42</v>
      </c>
      <c r="B45" s="28" t="s">
        <v>80</v>
      </c>
      <c r="C45" s="29" t="s">
        <v>11</v>
      </c>
      <c r="D45" s="21">
        <v>2014</v>
      </c>
      <c r="E45" s="21">
        <v>2015</v>
      </c>
      <c r="F45" s="24">
        <v>46500</v>
      </c>
      <c r="G45" s="24">
        <v>34000</v>
      </c>
      <c r="H45" s="24">
        <v>12500</v>
      </c>
      <c r="I45" s="24"/>
      <c r="J45" s="24"/>
      <c r="K45" s="24"/>
      <c r="L45" s="24"/>
      <c r="M45" s="24">
        <f>SUM(G45:I45)</f>
        <v>46500</v>
      </c>
      <c r="N45" s="52"/>
      <c r="O45" s="31"/>
      <c r="T45" s="31"/>
    </row>
    <row r="46" spans="1:20" s="27" customFormat="1" ht="49.5" customHeight="1">
      <c r="A46" s="51" t="s">
        <v>43</v>
      </c>
      <c r="B46" s="28" t="s">
        <v>81</v>
      </c>
      <c r="C46" s="29" t="s">
        <v>11</v>
      </c>
      <c r="D46" s="21">
        <v>2013</v>
      </c>
      <c r="E46" s="21">
        <v>2015</v>
      </c>
      <c r="F46" s="24">
        <v>337500</v>
      </c>
      <c r="G46" s="24">
        <v>270000</v>
      </c>
      <c r="H46" s="24">
        <v>67500</v>
      </c>
      <c r="I46" s="24"/>
      <c r="J46" s="24"/>
      <c r="K46" s="24"/>
      <c r="L46" s="24"/>
      <c r="M46" s="24">
        <v>337500</v>
      </c>
      <c r="N46" s="52"/>
      <c r="O46" s="31"/>
      <c r="T46" s="31"/>
    </row>
    <row r="47" spans="1:20" s="27" customFormat="1" ht="72" customHeight="1">
      <c r="A47" s="51" t="s">
        <v>85</v>
      </c>
      <c r="B47" s="28" t="s">
        <v>86</v>
      </c>
      <c r="C47" s="29" t="s">
        <v>11</v>
      </c>
      <c r="D47" s="21">
        <v>2014</v>
      </c>
      <c r="E47" s="21">
        <v>2015</v>
      </c>
      <c r="F47" s="24">
        <f>SUM(G47:H47)</f>
        <v>1590902.1700000002</v>
      </c>
      <c r="G47" s="24">
        <v>206614.05</v>
      </c>
      <c r="H47" s="24">
        <f>1239684.28+144603.84</f>
        <v>1384288.12</v>
      </c>
      <c r="I47" s="24"/>
      <c r="J47" s="24"/>
      <c r="K47" s="24"/>
      <c r="L47" s="24"/>
      <c r="M47" s="24">
        <f>SUM(G47:J47)</f>
        <v>1590902.1700000002</v>
      </c>
      <c r="N47" s="52"/>
      <c r="O47" s="31"/>
      <c r="T47" s="31"/>
    </row>
    <row r="48" spans="1:20" s="27" customFormat="1" ht="92.25" customHeight="1">
      <c r="A48" s="51" t="s">
        <v>87</v>
      </c>
      <c r="B48" s="28" t="s">
        <v>88</v>
      </c>
      <c r="C48" s="29" t="s">
        <v>11</v>
      </c>
      <c r="D48" s="21">
        <v>2014</v>
      </c>
      <c r="E48" s="21">
        <v>2015</v>
      </c>
      <c r="F48" s="24">
        <f>SUM(G48:H48)</f>
        <v>55000</v>
      </c>
      <c r="G48" s="24">
        <v>37000</v>
      </c>
      <c r="H48" s="24">
        <v>18000</v>
      </c>
      <c r="I48" s="24"/>
      <c r="J48" s="24"/>
      <c r="K48" s="24"/>
      <c r="L48" s="24"/>
      <c r="M48" s="24">
        <v>55000</v>
      </c>
      <c r="N48" s="52"/>
      <c r="O48" s="31"/>
      <c r="T48" s="31"/>
    </row>
    <row r="49" spans="1:20" s="27" customFormat="1" ht="103.5" customHeight="1">
      <c r="A49" s="51" t="s">
        <v>101</v>
      </c>
      <c r="B49" s="28" t="s">
        <v>107</v>
      </c>
      <c r="C49" s="29" t="s">
        <v>11</v>
      </c>
      <c r="D49" s="21">
        <v>2014</v>
      </c>
      <c r="E49" s="21">
        <v>2015</v>
      </c>
      <c r="F49" s="24">
        <f>SUM(G49:H49)</f>
        <v>690000</v>
      </c>
      <c r="G49" s="24">
        <v>0</v>
      </c>
      <c r="H49" s="24">
        <v>690000</v>
      </c>
      <c r="I49" s="24"/>
      <c r="J49" s="24"/>
      <c r="K49" s="24"/>
      <c r="L49" s="24"/>
      <c r="M49" s="24">
        <f>SUM(G49:J49)</f>
        <v>690000</v>
      </c>
      <c r="N49" s="52"/>
      <c r="O49" s="31"/>
      <c r="T49" s="31"/>
    </row>
    <row r="50" spans="1:20" s="27" customFormat="1" ht="77.25" customHeight="1">
      <c r="A50" s="51" t="s">
        <v>102</v>
      </c>
      <c r="B50" s="28" t="s">
        <v>96</v>
      </c>
      <c r="C50" s="29" t="s">
        <v>11</v>
      </c>
      <c r="D50" s="21">
        <v>2014</v>
      </c>
      <c r="E50" s="21">
        <v>2015</v>
      </c>
      <c r="F50" s="24">
        <f>SUM(G50:H50)</f>
        <v>1910000</v>
      </c>
      <c r="G50" s="24">
        <v>1650000</v>
      </c>
      <c r="H50" s="24">
        <v>260000</v>
      </c>
      <c r="I50" s="24"/>
      <c r="J50" s="24"/>
      <c r="K50" s="24"/>
      <c r="L50" s="24"/>
      <c r="M50" s="24">
        <f>SUM(G50:J50)</f>
        <v>1910000</v>
      </c>
      <c r="N50" s="52"/>
      <c r="O50" s="31"/>
      <c r="T50" s="31"/>
    </row>
    <row r="51" spans="1:20" s="27" customFormat="1" ht="88.5" customHeight="1">
      <c r="A51" s="51" t="s">
        <v>108</v>
      </c>
      <c r="B51" s="28" t="s">
        <v>109</v>
      </c>
      <c r="C51" s="29" t="s">
        <v>110</v>
      </c>
      <c r="D51" s="21">
        <v>2014</v>
      </c>
      <c r="E51" s="21">
        <v>2015</v>
      </c>
      <c r="F51" s="24">
        <f>SUM(G51:H51)</f>
        <v>100000</v>
      </c>
      <c r="G51" s="24">
        <f>5880+76200</f>
        <v>82080</v>
      </c>
      <c r="H51" s="24">
        <v>17920</v>
      </c>
      <c r="I51" s="24"/>
      <c r="J51" s="24"/>
      <c r="K51" s="24"/>
      <c r="L51" s="24"/>
      <c r="M51" s="24">
        <f>SUM(G51:I51)</f>
        <v>100000</v>
      </c>
      <c r="N51" s="52"/>
      <c r="O51" s="31"/>
      <c r="T51" s="31"/>
    </row>
    <row r="52" spans="1:20" s="27" customFormat="1" ht="50.25" customHeight="1">
      <c r="A52" s="51" t="s">
        <v>113</v>
      </c>
      <c r="B52" s="28" t="s">
        <v>114</v>
      </c>
      <c r="C52" s="58" t="s">
        <v>11</v>
      </c>
      <c r="D52" s="21">
        <v>2014</v>
      </c>
      <c r="E52" s="21">
        <v>2019</v>
      </c>
      <c r="F52" s="24">
        <f>SUM(G52:L52)</f>
        <v>49815</v>
      </c>
      <c r="G52" s="24">
        <v>0</v>
      </c>
      <c r="H52" s="24">
        <v>9963</v>
      </c>
      <c r="I52" s="24">
        <v>9963</v>
      </c>
      <c r="J52" s="24">
        <v>9963</v>
      </c>
      <c r="K52" s="24">
        <v>9963</v>
      </c>
      <c r="L52" s="24">
        <v>9963</v>
      </c>
      <c r="M52" s="24">
        <f>SUM(G52:L52)</f>
        <v>49815</v>
      </c>
      <c r="N52" s="52"/>
      <c r="O52" s="31"/>
      <c r="T52" s="31"/>
    </row>
    <row r="53" spans="1:20" s="27" customFormat="1" ht="63" customHeight="1">
      <c r="A53" s="51" t="s">
        <v>115</v>
      </c>
      <c r="B53" s="28" t="s">
        <v>116</v>
      </c>
      <c r="C53" s="58" t="s">
        <v>11</v>
      </c>
      <c r="D53" s="21">
        <v>2014</v>
      </c>
      <c r="E53" s="21">
        <v>2017</v>
      </c>
      <c r="F53" s="24">
        <f>SUM(G53:J53)</f>
        <v>357300</v>
      </c>
      <c r="G53" s="24">
        <v>87300</v>
      </c>
      <c r="H53" s="24">
        <v>90000</v>
      </c>
      <c r="I53" s="24">
        <v>90000</v>
      </c>
      <c r="J53" s="24">
        <v>90000</v>
      </c>
      <c r="K53" s="24"/>
      <c r="L53" s="24"/>
      <c r="M53" s="24">
        <f>SUM(G53:K53)</f>
        <v>357300</v>
      </c>
      <c r="N53" s="52"/>
      <c r="O53" s="31"/>
      <c r="T53" s="31"/>
    </row>
    <row r="54" spans="1:16" s="2" customFormat="1" ht="19.5" customHeight="1">
      <c r="A54" s="43" t="s">
        <v>44</v>
      </c>
      <c r="B54" s="44" t="s">
        <v>23</v>
      </c>
      <c r="C54" s="29"/>
      <c r="D54" s="21"/>
      <c r="E54" s="21"/>
      <c r="F54" s="24">
        <f aca="true" t="shared" si="9" ref="F54:M54">SUM(F55:F64)</f>
        <v>32286982</v>
      </c>
      <c r="G54" s="24">
        <f t="shared" si="9"/>
        <v>5207964</v>
      </c>
      <c r="H54" s="24">
        <f t="shared" si="9"/>
        <v>19334018</v>
      </c>
      <c r="I54" s="24">
        <f t="shared" si="9"/>
        <v>7635000</v>
      </c>
      <c r="J54" s="24">
        <f t="shared" si="9"/>
        <v>0</v>
      </c>
      <c r="K54" s="24">
        <f t="shared" si="9"/>
        <v>0</v>
      </c>
      <c r="L54" s="24">
        <f t="shared" si="9"/>
        <v>0</v>
      </c>
      <c r="M54" s="24">
        <f t="shared" si="9"/>
        <v>32176982</v>
      </c>
      <c r="N54" s="52"/>
      <c r="O54" s="32"/>
      <c r="P54" s="11"/>
    </row>
    <row r="55" spans="1:20" s="2" customFormat="1" ht="39" customHeight="1">
      <c r="A55" s="41" t="s">
        <v>45</v>
      </c>
      <c r="B55" s="67" t="s">
        <v>82</v>
      </c>
      <c r="C55" s="29" t="s">
        <v>11</v>
      </c>
      <c r="D55" s="21">
        <v>2013</v>
      </c>
      <c r="E55" s="21">
        <v>2016</v>
      </c>
      <c r="F55" s="68">
        <f>465000+37000+451982</f>
        <v>953982</v>
      </c>
      <c r="G55" s="24">
        <v>110000</v>
      </c>
      <c r="H55" s="68">
        <f>110000+37000+451982</f>
        <v>598982</v>
      </c>
      <c r="I55" s="24">
        <f>110000+25000</f>
        <v>135000</v>
      </c>
      <c r="J55" s="24"/>
      <c r="K55" s="24"/>
      <c r="L55" s="24"/>
      <c r="M55" s="68">
        <f>G55+H55+I55</f>
        <v>843982</v>
      </c>
      <c r="N55" s="52"/>
      <c r="O55" s="32"/>
      <c r="R55" s="11"/>
      <c r="T55" s="11"/>
    </row>
    <row r="56" spans="1:14" ht="63.75">
      <c r="A56" s="57" t="s">
        <v>59</v>
      </c>
      <c r="B56" s="63" t="s">
        <v>83</v>
      </c>
      <c r="C56" s="58" t="s">
        <v>11</v>
      </c>
      <c r="D56" s="59">
        <v>2013</v>
      </c>
      <c r="E56" s="64">
        <v>2015</v>
      </c>
      <c r="F56" s="60">
        <f>SUM(G56:H56)</f>
        <v>8040000</v>
      </c>
      <c r="G56" s="60">
        <f>328000+3892000</f>
        <v>4220000</v>
      </c>
      <c r="H56" s="60">
        <f>328000+3492000</f>
        <v>3820000</v>
      </c>
      <c r="I56" s="60"/>
      <c r="J56" s="60"/>
      <c r="K56" s="60"/>
      <c r="L56" s="60"/>
      <c r="M56" s="60">
        <f aca="true" t="shared" si="10" ref="M56:M64">SUM(G56:J56)</f>
        <v>8040000</v>
      </c>
      <c r="N56" s="52"/>
    </row>
    <row r="57" spans="1:13" ht="102" customHeight="1">
      <c r="A57" s="41" t="s">
        <v>90</v>
      </c>
      <c r="B57" s="20" t="s">
        <v>93</v>
      </c>
      <c r="C57" s="29" t="s">
        <v>11</v>
      </c>
      <c r="D57" s="21">
        <v>2014</v>
      </c>
      <c r="E57" s="49">
        <v>2015</v>
      </c>
      <c r="F57" s="22">
        <f>SUM(G57:H57)</f>
        <v>72000</v>
      </c>
      <c r="G57" s="22">
        <v>0</v>
      </c>
      <c r="H57" s="22">
        <v>72000</v>
      </c>
      <c r="I57" s="61"/>
      <c r="J57" s="62"/>
      <c r="K57" s="62"/>
      <c r="L57" s="62"/>
      <c r="M57" s="22">
        <f t="shared" si="10"/>
        <v>72000</v>
      </c>
    </row>
    <row r="58" spans="1:13" ht="76.5" customHeight="1">
      <c r="A58" s="41" t="s">
        <v>89</v>
      </c>
      <c r="B58" s="20" t="s">
        <v>94</v>
      </c>
      <c r="C58" s="29" t="s">
        <v>11</v>
      </c>
      <c r="D58" s="21">
        <v>2014</v>
      </c>
      <c r="E58" s="49">
        <v>2015</v>
      </c>
      <c r="F58" s="22">
        <f>SUM(G58:H58)</f>
        <v>36000</v>
      </c>
      <c r="G58" s="22">
        <v>0</v>
      </c>
      <c r="H58" s="22">
        <v>36000</v>
      </c>
      <c r="I58" s="61"/>
      <c r="J58" s="62"/>
      <c r="K58" s="62"/>
      <c r="L58" s="62"/>
      <c r="M58" s="22">
        <f t="shared" si="10"/>
        <v>36000</v>
      </c>
    </row>
    <row r="59" spans="1:13" ht="54" customHeight="1">
      <c r="A59" s="41" t="s">
        <v>91</v>
      </c>
      <c r="B59" s="69" t="s">
        <v>100</v>
      </c>
      <c r="C59" s="29" t="s">
        <v>11</v>
      </c>
      <c r="D59" s="21">
        <v>2014</v>
      </c>
      <c r="E59" s="49">
        <v>2016</v>
      </c>
      <c r="F59" s="22">
        <f>SUM(G59:I59)</f>
        <v>17005000</v>
      </c>
      <c r="G59" s="70">
        <f>505000-500000</f>
        <v>5000</v>
      </c>
      <c r="H59" s="70">
        <f>9000000+500000</f>
        <v>9500000</v>
      </c>
      <c r="I59" s="22">
        <v>7500000</v>
      </c>
      <c r="J59" s="62"/>
      <c r="K59" s="62"/>
      <c r="L59" s="62"/>
      <c r="M59" s="22">
        <f t="shared" si="10"/>
        <v>17005000</v>
      </c>
    </row>
    <row r="60" spans="1:13" ht="36" customHeight="1">
      <c r="A60" s="41" t="s">
        <v>103</v>
      </c>
      <c r="B60" s="20" t="s">
        <v>99</v>
      </c>
      <c r="C60" s="29" t="s">
        <v>11</v>
      </c>
      <c r="D60" s="21">
        <v>2014</v>
      </c>
      <c r="E60" s="49">
        <v>2015</v>
      </c>
      <c r="F60" s="22">
        <f>SUM(G60:H60)</f>
        <v>1460000</v>
      </c>
      <c r="G60" s="22">
        <v>220000</v>
      </c>
      <c r="H60" s="22">
        <v>1240000</v>
      </c>
      <c r="I60" s="61"/>
      <c r="J60" s="62"/>
      <c r="K60" s="62"/>
      <c r="L60" s="62"/>
      <c r="M60" s="22">
        <f t="shared" si="10"/>
        <v>1460000</v>
      </c>
    </row>
    <row r="61" spans="1:13" ht="91.5" customHeight="1">
      <c r="A61" s="41" t="s">
        <v>104</v>
      </c>
      <c r="B61" s="69" t="s">
        <v>98</v>
      </c>
      <c r="C61" s="29" t="s">
        <v>11</v>
      </c>
      <c r="D61" s="21">
        <v>2014</v>
      </c>
      <c r="E61" s="49">
        <v>2015</v>
      </c>
      <c r="F61" s="22">
        <f>SUM(G61:H61)</f>
        <v>2300000</v>
      </c>
      <c r="G61" s="70">
        <f>220000-187036</f>
        <v>32964</v>
      </c>
      <c r="H61" s="70">
        <f>2080000+187036</f>
        <v>2267036</v>
      </c>
      <c r="I61" s="61"/>
      <c r="J61" s="62"/>
      <c r="K61" s="62"/>
      <c r="L61" s="62"/>
      <c r="M61" s="22">
        <f t="shared" si="10"/>
        <v>2300000</v>
      </c>
    </row>
    <row r="62" spans="1:13" ht="50.25" customHeight="1">
      <c r="A62" s="41" t="s">
        <v>105</v>
      </c>
      <c r="B62" s="20" t="s">
        <v>97</v>
      </c>
      <c r="C62" s="29" t="s">
        <v>11</v>
      </c>
      <c r="D62" s="21">
        <v>2014</v>
      </c>
      <c r="E62" s="49">
        <v>2015</v>
      </c>
      <c r="F62" s="22">
        <f>SUM(G62:H62)</f>
        <v>900000</v>
      </c>
      <c r="G62" s="22">
        <v>220000</v>
      </c>
      <c r="H62" s="22">
        <v>680000</v>
      </c>
      <c r="I62" s="61"/>
      <c r="J62" s="62"/>
      <c r="K62" s="62"/>
      <c r="L62" s="62"/>
      <c r="M62" s="22">
        <f t="shared" si="10"/>
        <v>900000</v>
      </c>
    </row>
    <row r="63" spans="1:13" ht="99.75" customHeight="1">
      <c r="A63" s="41" t="s">
        <v>106</v>
      </c>
      <c r="B63" s="20" t="s">
        <v>92</v>
      </c>
      <c r="C63" s="29" t="s">
        <v>11</v>
      </c>
      <c r="D63" s="21">
        <v>2014</v>
      </c>
      <c r="E63" s="49">
        <v>2015</v>
      </c>
      <c r="F63" s="22">
        <f>SUM(G63:H63)</f>
        <v>20000</v>
      </c>
      <c r="G63" s="22">
        <v>0</v>
      </c>
      <c r="H63" s="22">
        <v>20000</v>
      </c>
      <c r="I63" s="61"/>
      <c r="J63" s="62"/>
      <c r="K63" s="62"/>
      <c r="L63" s="62"/>
      <c r="M63" s="22">
        <f t="shared" si="10"/>
        <v>20000</v>
      </c>
    </row>
    <row r="64" spans="1:13" ht="48.75" customHeight="1">
      <c r="A64" s="41" t="s">
        <v>112</v>
      </c>
      <c r="B64" s="20" t="s">
        <v>111</v>
      </c>
      <c r="C64" s="29" t="s">
        <v>11</v>
      </c>
      <c r="D64" s="21">
        <v>2014</v>
      </c>
      <c r="E64" s="49">
        <v>2015</v>
      </c>
      <c r="F64" s="22">
        <f>SUM(G64:H64)</f>
        <v>1500000</v>
      </c>
      <c r="G64" s="22">
        <v>400000</v>
      </c>
      <c r="H64" s="22">
        <v>1100000</v>
      </c>
      <c r="I64" s="22"/>
      <c r="J64" s="56"/>
      <c r="K64" s="56"/>
      <c r="L64" s="56"/>
      <c r="M64" s="22">
        <f t="shared" si="10"/>
        <v>1500000</v>
      </c>
    </row>
    <row r="65" spans="1:13" ht="13.5">
      <c r="A65" s="42"/>
      <c r="B65" s="4"/>
      <c r="C65" s="33"/>
      <c r="D65" s="6"/>
      <c r="E65" s="7"/>
      <c r="F65" s="12"/>
      <c r="G65" s="53"/>
      <c r="H65" s="12"/>
      <c r="I65" s="12"/>
      <c r="J65" s="8"/>
      <c r="K65" s="8"/>
      <c r="L65" s="8"/>
      <c r="M65" s="9"/>
    </row>
    <row r="66" spans="1:13" ht="13.5">
      <c r="A66" s="42"/>
      <c r="B66" s="4"/>
      <c r="C66" s="33"/>
      <c r="D66" s="6"/>
      <c r="E66" s="7"/>
      <c r="F66" s="12"/>
      <c r="G66" s="12"/>
      <c r="H66" s="12"/>
      <c r="I66" s="12"/>
      <c r="J66" s="8"/>
      <c r="K66" s="8"/>
      <c r="L66" s="8"/>
      <c r="M66" s="9"/>
    </row>
    <row r="67" spans="1:13" ht="13.5">
      <c r="A67" s="42"/>
      <c r="B67" s="4"/>
      <c r="C67" s="33"/>
      <c r="D67" s="6"/>
      <c r="E67" s="7"/>
      <c r="F67" s="12"/>
      <c r="G67" s="12"/>
      <c r="H67" s="12"/>
      <c r="I67" s="12"/>
      <c r="J67" s="8"/>
      <c r="K67" s="8"/>
      <c r="L67" s="8"/>
      <c r="M67" s="9"/>
    </row>
    <row r="68" spans="1:13" ht="13.5">
      <c r="A68" s="42"/>
      <c r="B68" s="4"/>
      <c r="C68" s="33"/>
      <c r="D68" s="6"/>
      <c r="E68" s="7"/>
      <c r="F68" s="12"/>
      <c r="G68" s="12"/>
      <c r="H68" s="12"/>
      <c r="I68" s="12"/>
      <c r="J68" s="8"/>
      <c r="K68" s="8"/>
      <c r="L68" s="8"/>
      <c r="M68" s="9"/>
    </row>
    <row r="69" spans="1:13" ht="13.5">
      <c r="A69" s="42"/>
      <c r="B69" s="4"/>
      <c r="C69" s="33"/>
      <c r="D69" s="6"/>
      <c r="E69" s="7"/>
      <c r="F69" s="12"/>
      <c r="G69" s="12"/>
      <c r="H69" s="12"/>
      <c r="I69" s="12"/>
      <c r="J69" s="8"/>
      <c r="K69" s="8"/>
      <c r="L69" s="8"/>
      <c r="M69" s="9"/>
    </row>
    <row r="70" spans="1:13" ht="13.5">
      <c r="A70" s="42"/>
      <c r="B70" s="4"/>
      <c r="C70" s="33"/>
      <c r="D70" s="6"/>
      <c r="E70" s="7"/>
      <c r="F70" s="54"/>
      <c r="G70" s="54"/>
      <c r="H70" s="12"/>
      <c r="I70" s="54"/>
      <c r="J70" s="8"/>
      <c r="K70" s="8"/>
      <c r="L70" s="8"/>
      <c r="M70" s="9"/>
    </row>
    <row r="71" spans="1:13" ht="13.5">
      <c r="A71" s="42"/>
      <c r="B71" s="4"/>
      <c r="C71" s="33"/>
      <c r="D71" s="6"/>
      <c r="E71" s="7"/>
      <c r="F71" s="12"/>
      <c r="G71" s="12"/>
      <c r="H71" s="12"/>
      <c r="I71" s="12"/>
      <c r="J71" s="8"/>
      <c r="K71" s="8"/>
      <c r="L71" s="8"/>
      <c r="M71" s="9"/>
    </row>
    <row r="72" spans="1:13" ht="13.5">
      <c r="A72" s="42"/>
      <c r="B72" s="4"/>
      <c r="C72" s="33"/>
      <c r="D72" s="6"/>
      <c r="E72" s="7"/>
      <c r="F72" s="12"/>
      <c r="G72" s="12"/>
      <c r="H72" s="12"/>
      <c r="I72" s="12"/>
      <c r="J72" s="8"/>
      <c r="K72" s="8"/>
      <c r="L72" s="8"/>
      <c r="M72" s="9"/>
    </row>
    <row r="73" spans="1:13" ht="13.5">
      <c r="A73" s="42"/>
      <c r="B73" s="4"/>
      <c r="C73" s="33"/>
      <c r="D73" s="6"/>
      <c r="E73" s="7"/>
      <c r="F73" s="12"/>
      <c r="G73" s="8"/>
      <c r="H73" s="8"/>
      <c r="I73" s="54"/>
      <c r="J73" s="8"/>
      <c r="K73" s="8"/>
      <c r="L73" s="8"/>
      <c r="M73" s="9"/>
    </row>
    <row r="74" spans="1:13" ht="13.5">
      <c r="A74" s="42"/>
      <c r="B74" s="4"/>
      <c r="C74" s="33"/>
      <c r="D74" s="6"/>
      <c r="E74" s="7"/>
      <c r="F74" s="12"/>
      <c r="G74" s="8"/>
      <c r="H74" s="8"/>
      <c r="I74" s="8"/>
      <c r="J74" s="8"/>
      <c r="K74" s="8"/>
      <c r="L74" s="8"/>
      <c r="M74" s="9"/>
    </row>
    <row r="75" spans="1:13" ht="13.5">
      <c r="A75" s="42"/>
      <c r="B75" s="4"/>
      <c r="C75" s="5"/>
      <c r="D75" s="6"/>
      <c r="E75" s="7"/>
      <c r="F75" s="12"/>
      <c r="G75" s="8"/>
      <c r="H75" s="8"/>
      <c r="I75" s="8"/>
      <c r="J75" s="8"/>
      <c r="K75" s="8"/>
      <c r="L75" s="8"/>
      <c r="M75" s="9"/>
    </row>
    <row r="76" spans="1:13" ht="13.5">
      <c r="A76" s="42"/>
      <c r="B76" s="4"/>
      <c r="C76" s="5"/>
      <c r="D76" s="6"/>
      <c r="E76" s="7"/>
      <c r="F76" s="12"/>
      <c r="G76" s="8"/>
      <c r="H76" s="8"/>
      <c r="I76" s="8"/>
      <c r="J76" s="8"/>
      <c r="K76" s="8"/>
      <c r="L76" s="8"/>
      <c r="M76" s="9"/>
    </row>
    <row r="77" ht="12.75">
      <c r="F77" s="13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 s="50"/>
    </row>
    <row r="201" ht="12.75">
      <c r="A201" s="50"/>
    </row>
    <row r="202" ht="12.75">
      <c r="A202" s="50"/>
    </row>
    <row r="203" ht="12.75">
      <c r="A203" s="50"/>
    </row>
    <row r="204" ht="12.75">
      <c r="A204" s="50"/>
    </row>
    <row r="205" ht="12.75">
      <c r="A205" s="50"/>
    </row>
    <row r="206" ht="12.75">
      <c r="A206" s="50"/>
    </row>
    <row r="207" ht="12.75">
      <c r="A207" s="50"/>
    </row>
    <row r="208" ht="12.75">
      <c r="A208" s="50"/>
    </row>
    <row r="209" ht="12.75">
      <c r="A209" s="50"/>
    </row>
    <row r="210" ht="12.75">
      <c r="A210" s="50"/>
    </row>
    <row r="211" ht="12.75">
      <c r="A211" s="50"/>
    </row>
    <row r="212" ht="12.75">
      <c r="A212" s="50"/>
    </row>
    <row r="213" ht="12.75">
      <c r="A213" s="50"/>
    </row>
    <row r="214" ht="12.75">
      <c r="A214" s="50"/>
    </row>
    <row r="215" ht="12.75">
      <c r="A215" s="50"/>
    </row>
    <row r="216" ht="12.75">
      <c r="A216" s="50"/>
    </row>
    <row r="217" ht="12.75">
      <c r="A217" s="50"/>
    </row>
    <row r="218" ht="12.75">
      <c r="A218" s="50"/>
    </row>
    <row r="219" ht="12.75">
      <c r="A219" s="50"/>
    </row>
    <row r="220" ht="12.75">
      <c r="A220" s="50"/>
    </row>
    <row r="221" ht="12.75">
      <c r="A221" s="50"/>
    </row>
    <row r="222" ht="12.75">
      <c r="A222" s="50"/>
    </row>
    <row r="223" ht="12.75">
      <c r="A223" s="50"/>
    </row>
    <row r="224" ht="12.75">
      <c r="A224" s="50"/>
    </row>
    <row r="225" ht="12.75">
      <c r="A225" s="50"/>
    </row>
    <row r="226" ht="12.75">
      <c r="A226" s="50"/>
    </row>
    <row r="227" ht="12.75">
      <c r="A227" s="50"/>
    </row>
    <row r="270" ht="12.75">
      <c r="A270" s="50"/>
    </row>
    <row r="271" ht="12.75">
      <c r="A271" s="50"/>
    </row>
    <row r="272" ht="12.75">
      <c r="A272" s="50"/>
    </row>
    <row r="273" ht="12.75">
      <c r="A273" s="50"/>
    </row>
    <row r="274" ht="12.75">
      <c r="A274" s="50"/>
    </row>
    <row r="275" ht="12.75">
      <c r="A275" s="50"/>
    </row>
    <row r="276" ht="12.75">
      <c r="A276" s="50"/>
    </row>
    <row r="277" ht="12.75">
      <c r="A277" s="50"/>
    </row>
    <row r="278" ht="12.75">
      <c r="A278" s="50"/>
    </row>
    <row r="279" ht="12.75">
      <c r="A279" s="50"/>
    </row>
    <row r="280" ht="12.75">
      <c r="A280" s="50"/>
    </row>
    <row r="281" ht="12.75">
      <c r="A281" s="50"/>
    </row>
    <row r="282" ht="12.75">
      <c r="A282" s="50"/>
    </row>
    <row r="283" ht="12.75">
      <c r="A283" s="50"/>
    </row>
    <row r="284" ht="12.75">
      <c r="A284" s="50"/>
    </row>
    <row r="285" ht="12.75">
      <c r="A285" s="50"/>
    </row>
    <row r="286" ht="12.75">
      <c r="A286" s="50"/>
    </row>
    <row r="287" ht="12.75">
      <c r="A287" s="50"/>
    </row>
    <row r="288" ht="12.75">
      <c r="A288" s="50"/>
    </row>
    <row r="289" ht="12.75">
      <c r="A289" s="50"/>
    </row>
    <row r="290" ht="12.75">
      <c r="A290" s="50"/>
    </row>
    <row r="291" ht="12.75">
      <c r="A291" s="50"/>
    </row>
    <row r="292" ht="12.75">
      <c r="A292" s="50"/>
    </row>
    <row r="293" ht="12.75">
      <c r="A293" s="50"/>
    </row>
    <row r="294" ht="12.75">
      <c r="A294" s="50"/>
    </row>
    <row r="295" ht="12.75">
      <c r="A295" s="50"/>
    </row>
    <row r="296" ht="12.75">
      <c r="A296" s="50"/>
    </row>
    <row r="297" ht="12.75">
      <c r="A297" s="50"/>
    </row>
    <row r="298" ht="12.75">
      <c r="A298" s="50"/>
    </row>
    <row r="299" ht="12.75">
      <c r="A299" s="50"/>
    </row>
    <row r="300" ht="12.75">
      <c r="A300" s="50"/>
    </row>
    <row r="301" ht="12.75">
      <c r="A301" s="50"/>
    </row>
    <row r="302" ht="12.75">
      <c r="A302" s="50"/>
    </row>
    <row r="303" ht="12.75">
      <c r="A303" s="50"/>
    </row>
    <row r="304" ht="12.75">
      <c r="A304" s="50"/>
    </row>
    <row r="305" ht="12.75">
      <c r="A305" s="50"/>
    </row>
    <row r="306" ht="12.75">
      <c r="A306" s="50"/>
    </row>
    <row r="307" ht="12.75">
      <c r="A307" s="50"/>
    </row>
    <row r="308" ht="12.75">
      <c r="A308" s="50"/>
    </row>
    <row r="309" ht="12.75">
      <c r="A309" s="50"/>
    </row>
    <row r="310" ht="12.75">
      <c r="A310" s="50"/>
    </row>
    <row r="311" ht="12.75">
      <c r="A311" s="50"/>
    </row>
    <row r="312" ht="12.75">
      <c r="A312" s="50"/>
    </row>
    <row r="313" ht="12.75">
      <c r="A313" s="50"/>
    </row>
  </sheetData>
  <sheetProtection/>
  <mergeCells count="19">
    <mergeCell ref="B31:E31"/>
    <mergeCell ref="B27:E27"/>
    <mergeCell ref="B28:E28"/>
    <mergeCell ref="B29:E29"/>
    <mergeCell ref="B30:E30"/>
    <mergeCell ref="A8:A10"/>
    <mergeCell ref="B8:B10"/>
    <mergeCell ref="C8:C10"/>
    <mergeCell ref="D8:E8"/>
    <mergeCell ref="D9:E9"/>
    <mergeCell ref="B14:E14"/>
    <mergeCell ref="B16:E16"/>
    <mergeCell ref="B15:E15"/>
    <mergeCell ref="B13:E13"/>
    <mergeCell ref="M8:M10"/>
    <mergeCell ref="G9:J9"/>
    <mergeCell ref="F8:F10"/>
    <mergeCell ref="G8:J8"/>
    <mergeCell ref="B12:E12"/>
  </mergeCells>
  <hyperlinks>
    <hyperlink ref="M8" r:id="rId1" display="_ftn1"/>
  </hyperlinks>
  <printOptions/>
  <pageMargins left="0.07874015748031496" right="0.07874015748031496" top="0.3937007874015748" bottom="0.5905511811023623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mmichnicka</cp:lastModifiedBy>
  <cp:lastPrinted>2014-06-17T11:07:51Z</cp:lastPrinted>
  <dcterms:created xsi:type="dcterms:W3CDTF">2010-09-24T07:39:40Z</dcterms:created>
  <dcterms:modified xsi:type="dcterms:W3CDTF">2014-07-15T11:36:46Z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