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601" activeTab="0"/>
  </bookViews>
  <sheets>
    <sheet name=" Proj Uch. RM nr   21.08. 2014." sheetId="1" r:id="rId1"/>
    <sheet name="Zał. nr 1" sheetId="2" r:id="rId2"/>
    <sheet name="Zał. nr 2" sheetId="3" r:id="rId3"/>
    <sheet name="Zał. nr 3" sheetId="4" r:id="rId4"/>
    <sheet name="Wolny" sheetId="5" r:id="rId5"/>
  </sheets>
  <definedNames>
    <definedName name="_xlnm.Print_Titles" localSheetId="1">'Zał. nr 1'!$11:$13</definedName>
    <definedName name="_xlnm.Print_Titles" localSheetId="2">'Zał. nr 2'!$12:$12</definedName>
    <definedName name="_xlnm.Print_Titles" localSheetId="3">'Zał. nr 3'!$11:$11</definedName>
  </definedNames>
  <calcPr fullCalcOnLoad="1"/>
</workbook>
</file>

<file path=xl/sharedStrings.xml><?xml version="1.0" encoding="utf-8"?>
<sst xmlns="http://schemas.openxmlformats.org/spreadsheetml/2006/main" count="656" uniqueCount="455">
  <si>
    <t>prowadzenie Punktu Konsultacyjnego dla osób i rodzin dotkniętych problemem narkotykowym</t>
  </si>
  <si>
    <t>prowadzenie świetlic środowiskowych z dożywianiem</t>
  </si>
  <si>
    <t>realizacja programu zapobiegania i przeciwdziałania przemocy w rodzinie "Bezpieczeństwo w rodzinie" i "Dzieciństwo bez przemocy" w ramach Niebieskich Kart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</si>
  <si>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</si>
  <si>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</si>
  <si>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</si>
  <si>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prowadzenie środowiskowych ognisk wychowawczych</t>
  </si>
  <si>
    <t>prowadzenie świetlic socjoterapeutycznych</t>
  </si>
  <si>
    <t>realizacja programu pomocy żywnościowej dla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</si>
  <si>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</si>
  <si>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</si>
  <si>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</si>
  <si>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</si>
  <si>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realizacja zadania pn. "Klub wsparcia rodziny z dzieckiem z niepełnosprawnością"</t>
  </si>
  <si>
    <t>dotacja celowa dla prywatnych żłobków</t>
  </si>
  <si>
    <t>dotacja celowa dla 2 klubów dziecięcych</t>
  </si>
  <si>
    <t>dotacja celowa dla niepublicznego klubu dziecięcego</t>
  </si>
  <si>
    <t>Wspieranie realizacji zadań organizacji pozarządowych</t>
  </si>
  <si>
    <t xml:space="preserve">„PI  Wsparcie rozwoju narzędzi związanych z kontraktowaniem usług społecznych w Koninie” w ramach programu POKL (dotacja celowa)  </t>
  </si>
  <si>
    <t>"Jesteś przedsiębiorczy! Zacznij działać już dziś w Koninie"w ramach programu POKL (dotacja celowa)</t>
  </si>
  <si>
    <t>Gospodarka komunalna                         i ochrona środowiska</t>
  </si>
  <si>
    <t>organizacja ochrony przed bezdomnymi zwierzętami art. 3 ust. 2 pkt 5 ustawy z dnia 13 września 1996 r. o utrzymaniu czystości i porządku w gminach oraz art. 11 a ustawy o ochronie zwierząt z dnia 16 września 2011 r.</t>
  </si>
  <si>
    <t>budowa przyłączy kanalizacyjnych i przyłączenie nieruchomości do miejskiej sieci kanalizacyjnej</t>
  </si>
  <si>
    <t>prace konserwatorsko-renowacyjne przy ambonie z kościoła Franciszkanów - Klasztor Franciszkanów (OFM)</t>
  </si>
  <si>
    <t xml:space="preserve">prace konserwatorskie obrazu Św. Rocha z wyposażenia kościoła parafii Rzymskokatolickiej p.w. św.Wojciecha w Koninie </t>
  </si>
  <si>
    <t>organizacja imprez kulturalnych dla mieszkańców m. Konina</t>
  </si>
  <si>
    <t>organizacja koncertów z cyklu Muzyka w Ratuszu - Prezydent zaprasza</t>
  </si>
  <si>
    <t xml:space="preserve">Kultura fizyczna  </t>
  </si>
  <si>
    <t>szkolenie uzdolnionych sportowo w: szermierce, kolarstwie, piłce nożnej kobiet, piłce nożnej mężczyzn, koszykówce, pięściarstwie, tenisie stołowym, szachach, tenisie ziemnym, piłce ręcznej, piłce siatkowej, judo, sportach szybowcowych i samolotowych i innych</t>
  </si>
  <si>
    <t>szkolenie uzdolnionych sportowo w wybranych dyscyplinach sportowych</t>
  </si>
  <si>
    <t>organizacja imprez sportowo-rekreacyjnych dla mieszkańców Konina</t>
  </si>
  <si>
    <t>organizacja imprez sportowych dla osób niepełnosprawnych</t>
  </si>
  <si>
    <t>dotacja dla niepublicznego liceum ogólnokształcącego rozdz. 80120</t>
  </si>
  <si>
    <t>5. W Załączniku Nr 2 do uchwały budżetowej dokonuje się następujących zmian:</t>
  </si>
  <si>
    <t xml:space="preserve">                                                                               § 3</t>
  </si>
  <si>
    <t>dotacja dla publicznego liceum ogólnokształcącego rozdz. 80120</t>
  </si>
  <si>
    <t>dotacja dla niepublicznego liceum profilowanego rozdz. 80123</t>
  </si>
  <si>
    <t>dotacja dla niepublicznej szkoły zawodowej rozdz. 80130</t>
  </si>
  <si>
    <t>prowadzenie warsztatów terapii zajęciowej, rehabilitacja zawodowa i społeczna</t>
  </si>
  <si>
    <t xml:space="preserve">dotacja dla niepublicznego specjalnego ośrodka szkolno-wychowawczego rozdz. 85403 </t>
  </si>
  <si>
    <t>promocja turystyczna miasta Konina oraz udzielanie o nim informacji turystycznej</t>
  </si>
  <si>
    <t>organizacja imprez turystycznych dla mieszkańców Konina</t>
  </si>
  <si>
    <t>zapewnienie bezpieczeństwa osobom przebywającym nad wodami</t>
  </si>
  <si>
    <t>prowadzenie placówki opiekuńczo - wychowawczej typu rodzinnego -  Rodzinny Dom Dziecka</t>
  </si>
  <si>
    <t xml:space="preserve">na realizację  programów korekcyjno-edukacyjnych dla sprawców przemocy  w rodzinie 
</t>
  </si>
  <si>
    <t>działalność na rzecz rozwoju gospodarczego wspierającego lokalny rynek pracy</t>
  </si>
  <si>
    <t>Nr 812 Rady Miasta Konina z dnia 28 maja 2014 r.; Nr 59/2014 Prezydenta Miasta Konina z dnia 5 czerwca 2014 r.;</t>
  </si>
  <si>
    <r>
      <t xml:space="preserve">  </t>
    </r>
    <r>
      <rPr>
        <b/>
        <i/>
        <sz val="12"/>
        <rFont val="Times New Roman"/>
        <family val="1"/>
      </rPr>
      <t>- wprowadza się następujące zmiany:</t>
    </r>
  </si>
  <si>
    <r>
      <rPr>
        <sz val="12"/>
        <rFont val="Times New Roman"/>
        <family val="1"/>
      </rPr>
      <t>Rady Miasta Konina z dnia 26 marca 2014 r.;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Nr 37/2014 Prezydenta Miasta Konina z dnia 27 marca 2014 r.;</t>
    </r>
  </si>
  <si>
    <t>Nr 40/2014 Prezydenta Miasta Konina z dnia 11 kwietnia 2014 r.; Nr 42/2014 Prezydenta Miasta Konina</t>
  </si>
  <si>
    <t>z dnia 22 kwietnia 2014 r.; Nr 771 Rady Miasta Konina z dnia 30 kwietnia 2014 r.; Nr 45/2014 Prezydenta</t>
  </si>
  <si>
    <t>Miasta Konina z dnia 8 maja 2014 r.; Nr 48/2014 Prezydenta Miasta Konina z dnia 22 maja 2014 r.;</t>
  </si>
  <si>
    <t>0750</t>
  </si>
  <si>
    <t xml:space="preserve">zaliczanych do sektora finansów publicznych na cele publiczne związane z realizacją zadań </t>
  </si>
  <si>
    <t xml:space="preserve">miasta Konina na 2014 rok zmienionej  uchwałami i zarządzeniami w sprawie zmian w budżecie miasta Konina </t>
  </si>
  <si>
    <t>0970</t>
  </si>
  <si>
    <t>Projekt</t>
  </si>
  <si>
    <t xml:space="preserve"> z dnia 7 lutego 2014 r.; Nr 728 Rady Miasta Konina z dnia 26 lutego 2014 r.;  Nr 19/2014 Prezydenta Miasta</t>
  </si>
  <si>
    <t xml:space="preserve">Konina z dnia 27 lutego 2014 r.; Nr 29/2014 Prezydenta Miasta Konina z dnia 14 marca 2014 r.; Nr  753  </t>
  </si>
  <si>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</si>
  <si>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</si>
  <si>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</si>
  <si>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</si>
  <si>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</si>
  <si>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</si>
  <si>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</si>
  <si>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</si>
  <si>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</si>
  <si>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</si>
  <si>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</si>
  <si>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</si>
  <si>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</si>
  <si>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w złotych</t>
  </si>
  <si>
    <t>Dział</t>
  </si>
  <si>
    <t>Oświata i wychowanie</t>
  </si>
  <si>
    <t>Ochrona zdrowia</t>
  </si>
  <si>
    <t>Pozostałe zadania w zakresie polityki społecznej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</si>
  <si>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</si>
  <si>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</si>
  <si>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</si>
  <si>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</si>
  <si>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</si>
  <si>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</si>
  <si>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</si>
  <si>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</si>
  <si>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        a) dochody bieżące w wysokości                                        </t>
  </si>
  <si>
    <t>zastępuje się kwotą</t>
  </si>
  <si>
    <t xml:space="preserve">             Zmniejsza się</t>
  </si>
  <si>
    <t xml:space="preserve">          Zwiększa się</t>
  </si>
  <si>
    <t>Kwotę wydatków ogółem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</si>
  <si>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</si>
  <si>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</si>
  <si>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</si>
  <si>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        Zwiększa się</t>
  </si>
  <si>
    <t xml:space="preserve">          zastępuje się kwotą</t>
  </si>
  <si>
    <t xml:space="preserve">         w tym:</t>
  </si>
  <si>
    <t xml:space="preserve">    zastępuje się kwotą</t>
  </si>
  <si>
    <t>pkt 2)  kwotę rezerwy celowej oświatowej</t>
  </si>
  <si>
    <t xml:space="preserve">                                                                               § 2</t>
  </si>
  <si>
    <t>Wykonanie uchwały powierza się Prezydentowi Miasta Konina.</t>
  </si>
  <si>
    <t>Uchwała wchodzi w życie z dniem podjęcia.</t>
  </si>
  <si>
    <t xml:space="preserve">     Przewodniczący </t>
  </si>
  <si>
    <t>Rady Miasta Konina</t>
  </si>
  <si>
    <t>Wiesław  Steinke</t>
  </si>
  <si>
    <t>Pomoc społeczna</t>
  </si>
  <si>
    <t>2. W Załączniku Nr 1 do uchwały budżetowej dokonuje się następujących zmian:</t>
  </si>
  <si>
    <t>W części dotyczącej dochodów  gminy</t>
  </si>
  <si>
    <t xml:space="preserve">         1) dochody gminy ogółem                                                                                  </t>
  </si>
  <si>
    <t xml:space="preserve">         W uchwale Nr 700 Rady Miasta Konina z dnia 18 grudnia 2013 r. w sprawie uchwalenia budżetu</t>
  </si>
  <si>
    <t>"Twoja firma - wspomagamy przedsiębiorczych w Koninie" - w ramach programu POKL (dotacja celowa)</t>
  </si>
  <si>
    <t>Kultura i ochrona dziedzictwa narodowego</t>
  </si>
  <si>
    <t>Turystyka</t>
  </si>
  <si>
    <t>Edukacyjna opieka wychowawcza</t>
  </si>
  <si>
    <t>(Dz. U. z 2013 r. poz. 594), art. 211 ustawy z dnia 27 sierpnia 2009 r. o finansach  publicznych</t>
  </si>
  <si>
    <t xml:space="preserve"> (Dz. U. z 2013  poz. 885 ze zm.)   R a d a    M i a s t a   K o n i n a   u c h w a l a,  co następuje "</t>
  </si>
  <si>
    <t>b) kwotę części powiatowej</t>
  </si>
  <si>
    <r>
      <t xml:space="preserve">w sprawie </t>
    </r>
    <r>
      <rPr>
        <b/>
        <i/>
        <sz val="14"/>
        <rFont val="Times New Roman"/>
        <family val="1"/>
      </rPr>
      <t>zmian w budżecie miasta Konina na 2014 rok</t>
    </r>
  </si>
  <si>
    <t>na 2014 rok:  Nr 721 Rady Miasta Konina z dnia 29 stycznia 2014 r.; Nr  11/2014 Prezydenta Miasta Konina</t>
  </si>
  <si>
    <t>Wyszczególnienie</t>
  </si>
  <si>
    <t xml:space="preserve">Określenie zadań </t>
  </si>
  <si>
    <t>Razem zadania gminy</t>
  </si>
  <si>
    <t>Dotacje celowe</t>
  </si>
  <si>
    <t xml:space="preserve">usuwanie wyrobów zawierających azbest z nieruchomości położonych na terenie miasta Konina </t>
  </si>
  <si>
    <t xml:space="preserve">Razem zadania powiatu </t>
  </si>
  <si>
    <t>OGÓŁEM</t>
  </si>
  <si>
    <t xml:space="preserve">PLAN  DOTACJI DLA PODMIOTÓW NIE ZALICZANYCH DO SEKTORA FINANSÓW </t>
  </si>
  <si>
    <t xml:space="preserve">       PUBLICZNYCH NA CELE PUBLICZNE ZWIĄZANE Z REALIZACJĄ </t>
  </si>
  <si>
    <t xml:space="preserve">                                 ZADAŃ MIASTA  NA 2014 ROK</t>
  </si>
  <si>
    <t>Plan  na 2014 rok</t>
  </si>
  <si>
    <t xml:space="preserve">Dotacje podmiotowe </t>
  </si>
  <si>
    <t>dotacja dla niepublicznego przedszkola i punktów przedszkolnych rozdz. 80104</t>
  </si>
  <si>
    <t>dotacja dla niepublicznego gimnazjum  rozdz.80110</t>
  </si>
  <si>
    <t>do sektora finansów publicznych na cele publiczne związane z realizacją zadań miasta na 2014 rok"</t>
  </si>
  <si>
    <t xml:space="preserve">PLAN DOTACJI DLA PODMIOTÓW ZALICZANYCH DO SEKTORA FINANSÓW </t>
  </si>
  <si>
    <t xml:space="preserve">PUBLICZNYCH NA CELE PUBLICZNE ZWIĄZANE Z REALIZACJĄ ZADAŃ MIASTA  </t>
  </si>
  <si>
    <t>NA 2014 ROK</t>
  </si>
  <si>
    <t>Plan na 2014 rok</t>
  </si>
  <si>
    <t>Dotacje podmiotowe</t>
  </si>
  <si>
    <t>Koniński Dom Kultury</t>
  </si>
  <si>
    <t>Młodzieżowy Dom Kultury</t>
  </si>
  <si>
    <t>Dotacje przedmiotowe</t>
  </si>
  <si>
    <t>Transport i łączność</t>
  </si>
  <si>
    <t>do kosztów utrzymania zbiorowej komunikacji miejskiej</t>
  </si>
  <si>
    <t>Administracja publiczna</t>
  </si>
  <si>
    <t>na realizacje zadania pn. "Aglomeracja konińska - współpraca JST kluczem do nowoczesnego rozwoju gospodarczego"</t>
  </si>
  <si>
    <t xml:space="preserve">Oświata i wychowanie </t>
  </si>
  <si>
    <t>Dotacja celowa na zakupy inwestycyjne dla Oddziału Leczenia Uzależnień Wojewódzkiego Szpitala Zespolonego w Koninie - zakup kombajnu wielofunkcyjnego i rzutnika multimedialnego</t>
  </si>
  <si>
    <t xml:space="preserve">Projekt pt. "Aktywni po pięćdziesiątce - czas na zmiany" </t>
  </si>
  <si>
    <t>Gospodarka komunalna  i ochrona środowiska</t>
  </si>
  <si>
    <t>dotacja dla KDK  na zakup  i montaż instalacji satelitarnej do odbioru i emisji wydarzeń kulturalnych</t>
  </si>
  <si>
    <t>Wykonanie nowej instalacji CO w pasażu handlowym od strony ul. Dworcowej</t>
  </si>
  <si>
    <t>Miejska Biblioteka Publiczna</t>
  </si>
  <si>
    <t>koszty utrzymania dzieci  z miasta Konina umieszczonych w placówkach opiekuńczych na terenie kraju</t>
  </si>
  <si>
    <t>prowadzenie działalności Powiatowego Urzędu Pracy</t>
  </si>
  <si>
    <t xml:space="preserve">           2) kwotę  wydatków  powiatu ogółem                      </t>
  </si>
  <si>
    <t>do niniejszej uchwały.</t>
  </si>
  <si>
    <t>Modernizacja oświetlenia ulicznego miasta  Konina na energooszczędne</t>
  </si>
  <si>
    <t xml:space="preserve">ZAŁĄCZNIK nr  1 </t>
  </si>
  <si>
    <t xml:space="preserve">Plan wydatków majątkowych realizowanych ze środków </t>
  </si>
  <si>
    <t>budżetowych miasta Konina na 2014 rok</t>
  </si>
  <si>
    <t xml:space="preserve">           Plan na 2014 rok</t>
  </si>
  <si>
    <t>Lp</t>
  </si>
  <si>
    <t>Nazwa  zadania</t>
  </si>
  <si>
    <t>ogółem</t>
  </si>
  <si>
    <t>środki  w ramach ustawy Prawo ochrony środowiska</t>
  </si>
  <si>
    <t>RAZEM GMINA</t>
  </si>
  <si>
    <t>Lokalny transport zbiorowy</t>
  </si>
  <si>
    <t>Zakup i montaż wiat  przystankowych</t>
  </si>
  <si>
    <t>Drogi publiczne gminne</t>
  </si>
  <si>
    <t>Przebudowa ulicy Stodolnianej w Koninie</t>
  </si>
  <si>
    <t>Rozbudowa skrzyżowania ulic Stanisława Staszica, Romana Dmowskiego i Tadeusza Kościuszki na skrzyżowanie typu "rondo" w Koninie</t>
  </si>
  <si>
    <t>Budowa ulic: Jesionowej, Modrzewiowej, Lipowej, Klonowej i Cisowej  w Koninie</t>
  </si>
  <si>
    <t>Budowa - przedłużenie ulicy Solnej - odcinek od ul. Kaliskiej do ul. Świętojańskiej</t>
  </si>
  <si>
    <t>Budowa ulicy Leopolda Staffa w Koninie</t>
  </si>
  <si>
    <t>Budowa ul. Paprotkowej, Azaliowej i Kameliowej w Koninie</t>
  </si>
  <si>
    <t>Wykonanie dokumentacji projektowej  budowy ulic: Storczykowa, Bluszczowa, Gerberowa, Begoniowa, Kaktusowa, Nasturcjowa, Daliowa, Piwoniowa, Zawilcowa  w Koninie</t>
  </si>
  <si>
    <t>Opracowanie  dokumentacji projektowej ul. Laskówiecka w Koninie</t>
  </si>
  <si>
    <t>Opracowanie  dokumentacji projektowo-kosztorysowej na budowę ul. Wierzbowej (od ul. Europejskiej w kierunku wschodnim)</t>
  </si>
  <si>
    <t>Budowa chodnika na ul. Działkowej w Koninie</t>
  </si>
  <si>
    <t>Opracowanie  dokumentacji projektowo-kosztorysowej kładki nad Kanałem Ulgi</t>
  </si>
  <si>
    <t>Budowa ulicy Brunatnej w Koninie - etap I</t>
  </si>
  <si>
    <t>Przebudowa chodnika przy ul. Zofii Nałkowskiej w Koninie</t>
  </si>
  <si>
    <t>Przebudowa ul. Jana Matejki w Koninie</t>
  </si>
  <si>
    <t>Przebudowa ul. Południowej w Koninie</t>
  </si>
  <si>
    <t>Opracowanie dokumentacji projektowo-kosztorysowej na budowę dróg w rejonie bloków przy ulicy Gosławickiej w Koninie</t>
  </si>
  <si>
    <t>Opracowanie dokumantacji projwktowo-kosztorysowej na przebudowe ulic : Beznazwy i Wilczej w Koninie</t>
  </si>
  <si>
    <t>Opracowanie dokumentacji projektowo-kosztorysowej na budowę miejsc postojowych na ul. K. Szymanowskiego 5a w Koninie</t>
  </si>
  <si>
    <t>Budowa ulic: Dobrowolskiego, Kuratowskiego, Mazurkiewicza i Trzebiatowskiego w Koninie</t>
  </si>
  <si>
    <t>Budowa ulic na osiedlu Wilków (Leszczynowa, Borowa)</t>
  </si>
  <si>
    <t>Budowa dróg os. Łężyn - rejon ul. Mostowej III etap</t>
  </si>
  <si>
    <t>Budowa ulicy Nasturcjowej w Koninie</t>
  </si>
  <si>
    <t>Opracowanie  dokumentacji projektowo-kosztorysowej na budowę ul. Grójeckiej w Koninie</t>
  </si>
  <si>
    <t>Gospodarka mieszkaniowa</t>
  </si>
  <si>
    <t>Gospodarka gruntami i nieruchomościami</t>
  </si>
  <si>
    <t>Wykonanie systemu monitoringu na terenie Ośrodka "Przystań Gosławice"</t>
  </si>
  <si>
    <t>Nabycie nieruchomości gruntowych</t>
  </si>
  <si>
    <t>Pozostała działalność</t>
  </si>
  <si>
    <t>Budowa czterech domków mieszkalnych oraz rozbudowa budynku gospodarczego w Koninie przy ul. M. Dąbrowskiej</t>
  </si>
  <si>
    <t>Przebudowa i rozbudowa budynków komunalnych przy ul. Wiosny Ludów 11 i 13 w Koninie</t>
  </si>
  <si>
    <t>Nadbudowa wielorodzinnych budynków mieszkalnych w Koninie - koncepcja</t>
  </si>
  <si>
    <t>Opracowanie dokumentacji projektowo - kosztorysowej na   budowę budynku gospodarczego z pomieszczeniami przynależnymi  do lokali mieszkalnych w budynku przy ul. M. Dąbrowskiej 50 w Koninie</t>
  </si>
  <si>
    <t>Rewitalizacja Starówki - budowa budynków mieszkalnych wielorodzinnych pomiędzy ulicą Wodną i Grunwaldzką w Koninie</t>
  </si>
  <si>
    <t>Urzędy gmin (miast i miast na prawach powiatu)</t>
  </si>
  <si>
    <t>Rozbudowa sieci i centrali telefonicznej Urzędu Miejskiego</t>
  </si>
  <si>
    <t>Doposażenie techniczne urzędu</t>
  </si>
  <si>
    <t>Promocja jednostek samorządu terytorialnego</t>
  </si>
  <si>
    <t>Zakup namiotów reklamowych Miasta Konina</t>
  </si>
  <si>
    <t>Adaptacja budynku przy ul. Benesza 1 w Koninie  na cele administracyjne</t>
  </si>
  <si>
    <t>Bezpieczeństwo publiczne i ochrona przeciwpożarowa</t>
  </si>
  <si>
    <t>Ochotnicze Straże Pożarne</t>
  </si>
  <si>
    <t xml:space="preserve">Zakupy inwestycyjne </t>
  </si>
  <si>
    <t>Obrona cywilna</t>
  </si>
  <si>
    <t>Różne rozliczenia</t>
  </si>
  <si>
    <t>Rezerwy ogólne i celowe</t>
  </si>
  <si>
    <t>Rezerwa celowa na inwestycje i zakupy inwestycyjne</t>
  </si>
  <si>
    <t>Szkoły podstawowe</t>
  </si>
  <si>
    <t>Opracowanie dokumentacji projektowo-kosztorysowej na budowę sali gimnastycznej Szkoły Podstawowej   Nr 1 w Koninie</t>
  </si>
  <si>
    <t>Budowa kompleksu boisk przy Szkole Podstawowej Nr 4 w Koninie</t>
  </si>
  <si>
    <t>Budowa kanalizacji deszczowej i odwodnienia boisk na terenie Szkoły Podstawowej nr 4 w Koninie</t>
  </si>
  <si>
    <t xml:space="preserve">Wykonanie piłkochwytu na boisku Szkoły Podstawowej Nr 1 </t>
  </si>
  <si>
    <t>Adaptacja płyty asfaltowej na placu szkolnym na kort tenisowy przy Szkole Podstawowej Nr 3</t>
  </si>
  <si>
    <t>Modernizacja węzła sanitarnego przy sali gimnastycznej wraz z korytarzem w Szkole Podstawowej nr 12 w Koninie</t>
  </si>
  <si>
    <t>Modernizacja kuchni w  Szkole Podstawowej nr 6 w Koninie</t>
  </si>
  <si>
    <t>Zakup piłkochwytów w Szkole Podstawowej Nr 9</t>
  </si>
  <si>
    <t>Zakup serwera do pracowni komputerowej w Szkole Podstawowej Nr 10</t>
  </si>
  <si>
    <t>Przedszkola</t>
  </si>
  <si>
    <t>Budowa parkingu przy Przedszkolu Nr 7 w Koninie</t>
  </si>
  <si>
    <t>Zakup i montaż urządzeń na plac zabaw dla Przedszkola nr 17 w Koninie</t>
  </si>
  <si>
    <t>Wykonanie instalacji ewakuacyjnej w Przedszkolu nr 7 w Koninie</t>
  </si>
  <si>
    <t>Założenie monitoringu wizyjnego w Przedszkolu nr 2</t>
  </si>
  <si>
    <t>Zakup kuchni gazowej dla Przedszkola nr 7 w Koninie</t>
  </si>
  <si>
    <t>Zakup  wyposażenia na plac zabaw dla Przedszkola nr 13</t>
  </si>
  <si>
    <t>Zakup  wyposażenia na plac zabaw dla Przedszkola nr 14</t>
  </si>
  <si>
    <t>Zakup karuzeli dla dzieci na plac zabaw do Przedszkola nr 5</t>
  </si>
  <si>
    <t>Zakup obieraczki do ziemniaków dla przedszkola nr 17 w Koninie</t>
  </si>
  <si>
    <t>Zakup kotła warzelnego do kuchni dla Przedszkola nr 16 w Koninie</t>
  </si>
  <si>
    <t>Zakup okapu gastronomicznego do kuchni w Przedszkolu Nr 4 w Koninie</t>
  </si>
  <si>
    <t>Zakup patelni elektrycznej do kuchni w Przedszkolu Nr 6 w Koninie</t>
  </si>
  <si>
    <t>Zakup kuchni gazowo-elektrycznej do kuchni w Przedszkolu Nr 31 w Koninie</t>
  </si>
  <si>
    <t>Gimnazja</t>
  </si>
  <si>
    <t>Budowa zespołu boisk przy Gimnazjum nr 7 w Koninie</t>
  </si>
  <si>
    <t>Opracowanie dokumentacji projektowo-kosztorysowej na budowę boisk przy  Gimnazjum Nr 1 w Koninie</t>
  </si>
  <si>
    <t>Stołówki szkolne i przedszkolne</t>
  </si>
  <si>
    <t>Zakup obieraczki do ziemniaków do kuchni w Szkole Podstawowej Nr 1</t>
  </si>
  <si>
    <t>Zakup zmywarki do kuchni w Szkole Podstawowej Nr 1</t>
  </si>
  <si>
    <t>Zakup kotła warzelnego do kuchni w Szkole Podstawowej Nr 3</t>
  </si>
  <si>
    <t>Zakup patelni elektrycznej do kuchni Szkoły Podstawowej Nr 4</t>
  </si>
  <si>
    <t>Zakup patelni elektrycznej do kuchni Szkoły Podstawowej Nr 6</t>
  </si>
  <si>
    <t>Zakup kuchni elektrycznej do kuchni w Szkole Podstawowej Nr 8</t>
  </si>
  <si>
    <t>Zarządzanie energią w budynkach użyteczności publicznej w Koninie</t>
  </si>
  <si>
    <t>Przeciwdziałanie alkoholizmowi</t>
  </si>
  <si>
    <t xml:space="preserve">Dotacja celowa na zakupy inwestycyjne dla Oddziału Uzależnień WSzZ w Koninie </t>
  </si>
  <si>
    <t>Ośrodki pomocy społecznej</t>
  </si>
  <si>
    <t>Modernizacja sieci komputerowej i  sieci energetycznej do zasilania sprzętu komputerowego - MOPR</t>
  </si>
  <si>
    <t>Zakup samochodu służbowego do przewozu  osób niepełnosprawnych-MOPR KONIN</t>
  </si>
  <si>
    <t>Żłobki</t>
  </si>
  <si>
    <t xml:space="preserve">Adaptacja pomieszczeń pralni na oddział dziecięcy w Żłobku Miejskim przy ul. Staszica 17 w Koninie
</t>
  </si>
  <si>
    <t xml:space="preserve">Dostosowanie klatki schodowej do obowiązujących przepisów ppoż w budynku Żłobka Miejskiego  przy ul. Staszica 17 w Koninie
</t>
  </si>
  <si>
    <t xml:space="preserve">Pozostała działalność </t>
  </si>
  <si>
    <t>. "Jesteś przedsiębiorczy! Zacznij działać już dziś w Koninie"w ramach programu POKL (dotacja celowa)</t>
  </si>
  <si>
    <t>Gospodarka komunalna i ochrona środowiska</t>
  </si>
  <si>
    <t>Gospodarka odpadami</t>
  </si>
  <si>
    <t xml:space="preserve">Usuwanie wyrobów zawierających azbest z nieruchomości położonych na terenie miasta Konina </t>
  </si>
  <si>
    <t>Utrzymanie zieleni w miastach i gminach</t>
  </si>
  <si>
    <t>Budowa boiska do koszykówki na terenie zieleni miejskiej przy ul. Janowskiej</t>
  </si>
  <si>
    <t>Oświetlenie ulic, placów i dróg</t>
  </si>
  <si>
    <t xml:space="preserve">Budowa sygnalizacji świetlnej na skrzyżowaniu ul. Przemysłowej i ul. Gosławickiej  wraz z doświetleniem przejść dla pieszych
</t>
  </si>
  <si>
    <t>Doświetlenie przejść dla pieszych w Koninie</t>
  </si>
  <si>
    <t>Opracowanie dokumentacji projektowo-  kosztorysowej na budowę oświetlenia ulic Konwaliowej i Malwowej w Koninie</t>
  </si>
  <si>
    <t>Budowa oświetlenia na parkingu przy ul. F. Chopina 18 i 17 c,d,e,f,g,h,i,j w Koninie</t>
  </si>
  <si>
    <t>Rozbudowa złącza energetycznego na terenach pogórniczych przy jeziorku-Zatorze</t>
  </si>
  <si>
    <t>Zakup infrastruktury oświetleniowej na terenie Miasta Konin</t>
  </si>
  <si>
    <t>Zakup infrastruktury oświetleniowej na osiedlu Niesłusz w Koninie</t>
  </si>
  <si>
    <t>Wniesienie wkładu pieniężnego na budowę sieci kanalizacji sanitarnej i wodociągu w ulicy Rudzickiej</t>
  </si>
  <si>
    <t>Wniesienie wkładu pieniężnego do spółki Geotermia Konin Spółka z o.o. w Koninie</t>
  </si>
  <si>
    <t>Wniesienie wkładu pieniężnego na budowę wodociągu w ulicy Piaskowej, Borowej i Świerkowej</t>
  </si>
  <si>
    <t>Wniesienie wkładu pieniężnego na budowę sieci wodociągowej w ulicach Staromorzysławskiej, Działkowej i Granicznej</t>
  </si>
  <si>
    <t xml:space="preserve">Wniesienie wkładu pieniężnego na budowę kanalizacji sanitarnej oraz  wodociągu  w ulicach Matejki i Wyspiańskiego </t>
  </si>
  <si>
    <t>Budowa placów zabaw na os. Laskówiec i Grójec w Koninie</t>
  </si>
  <si>
    <t>Budowa kanalizacji deszczowej na terenie osiedla Pątnów  w Koninie</t>
  </si>
  <si>
    <t xml:space="preserve">Opracowanie dokumentacji projektowej na nowy przebieg cieku wodnego zlokalizowanego na terenie Międzylesia m. Konina </t>
  </si>
  <si>
    <t>Zagospodarowanie terenów pogórniczych os. Zatorze,  Etap V  Konin ul. Paderewskiego</t>
  </si>
  <si>
    <t xml:space="preserve">Uzbrojenie terenów inwestycyjnych w obrębie Konin - Międzylesie </t>
  </si>
  <si>
    <t>Budowa przyłączy kanalizacyjnych i przyłączenie nieruchomości do miejskiej sieci kanalizacyjnej</t>
  </si>
  <si>
    <t>Domy i ośrodki kultury, świetlice i kluby</t>
  </si>
  <si>
    <t>Adaptacja pomieszczeń budynku Klubu Energetyk na potrzeby Młodzieżowego Domu Kultury w Koninie</t>
  </si>
  <si>
    <t>Dotacja celowa na zakup  i montaż instalacji satelitarnej do odbioru i emisji wydarzeń kulturalnych</t>
  </si>
  <si>
    <t>Kultura fizyczna</t>
  </si>
  <si>
    <t>Obiekty sportowe</t>
  </si>
  <si>
    <t>Docieplenie budynku na stadionie przy ul. Łężyńskiej wraz z monitoringiem</t>
  </si>
  <si>
    <t>Zadaszenie trybun na stadionie przy ul. Podwale</t>
  </si>
  <si>
    <t>Instytucje kultury fizycznej</t>
  </si>
  <si>
    <t>Skate Park dla rowerzystów z monitoringiem i oświetleniem</t>
  </si>
  <si>
    <t>Zakup i montaż areatora wodnego</t>
  </si>
  <si>
    <t>Zakupy inwestycyjne dla obiektów MOSiR w Koninie</t>
  </si>
  <si>
    <t>RAZEM POWIAT</t>
  </si>
  <si>
    <t>Drogi publiczne w miastach na prawach powiatu</t>
  </si>
  <si>
    <t>Przebudowa ul. Żwirki i Wigury wraz z kanalizacją deszczową</t>
  </si>
  <si>
    <t>Budowa drogi - łącznik od ul. Przemysłowej do ul. Kleczewskiej w Koninie</t>
  </si>
  <si>
    <t>Przebudowa chodnika przy ul. Przemysłowej w Koninie</t>
  </si>
  <si>
    <t>Dostawa i montaż wyświetlaczy czasu</t>
  </si>
  <si>
    <t>Dokumentacja projektowo-kosztorysowa na wykonanie doświetlonego przejścia dla pieszych na skrzyżowaniu ulic: Europejska - Wierzbowa w Koninie</t>
  </si>
  <si>
    <t>Opracowanie dokumentacji projektowo-kosztorysowej na przebudowę ul. Jana Pawła II w Koninie</t>
  </si>
  <si>
    <t xml:space="preserve">Opracowanie dokumentacji projektowo-kosztorysowej na budowę parkingu przy ul.  Wyzwolenia 23 w Koninie </t>
  </si>
  <si>
    <t>Dokumentacje przyszłościowe</t>
  </si>
  <si>
    <t>Budowa łącznika pomiędzy ul. Poznańską i ul. Przemysłową</t>
  </si>
  <si>
    <t>Przebudowa mostu im. Józefa Piłsudskiego w Koninie</t>
  </si>
  <si>
    <t xml:space="preserve">Budowa budynku usług publicznych przy ul. Z. Urbanowskiej w Koninie </t>
  </si>
  <si>
    <t>Opracowanie dokumentacji projektowej na budowę toalet przy Bulwarze Nadwarciańskim w Koninie</t>
  </si>
  <si>
    <t>Działalność usługowa</t>
  </si>
  <si>
    <t>Ośrodki dokumentacji geodezyjnej i kartograficznej</t>
  </si>
  <si>
    <t xml:space="preserve">Wykonanie, dostawa i montaż regałów  przesuwanych do  pomieszczenia Archiwum w budynku przy ul. Andrzeja Benesza 
 w Koninie
</t>
  </si>
  <si>
    <t xml:space="preserve">Zakup sprzętu komputerowego </t>
  </si>
  <si>
    <t>Komendy powiatowe Państwowej Straży Pożarnej</t>
  </si>
  <si>
    <t>Przebudowa pomieszczeń garażowych budynku strażnicy wraz z modernizacją kanalizacji deszczowej oraz wymianą nawierzchni placu manewrowego JRG Nr 1 i Komendy Miejskiej Państwowej Straży Pożarnej w Koninie</t>
  </si>
  <si>
    <t>Licea ogólnokształcące</t>
  </si>
  <si>
    <t>Budowa przewodowej sieci komputerowej w I LO w Koninie</t>
  </si>
  <si>
    <t>Rozbudowa Izby Pamięci w II LO     w Koninie</t>
  </si>
  <si>
    <t>Zakup urządzenia wielofunkcyjnego do utrzymania lodowiska i boisk Orlik</t>
  </si>
  <si>
    <t>Zakup projektora dla I LO w Koninie</t>
  </si>
  <si>
    <t>Szkoły zawodowe</t>
  </si>
  <si>
    <t>Zakup kserokopiarki dla Zespołu Szkół Technicznych i Hutniczych w Koninie</t>
  </si>
  <si>
    <t xml:space="preserve">Zakup kserokopiarki dla Zespołu Szkół Budowlanych w Koninie </t>
  </si>
  <si>
    <t>Specjalne ośrodki szkolno-wychowawcze</t>
  </si>
  <si>
    <t>Zakup samochodu do przewozu osób niepełnosprawnych - SOSW w Koninie</t>
  </si>
  <si>
    <t>Zakup kserokopiarki w SOS-W w Koninie</t>
  </si>
  <si>
    <t xml:space="preserve">Kultura fizyczna </t>
  </si>
  <si>
    <t>Rozbudowa boisk przy ZSGE ul. Kard. Wyszyńskiego 3  w Koninie</t>
  </si>
  <si>
    <t>pkt 3) kwotę rezerwy celowej na inwestycje i zakupy inwestycyjne</t>
  </si>
  <si>
    <t>a) kwotę części gminnej</t>
  </si>
  <si>
    <t xml:space="preserve">          b) kwotę wydatków majątkowych ogółem                      </t>
  </si>
  <si>
    <r>
      <t xml:space="preserve">ze środków budżetowych miasta Konina na 2014 rok " </t>
    </r>
    <r>
      <rPr>
        <sz val="12"/>
        <rFont val="Times New Roman"/>
        <family val="1"/>
      </rPr>
      <t xml:space="preserve"> dokonuje się następujących zmian"</t>
    </r>
  </si>
  <si>
    <t>W części dotyczącej zadań  gminy</t>
  </si>
  <si>
    <t>Zmniejsza się plan wydatków o kwotę</t>
  </si>
  <si>
    <t>dz. 758 rozdz.75818 § 6800 zmniejsza się o kwotę</t>
  </si>
  <si>
    <t>Zwiększa się plan wydatków o kwotę</t>
  </si>
  <si>
    <t>W części dotyczącej zadań  powiatu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</si>
  <si>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</si>
  <si>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10 W § 4 do uchwały budżetowej dokonuje się następujących zmian:</t>
  </si>
  <si>
    <r>
      <t xml:space="preserve">miasta na 2014 rok" </t>
    </r>
    <r>
      <rPr>
        <sz val="13"/>
        <rFont val="Times New Roman"/>
        <family val="1"/>
      </rPr>
      <t xml:space="preserve"> otrzymuje brzmienie w treści   </t>
    </r>
    <r>
      <rPr>
        <b/>
        <sz val="13"/>
        <rFont val="Times New Roman"/>
        <family val="1"/>
      </rPr>
      <t xml:space="preserve">Załącznika nr 2 </t>
    </r>
    <r>
      <rPr>
        <sz val="13"/>
        <rFont val="Times New Roman"/>
        <family val="1"/>
      </rPr>
      <t>do niniejszej uchwały</t>
    </r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</si>
  <si>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3 </t>
    </r>
    <r>
      <rPr>
        <sz val="13"/>
        <rFont val="Times New Roman"/>
        <family val="1"/>
      </rPr>
      <t>do niniejszej uchwały</t>
    </r>
  </si>
  <si>
    <t>Załącznik nr 2</t>
  </si>
  <si>
    <t>Załącznik nr  3</t>
  </si>
  <si>
    <t xml:space="preserve">                                     z dnia  21 lipca  2014 roku</t>
  </si>
  <si>
    <t xml:space="preserve">                                     UCHWAŁA  NR    </t>
  </si>
  <si>
    <t>700</t>
  </si>
  <si>
    <t>70005</t>
  </si>
  <si>
    <t>6060</t>
  </si>
  <si>
    <t>758</t>
  </si>
  <si>
    <t>75818</t>
  </si>
  <si>
    <t>4810</t>
  </si>
  <si>
    <t>6800</t>
  </si>
  <si>
    <t>dz. 700 rozdz.70005 § 6060 zmniejsza się o kwotę</t>
  </si>
  <si>
    <t>750</t>
  </si>
  <si>
    <t>75023</t>
  </si>
  <si>
    <t>75075</t>
  </si>
  <si>
    <t>4210</t>
  </si>
  <si>
    <t>754</t>
  </si>
  <si>
    <t>75495</t>
  </si>
  <si>
    <t>4300</t>
  </si>
  <si>
    <t>2700</t>
  </si>
  <si>
    <t>801</t>
  </si>
  <si>
    <t>80104</t>
  </si>
  <si>
    <t>2310</t>
  </si>
  <si>
    <t>6050</t>
  </si>
  <si>
    <t>80110</t>
  </si>
  <si>
    <t>4240</t>
  </si>
  <si>
    <t>4270</t>
  </si>
  <si>
    <t>4280</t>
  </si>
  <si>
    <t>4700</t>
  </si>
  <si>
    <t>80148</t>
  </si>
  <si>
    <t>4260</t>
  </si>
  <si>
    <t>854</t>
  </si>
  <si>
    <t>85401</t>
  </si>
  <si>
    <t>0830</t>
  </si>
  <si>
    <t>70095</t>
  </si>
  <si>
    <t>6010</t>
  </si>
  <si>
    <t>900</t>
  </si>
  <si>
    <t>90095</t>
  </si>
  <si>
    <t>853</t>
  </si>
  <si>
    <t>85395</t>
  </si>
  <si>
    <t>4170</t>
  </si>
  <si>
    <t>4430</t>
  </si>
  <si>
    <t>2360</t>
  </si>
  <si>
    <t>926</t>
  </si>
  <si>
    <t>92604</t>
  </si>
  <si>
    <t>W części dotyczącej dochodów  powiatu</t>
  </si>
  <si>
    <t>75801</t>
  </si>
  <si>
    <t>2920</t>
  </si>
  <si>
    <t>dz. 600 rozdz.60015 § 6050 zmniejsza się o kwotę</t>
  </si>
  <si>
    <t xml:space="preserve">Opracowanie koncepcji na budowę łącznika ul. I. Paderewskiego </t>
  </si>
  <si>
    <t>i ul. Kard. S. Wyszyńskiego w Koninie</t>
  </si>
  <si>
    <t>dz. 600 rozdz.60015 § 6050 zwiększa się o kwotę</t>
  </si>
  <si>
    <t>Koncepcja na połączenie skrzyżowania ul. I Paderewskiego z ul. Przemysłową</t>
  </si>
  <si>
    <t>z projektowanym wiaduktem nad linią E20</t>
  </si>
  <si>
    <t>3000</t>
  </si>
  <si>
    <t>6170</t>
  </si>
  <si>
    <t>dz. 754 rozdz.75405 § 6170 zwiększa się o kwotę</t>
  </si>
  <si>
    <t>852</t>
  </si>
  <si>
    <t>85202</t>
  </si>
  <si>
    <t>4220</t>
  </si>
  <si>
    <t>2540</t>
  </si>
  <si>
    <t>92101</t>
  </si>
  <si>
    <t>dz. 926 rozdz.92601 § 6050 zmniejsza się o kwotę</t>
  </si>
  <si>
    <t>Przebudowa ulicy Kościuszki wraz z oświetleniem i odwodnieniem - etap I</t>
  </si>
  <si>
    <t>Wykonanie awaryjnego oświetlenia ewakuacyjnego w budynku Przedszkola nr 2</t>
  </si>
  <si>
    <t xml:space="preserve">Wniesienie wkładu pieniężnego do MPEC Spółka  z o.o. w Koninie na opracowanie </t>
  </si>
  <si>
    <t xml:space="preserve">Wniesienie wkładu pieniężnego do MPEC Spółka  z o.o. w Koninie na sfinansowanie </t>
  </si>
  <si>
    <t xml:space="preserve">budowy węzła cieplnego dla potrzeb Młodzieżowego Domu Kultury </t>
  </si>
  <si>
    <t>przy ul. Przemysłowej 3 D w Koninie</t>
  </si>
  <si>
    <t xml:space="preserve">         2) dochody powiatu ogółem                                                                                  </t>
  </si>
  <si>
    <t>92695</t>
  </si>
  <si>
    <t>2820</t>
  </si>
  <si>
    <t>921</t>
  </si>
  <si>
    <t>92195</t>
  </si>
  <si>
    <t xml:space="preserve">do Uchwały nr   </t>
  </si>
  <si>
    <t>Rady  Miasta Konina</t>
  </si>
  <si>
    <t xml:space="preserve">z dnia  21 sierpnia  2014 roku       </t>
  </si>
  <si>
    <t>Wniesienie wkładu pieniężnego do MPEC Spółka  z o.o. w Koninie na opracowanie dokumentacji projektowo kosztorysowej na budowę sieci ciepłowniczej wysokoparametrowej dla budynków wielorodzinnych przy ul. Świetojańskiej w Koninie</t>
  </si>
  <si>
    <t>Wniesienie wkładu pieniężnego do MPEC Spółka  z o.o. w Koninie na sfinansowanie budowy węzła cieplnego dla potrzeb Młodzieżowego Domu Kultury przy ul. Przemysłowej 3 D w Koninie</t>
  </si>
  <si>
    <t>Przebudowa rowów melioracyjnych w obrebie Konin - Międzylesie</t>
  </si>
  <si>
    <t>Koncepcja na połączenie skrzyżowania ul. I Paderewskiego z ul. Przemysłową z projektowanym wiaduktem nad linią E20</t>
  </si>
  <si>
    <t>Komendy powiatowe Policji</t>
  </si>
  <si>
    <t>§ 6010 zwiększa się o kwotę</t>
  </si>
  <si>
    <t>§ 6050 zwiększa się o kwotę</t>
  </si>
  <si>
    <t>dz. 900 rozdz.90095  zwiększa się o kwotę</t>
  </si>
  <si>
    <t>85410</t>
  </si>
  <si>
    <t>80101</t>
  </si>
  <si>
    <t>rozdz.80104 § 6050 zwiększa się o kwotę</t>
  </si>
  <si>
    <t>rozdz.8010§ 6050 zwiększa się o kwotę</t>
  </si>
  <si>
    <t>dz. 801  zwiększa się o kwotę</t>
  </si>
  <si>
    <t xml:space="preserve">Wykonanie ścianki oddzielenia akustycznego między salami gimnastycznymi w zespole </t>
  </si>
  <si>
    <t>dokumentacji projektowo-kosztorysowej na budowę sieci ciepłowniczej</t>
  </si>
  <si>
    <t xml:space="preserve">do Uchwały nr  </t>
  </si>
  <si>
    <t xml:space="preserve">do Uchwały nr </t>
  </si>
  <si>
    <t xml:space="preserve">z dnia 21 sierpnia  2014 roku       </t>
  </si>
  <si>
    <t>sportowym Szkoły Podstawowej  z oddziałami Integracyjnymi nr 9 w Koninie</t>
  </si>
  <si>
    <t>wysokoparametrowej dla budynków wielorodzinnych przy ul. Świętojańskiej w Koninie</t>
  </si>
  <si>
    <t>Przebudowa rowów melioracyjnych w obrębię Konin - Międzylesie</t>
  </si>
  <si>
    <t>Dofinansowanie zakupu nieoznakowanego radiowozu typu BUS dla KMP w Koninie</t>
  </si>
  <si>
    <t>prace konserwatorsko-restauracyjne ołtarza pw Serca Jezusa - nawa północna - Parafia pw Św. Bartłomieja</t>
  </si>
  <si>
    <t>dofinansowanie szkolenia uzdolnionych sportowe w piłce nożnej kobiet (Europejska Liga Mistrzyń)</t>
  </si>
  <si>
    <t>koszty utrzymania dzieci  z miasta Konina umieszczonych w  przedszkolu na terenie innej gminy</t>
  </si>
  <si>
    <t>3. W Załączniku Nr 1 do uchwały budżetowej dokonuje się następujących zmian:</t>
  </si>
  <si>
    <t>4. W § 1 ust. 3</t>
  </si>
  <si>
    <t>6. W Załączniku Nr 2 do uchwały budżetowej dokonuje się następujących zmian:</t>
  </si>
  <si>
    <r>
      <t xml:space="preserve"> 7.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</si>
  <si>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r>
      <t xml:space="preserve">8. Załącznik nr 11 do uchwały budżetowej obejmujący  </t>
    </r>
    <r>
      <rPr>
        <i/>
        <sz val="13"/>
        <rFont val="Times New Roman"/>
        <family val="1"/>
      </rPr>
      <t xml:space="preserve">"Plan dotacji dla podmiotów nie </t>
    </r>
  </si>
  <si>
    <r>
      <t xml:space="preserve">9. Załącznik nr 12 do uchwały budżetowej obejmujący  </t>
    </r>
    <r>
      <rPr>
        <i/>
        <sz val="13"/>
        <rFont val="Times New Roman"/>
        <family val="1"/>
      </rPr>
      <t>"Plan dotacji dla podmiotów  zaliczanych</t>
    </r>
  </si>
  <si>
    <t>DRUK nr  908</t>
  </si>
  <si>
    <t>Wykonanie ścianki oddzielenia akustycznego między salami gimnastycznymi w Zespole Sportowym Szkoły Podstawowej  z oddziałami Integracyjnymi nr 9 w Koninie</t>
  </si>
  <si>
    <t xml:space="preserve">Nr 824 Rady Miasta Konina z dnia 25 czerwca 2014 r.; Nr 65 /2014 Prezydenta Miasta Konina z dnia </t>
  </si>
  <si>
    <t>26 czerwca 2014 rok.; Nr 837 Rady Miasta Konina z dnia 3 lipca 2014 r.; Nr 67/2014 Prezydenta Miasta Konina</t>
  </si>
  <si>
    <t>z dnia 4 lipca 2014 r.; Nr 840 Rady Miasta Konina z dnia 21 lipca 2014 r.; Nr 76/2014 Prezydenta Miasta Konina</t>
  </si>
  <si>
    <t xml:space="preserve">z dnia 24 lipca 2014 r.;  Nr 77/2014 Prezydenta Miasta Konina z dnia 7 sierpnia 2014 r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</si>
</sst>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04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6"/>
      <color indexed="48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i/>
      <sz val="13"/>
      <name val="Times New Roman"/>
      <family val="1"/>
    </font>
    <font>
      <sz val="12"/>
      <name val="Arial"/>
      <family val="0"/>
    </font>
    <font>
      <sz val="12"/>
      <color indexed="17"/>
      <name val="Times New Roman"/>
      <family val="1"/>
    </font>
    <font>
      <i/>
      <sz val="16"/>
      <name val="Times New Roman"/>
      <family val="1"/>
    </font>
    <font>
      <b/>
      <sz val="10"/>
      <color indexed="57"/>
      <name val="Times New Roman"/>
      <family val="1"/>
    </font>
    <font>
      <sz val="16"/>
      <name val="Arial"/>
      <family val="0"/>
    </font>
    <font>
      <b/>
      <sz val="14"/>
      <color indexed="17"/>
      <name val="Times New Roman"/>
      <family val="1"/>
    </font>
    <font>
      <sz val="11"/>
      <name val="Times New Roman CE"/>
      <family val="1"/>
    </font>
    <font>
      <sz val="9"/>
      <color indexed="10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 CE"/>
      <family val="0"/>
    </font>
    <font>
      <i/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 CE"/>
      <family val="0"/>
    </font>
    <font>
      <b/>
      <i/>
      <sz val="13"/>
      <name val="Times New Roman"/>
      <family val="1"/>
    </font>
    <font>
      <b/>
      <i/>
      <sz val="11"/>
      <color indexed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4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0" fontId="9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2" fillId="0" borderId="3" applyNumberFormat="0" applyFill="0" applyAlignment="0" applyProtection="0"/>
    <xf numFmtId="0" fontId="93" fillId="29" borderId="4" applyNumberFormat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8" fillId="27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9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32" borderId="0" applyNumberFormat="0" applyBorder="0" applyAlignment="0" applyProtection="0"/>
  </cellStyleXfs>
  <cellXfs count="688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4" fontId="3" fillId="0" borderId="0" xfId="53" applyNumberFormat="1" applyFont="1" applyFill="1">
      <alignment/>
      <protection/>
    </xf>
    <xf numFmtId="0" fontId="9" fillId="0" borderId="10" xfId="52" applyFont="1" applyFill="1" applyBorder="1">
      <alignment/>
      <protection/>
    </xf>
    <xf numFmtId="0" fontId="9" fillId="0" borderId="11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9" fillId="0" borderId="12" xfId="52" applyFont="1" applyFill="1" applyBorder="1" applyAlignment="1">
      <alignment horizontal="center" vertical="top"/>
      <protection/>
    </xf>
    <xf numFmtId="0" fontId="10" fillId="0" borderId="13" xfId="52" applyFont="1" applyFill="1" applyBorder="1" applyAlignment="1">
      <alignment vertical="center" wrapText="1"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4" fontId="2" fillId="0" borderId="0" xfId="52" applyNumberFormat="1" applyFont="1" applyFill="1">
      <alignment/>
      <protection/>
    </xf>
    <xf numFmtId="4" fontId="5" fillId="0" borderId="0" xfId="52" applyNumberFormat="1" applyFont="1" applyFill="1" applyBorder="1" applyAlignment="1">
      <alignment horizontal="right"/>
      <protection/>
    </xf>
    <xf numFmtId="0" fontId="14" fillId="0" borderId="0" xfId="52" applyFont="1" applyFill="1">
      <alignment/>
      <protection/>
    </xf>
    <xf numFmtId="4" fontId="11" fillId="0" borderId="0" xfId="52" applyNumberFormat="1" applyFont="1" applyFill="1" applyAlignment="1">
      <alignment vertical="center"/>
      <protection/>
    </xf>
    <xf numFmtId="4" fontId="11" fillId="0" borderId="0" xfId="52" applyNumberFormat="1" applyFont="1" applyFill="1">
      <alignment/>
      <protection/>
    </xf>
    <xf numFmtId="4" fontId="7" fillId="0" borderId="0" xfId="56" applyNumberFormat="1" applyFont="1" applyFill="1" applyAlignment="1">
      <alignment horizontal="right"/>
      <protection/>
    </xf>
    <xf numFmtId="0" fontId="2" fillId="0" borderId="0" xfId="53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52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53" applyFont="1" applyFill="1" applyAlignment="1">
      <alignment horizontal="center"/>
      <protection/>
    </xf>
    <xf numFmtId="4" fontId="5" fillId="0" borderId="11" xfId="52" applyNumberFormat="1" applyFont="1" applyFill="1" applyBorder="1" applyAlignment="1">
      <alignment horizontal="right" vertic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3" fillId="0" borderId="0" xfId="52" applyNumberFormat="1" applyFont="1" applyFill="1" applyBorder="1" applyAlignment="1">
      <alignment vertical="center"/>
      <protection/>
    </xf>
    <xf numFmtId="4" fontId="3" fillId="0" borderId="0" xfId="52" applyNumberFormat="1" applyFont="1" applyFill="1" applyAlignment="1">
      <alignment vertical="center"/>
      <protection/>
    </xf>
    <xf numFmtId="0" fontId="2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49" fontId="2" fillId="0" borderId="0" xfId="53" applyNumberFormat="1" applyFont="1" applyFill="1">
      <alignment/>
      <protection/>
    </xf>
    <xf numFmtId="49" fontId="9" fillId="0" borderId="0" xfId="53" applyNumberFormat="1" applyFont="1" applyFill="1">
      <alignment/>
      <protection/>
    </xf>
    <xf numFmtId="49" fontId="9" fillId="0" borderId="0" xfId="53" applyNumberFormat="1" applyFont="1" applyFill="1" applyAlignment="1">
      <alignment horizontal="center"/>
      <protection/>
    </xf>
    <xf numFmtId="49" fontId="3" fillId="0" borderId="0" xfId="53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0" fontId="7" fillId="0" borderId="0" xfId="57" applyFont="1" applyFill="1" applyAlignment="1">
      <alignment horizontal="left"/>
      <protection/>
    </xf>
    <xf numFmtId="49" fontId="3" fillId="0" borderId="0" xfId="53" applyNumberFormat="1" applyFont="1" applyFill="1" applyAlignment="1">
      <alignment horizontal="center"/>
      <protection/>
    </xf>
    <xf numFmtId="49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33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55" applyNumberFormat="1" applyFont="1" applyFill="1">
      <alignment/>
      <protection/>
    </xf>
    <xf numFmtId="49" fontId="33" fillId="0" borderId="0" xfId="55" applyNumberFormat="1" applyFont="1" applyFill="1">
      <alignment/>
      <protection/>
    </xf>
    <xf numFmtId="49" fontId="33" fillId="0" borderId="0" xfId="55" applyNumberFormat="1" applyFont="1" applyFill="1" applyAlignment="1">
      <alignment horizontal="center"/>
      <protection/>
    </xf>
    <xf numFmtId="0" fontId="33" fillId="0" borderId="0" xfId="0" applyFont="1" applyFill="1" applyAlignment="1">
      <alignment horizontal="left"/>
    </xf>
    <xf numFmtId="0" fontId="33" fillId="0" borderId="0" xfId="53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55" applyNumberFormat="1" applyFont="1" applyFill="1">
      <alignment/>
      <protection/>
    </xf>
    <xf numFmtId="49" fontId="9" fillId="0" borderId="0" xfId="55" applyNumberFormat="1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49" fontId="3" fillId="0" borderId="0" xfId="55" applyNumberFormat="1" applyFont="1" applyFill="1">
      <alignment/>
      <protection/>
    </xf>
    <xf numFmtId="49" fontId="7" fillId="0" borderId="0" xfId="55" applyNumberFormat="1" applyFont="1" applyFill="1">
      <alignment/>
      <protection/>
    </xf>
    <xf numFmtId="49" fontId="7" fillId="0" borderId="0" xfId="55" applyNumberFormat="1" applyFont="1" applyFill="1" applyAlignment="1">
      <alignment horizontal="center"/>
      <protection/>
    </xf>
    <xf numFmtId="49" fontId="9" fillId="0" borderId="14" xfId="52" applyNumberFormat="1" applyFont="1" applyFill="1" applyBorder="1">
      <alignment/>
      <protection/>
    </xf>
    <xf numFmtId="49" fontId="9" fillId="0" borderId="14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>
      <alignment/>
      <protection/>
    </xf>
    <xf numFmtId="49" fontId="9" fillId="0" borderId="15" xfId="52" applyNumberFormat="1" applyFont="1" applyFill="1" applyBorder="1" applyAlignment="1">
      <alignment horizont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right" vertical="top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right" vertical="top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9" fontId="5" fillId="0" borderId="0" xfId="52" applyNumberFormat="1" applyFont="1" applyFill="1" applyBorder="1" applyAlignment="1">
      <alignment horizontal="left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Border="1" applyAlignment="1">
      <alignment horizontal="right" vertic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" fontId="5" fillId="0" borderId="17" xfId="52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/>
    </xf>
    <xf numFmtId="4" fontId="3" fillId="0" borderId="17" xfId="52" applyNumberFormat="1" applyFont="1" applyFill="1" applyBorder="1" applyAlignment="1">
      <alignment horizontal="right" vertical="top"/>
      <protection/>
    </xf>
    <xf numFmtId="4" fontId="5" fillId="0" borderId="17" xfId="52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Fill="1" applyAlignment="1">
      <alignment/>
    </xf>
    <xf numFmtId="49" fontId="9" fillId="0" borderId="0" xfId="52" applyNumberFormat="1" applyFont="1" applyFill="1">
      <alignment/>
      <protection/>
    </xf>
    <xf numFmtId="49" fontId="9" fillId="0" borderId="0" xfId="52" applyNumberFormat="1" applyFont="1" applyFill="1" applyAlignment="1">
      <alignment horizontal="center"/>
      <protection/>
    </xf>
    <xf numFmtId="164" fontId="9" fillId="0" borderId="0" xfId="52" applyNumberFormat="1" applyFont="1" applyFill="1">
      <alignment/>
      <protection/>
    </xf>
    <xf numFmtId="49" fontId="5" fillId="0" borderId="0" xfId="52" applyNumberFormat="1" applyFont="1" applyFill="1">
      <alignment/>
      <protection/>
    </xf>
    <xf numFmtId="49" fontId="12" fillId="0" borderId="0" xfId="52" applyNumberFormat="1" applyFont="1" applyFill="1" applyAlignment="1">
      <alignment horizontal="center"/>
      <protection/>
    </xf>
    <xf numFmtId="4" fontId="5" fillId="0" borderId="0" xfId="52" applyNumberFormat="1" applyFont="1" applyFill="1">
      <alignment/>
      <protection/>
    </xf>
    <xf numFmtId="49" fontId="7" fillId="0" borderId="0" xfId="52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53" applyNumberFormat="1" applyFont="1" applyFill="1">
      <alignment/>
      <protection/>
    </xf>
    <xf numFmtId="49" fontId="3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3" fillId="0" borderId="0" xfId="53" applyNumberFormat="1" applyFont="1" applyFill="1">
      <alignment/>
      <protection/>
    </xf>
    <xf numFmtId="4" fontId="9" fillId="0" borderId="0" xfId="52" applyNumberFormat="1" applyFont="1" applyFill="1">
      <alignment/>
      <protection/>
    </xf>
    <xf numFmtId="49" fontId="16" fillId="0" borderId="0" xfId="52" applyNumberFormat="1" applyFont="1" applyFill="1">
      <alignment/>
      <protection/>
    </xf>
    <xf numFmtId="49" fontId="5" fillId="0" borderId="0" xfId="52" applyNumberFormat="1" applyFont="1" applyFill="1" applyBorder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14" fillId="0" borderId="0" xfId="52" applyNumberFormat="1" applyFont="1" applyFill="1">
      <alignment/>
      <protection/>
    </xf>
    <xf numFmtId="49" fontId="14" fillId="0" borderId="0" xfId="52" applyNumberFormat="1" applyFont="1" applyFill="1" applyAlignment="1">
      <alignment horizontal="center"/>
      <protection/>
    </xf>
    <xf numFmtId="0" fontId="5" fillId="0" borderId="0" xfId="52" applyFont="1" applyFill="1">
      <alignment/>
      <protection/>
    </xf>
    <xf numFmtId="49" fontId="19" fillId="0" borderId="11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19" fillId="0" borderId="0" xfId="52" applyNumberFormat="1" applyFont="1" applyFill="1" applyBorder="1" applyAlignment="1">
      <alignment horizontal="center" vertical="center"/>
      <protection/>
    </xf>
    <xf numFmtId="49" fontId="9" fillId="0" borderId="18" xfId="52" applyNumberFormat="1" applyFont="1" applyFill="1" applyBorder="1">
      <alignment/>
      <protection/>
    </xf>
    <xf numFmtId="49" fontId="9" fillId="0" borderId="19" xfId="52" applyNumberFormat="1" applyFont="1" applyFill="1" applyBorder="1" applyAlignment="1">
      <alignment horizontal="center"/>
      <protection/>
    </xf>
    <xf numFmtId="49" fontId="9" fillId="0" borderId="16" xfId="52" applyNumberFormat="1" applyFont="1" applyFill="1" applyBorder="1">
      <alignment/>
      <protection/>
    </xf>
    <xf numFmtId="49" fontId="9" fillId="0" borderId="20" xfId="52" applyNumberFormat="1" applyFont="1" applyFill="1" applyBorder="1" applyAlignment="1">
      <alignment horizontal="center"/>
      <protection/>
    </xf>
    <xf numFmtId="49" fontId="9" fillId="0" borderId="16" xfId="52" applyNumberFormat="1" applyFont="1" applyFill="1" applyBorder="1" applyAlignment="1">
      <alignment horizontal="center" vertical="center"/>
      <protection/>
    </xf>
    <xf numFmtId="49" fontId="9" fillId="0" borderId="15" xfId="52" applyNumberFormat="1" applyFont="1" applyFill="1" applyBorder="1" applyAlignment="1">
      <alignment horizontal="center" vertical="center"/>
      <protection/>
    </xf>
    <xf numFmtId="49" fontId="9" fillId="0" borderId="20" xfId="52" applyNumberFormat="1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top"/>
      <protection/>
    </xf>
    <xf numFmtId="0" fontId="10" fillId="0" borderId="14" xfId="52" applyFont="1" applyFill="1" applyBorder="1" applyAlignment="1">
      <alignment vertical="center" wrapText="1"/>
      <protection/>
    </xf>
    <xf numFmtId="49" fontId="3" fillId="0" borderId="0" xfId="52" applyNumberFormat="1" applyFont="1" applyFill="1" applyBorder="1" applyAlignment="1">
      <alignment horizontal="left" vertical="center"/>
      <protection/>
    </xf>
    <xf numFmtId="49" fontId="7" fillId="0" borderId="0" xfId="56" applyNumberFormat="1" applyFont="1" applyFill="1" applyAlignment="1">
      <alignment horizontal="center"/>
      <protection/>
    </xf>
    <xf numFmtId="49" fontId="14" fillId="0" borderId="0" xfId="56" applyNumberFormat="1" applyFont="1" applyFill="1">
      <alignment/>
      <protection/>
    </xf>
    <xf numFmtId="0" fontId="25" fillId="0" borderId="0" xfId="52" applyFont="1" applyFill="1">
      <alignment/>
      <protection/>
    </xf>
    <xf numFmtId="4" fontId="6" fillId="0" borderId="0" xfId="52" applyNumberFormat="1" applyFont="1" applyFill="1" applyBorder="1" applyAlignment="1">
      <alignment horizontal="right"/>
      <protection/>
    </xf>
    <xf numFmtId="49" fontId="3" fillId="0" borderId="0" xfId="55" applyNumberFormat="1" applyFont="1" applyFill="1" applyAlignment="1">
      <alignment horizontal="center"/>
      <protection/>
    </xf>
    <xf numFmtId="0" fontId="3" fillId="0" borderId="0" xfId="55" applyFont="1" applyFill="1">
      <alignment/>
      <protection/>
    </xf>
    <xf numFmtId="4" fontId="3" fillId="0" borderId="0" xfId="55" applyNumberFormat="1" applyFont="1" applyFill="1">
      <alignment/>
      <protection/>
    </xf>
    <xf numFmtId="49" fontId="14" fillId="0" borderId="0" xfId="55" applyNumberFormat="1" applyFont="1" applyFill="1">
      <alignment/>
      <protection/>
    </xf>
    <xf numFmtId="49" fontId="14" fillId="0" borderId="0" xfId="55" applyNumberFormat="1" applyFont="1" applyFill="1" applyAlignment="1">
      <alignment horizontal="center"/>
      <protection/>
    </xf>
    <xf numFmtId="0" fontId="14" fillId="0" borderId="0" xfId="55" applyFont="1" applyFill="1">
      <alignment/>
      <protection/>
    </xf>
    <xf numFmtId="4" fontId="14" fillId="0" borderId="0" xfId="55" applyNumberFormat="1" applyFont="1" applyFill="1">
      <alignment/>
      <protection/>
    </xf>
    <xf numFmtId="0" fontId="9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9" fillId="0" borderId="21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0" fontId="13" fillId="0" borderId="0" xfId="53" applyFont="1" applyFill="1" applyAlignment="1">
      <alignment vertical="center"/>
      <protection/>
    </xf>
    <xf numFmtId="49" fontId="5" fillId="0" borderId="10" xfId="52" applyNumberFormat="1" applyFont="1" applyFill="1" applyBorder="1" applyAlignment="1">
      <alignment horizontal="left" vertical="center"/>
      <protection/>
    </xf>
    <xf numFmtId="49" fontId="5" fillId="0" borderId="21" xfId="52" applyNumberFormat="1" applyFont="1" applyFill="1" applyBorder="1" applyAlignment="1">
      <alignment horizontal="center" vertical="center"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0" fontId="29" fillId="0" borderId="1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49" fontId="25" fillId="0" borderId="0" xfId="0" applyNumberFormat="1" applyFont="1" applyFill="1" applyAlignment="1">
      <alignment/>
    </xf>
    <xf numFmtId="49" fontId="14" fillId="0" borderId="0" xfId="52" applyNumberFormat="1" applyFont="1" applyFill="1" applyAlignment="1">
      <alignment horizontal="left"/>
      <protection/>
    </xf>
    <xf numFmtId="0" fontId="32" fillId="0" borderId="0" xfId="53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/>
    </xf>
    <xf numFmtId="49" fontId="16" fillId="0" borderId="0" xfId="52" applyNumberFormat="1" applyFont="1" applyFill="1" applyBorder="1" applyAlignment="1">
      <alignment horizontal="center"/>
      <protection/>
    </xf>
    <xf numFmtId="4" fontId="16" fillId="0" borderId="0" xfId="52" applyNumberFormat="1" applyFont="1" applyFill="1" applyBorder="1" applyAlignment="1">
      <alignment horizontal="right"/>
      <protection/>
    </xf>
    <xf numFmtId="4" fontId="48" fillId="0" borderId="0" xfId="53" applyNumberFormat="1" applyFont="1" applyFill="1" applyAlignment="1">
      <alignment horizontal="right" vertical="center"/>
      <protection/>
    </xf>
    <xf numFmtId="0" fontId="6" fillId="0" borderId="0" xfId="57" applyFont="1" applyFill="1" applyAlignment="1">
      <alignment horizontal="left"/>
      <protection/>
    </xf>
    <xf numFmtId="4" fontId="50" fillId="0" borderId="0" xfId="0" applyNumberFormat="1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1" fontId="19" fillId="0" borderId="0" xfId="52" applyNumberFormat="1" applyFont="1" applyFill="1" applyBorder="1" applyAlignment="1">
      <alignment horizontal="center" vertical="center"/>
      <protection/>
    </xf>
    <xf numFmtId="4" fontId="24" fillId="0" borderId="0" xfId="52" applyNumberFormat="1" applyFont="1" applyFill="1" applyBorder="1" applyAlignment="1">
      <alignment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1" fontId="24" fillId="0" borderId="0" xfId="52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13" fillId="0" borderId="0" xfId="52" applyNumberFormat="1" applyFont="1" applyFill="1" applyBorder="1" applyAlignment="1">
      <alignment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4" fontId="5" fillId="0" borderId="13" xfId="52" applyNumberFormat="1" applyFont="1" applyFill="1" applyBorder="1" applyAlignment="1">
      <alignment horizontal="right" vertical="center"/>
      <protection/>
    </xf>
    <xf numFmtId="4" fontId="2" fillId="0" borderId="0" xfId="52" applyNumberFormat="1" applyFont="1" applyFill="1" applyAlignment="1">
      <alignment vertical="center"/>
      <protection/>
    </xf>
    <xf numFmtId="0" fontId="9" fillId="0" borderId="0" xfId="52" applyFont="1" applyFill="1" applyAlignment="1">
      <alignment vertical="center"/>
      <protection/>
    </xf>
    <xf numFmtId="4" fontId="21" fillId="0" borderId="0" xfId="52" applyNumberFormat="1" applyFont="1" applyFill="1" applyBorder="1">
      <alignment/>
      <protection/>
    </xf>
    <xf numFmtId="49" fontId="14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/>
    </xf>
    <xf numFmtId="0" fontId="52" fillId="0" borderId="0" xfId="52" applyFont="1" applyFill="1" applyAlignment="1">
      <alignment horizontal="left"/>
      <protection/>
    </xf>
    <xf numFmtId="0" fontId="52" fillId="0" borderId="0" xfId="57" applyFont="1" applyFill="1" applyAlignment="1">
      <alignment horizontal="left"/>
      <protection/>
    </xf>
    <xf numFmtId="4" fontId="51" fillId="0" borderId="0" xfId="52" applyNumberFormat="1" applyFont="1" applyFill="1" applyBorder="1">
      <alignment/>
      <protection/>
    </xf>
    <xf numFmtId="4" fontId="35" fillId="0" borderId="0" xfId="52" applyNumberFormat="1" applyFont="1" applyFill="1" applyBorder="1">
      <alignment/>
      <protection/>
    </xf>
    <xf numFmtId="4" fontId="3" fillId="0" borderId="0" xfId="52" applyNumberFormat="1" applyFont="1" applyFill="1" applyBorder="1" applyAlignment="1">
      <alignment horizontal="right" vertical="center"/>
      <protection/>
    </xf>
    <xf numFmtId="4" fontId="2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 wrapText="1"/>
    </xf>
    <xf numFmtId="49" fontId="29" fillId="0" borderId="13" xfId="52" applyNumberFormat="1" applyFont="1" applyFill="1" applyBorder="1" applyAlignment="1">
      <alignment horizontal="left" vertical="center" wrapText="1"/>
      <protection/>
    </xf>
    <xf numFmtId="0" fontId="29" fillId="0" borderId="19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4" fontId="13" fillId="0" borderId="13" xfId="0" applyNumberFormat="1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horizontal="right" vertical="center"/>
    </xf>
    <xf numFmtId="49" fontId="5" fillId="0" borderId="22" xfId="52" applyNumberFormat="1" applyFont="1" applyFill="1" applyBorder="1" applyAlignment="1">
      <alignment horizontal="center" vertical="center"/>
      <protection/>
    </xf>
    <xf numFmtId="49" fontId="3" fillId="0" borderId="21" xfId="52" applyNumberFormat="1" applyFont="1" applyFill="1" applyBorder="1" applyAlignment="1">
      <alignment horizontal="center" vertical="center"/>
      <protection/>
    </xf>
    <xf numFmtId="4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11" fillId="0" borderId="1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30" fillId="0" borderId="19" xfId="0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9" fillId="0" borderId="21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/>
    </xf>
    <xf numFmtId="4" fontId="38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/>
    </xf>
    <xf numFmtId="0" fontId="29" fillId="0" borderId="19" xfId="54" applyFont="1" applyFill="1" applyBorder="1" applyAlignment="1">
      <alignment horizontal="left" vertical="center" wrapText="1"/>
      <protection/>
    </xf>
    <xf numFmtId="0" fontId="29" fillId="0" borderId="13" xfId="54" applyFont="1" applyFill="1" applyBorder="1" applyAlignment="1">
      <alignment horizontal="left" vertical="center" wrapText="1"/>
      <protection/>
    </xf>
    <xf numFmtId="0" fontId="29" fillId="0" borderId="14" xfId="54" applyFont="1" applyFill="1" applyBorder="1" applyAlignment="1">
      <alignment horizontal="left" vertical="center" wrapText="1"/>
      <protection/>
    </xf>
    <xf numFmtId="0" fontId="31" fillId="0" borderId="15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5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4" fontId="42" fillId="0" borderId="0" xfId="52" applyNumberFormat="1" applyFont="1" applyFill="1" applyBorder="1">
      <alignment/>
      <protection/>
    </xf>
    <xf numFmtId="4" fontId="20" fillId="0" borderId="0" xfId="52" applyNumberFormat="1" applyFont="1" applyFill="1" applyBorder="1">
      <alignment/>
      <protection/>
    </xf>
    <xf numFmtId="4" fontId="9" fillId="0" borderId="0" xfId="52" applyNumberFormat="1" applyFont="1" applyFill="1" applyBorder="1">
      <alignment/>
      <protection/>
    </xf>
    <xf numFmtId="4" fontId="37" fillId="0" borderId="0" xfId="52" applyNumberFormat="1" applyFont="1" applyFill="1" applyBorder="1">
      <alignment/>
      <protection/>
    </xf>
    <xf numFmtId="4" fontId="22" fillId="0" borderId="0" xfId="52" applyNumberFormat="1" applyFont="1" applyFill="1" applyBorder="1">
      <alignment/>
      <protection/>
    </xf>
    <xf numFmtId="4" fontId="43" fillId="0" borderId="0" xfId="52" applyNumberFormat="1" applyFont="1" applyFill="1" applyBorder="1">
      <alignment/>
      <protection/>
    </xf>
    <xf numFmtId="4" fontId="44" fillId="0" borderId="0" xfId="52" applyNumberFormat="1" applyFont="1" applyFill="1" applyBorder="1">
      <alignment/>
      <protection/>
    </xf>
    <xf numFmtId="4" fontId="26" fillId="0" borderId="0" xfId="52" applyNumberFormat="1" applyFont="1" applyFill="1" applyBorder="1">
      <alignment/>
      <protection/>
    </xf>
    <xf numFmtId="4" fontId="24" fillId="0" borderId="0" xfId="52" applyNumberFormat="1" applyFont="1" applyFill="1" applyBorder="1">
      <alignment/>
      <protection/>
    </xf>
    <xf numFmtId="4" fontId="5" fillId="0" borderId="0" xfId="52" applyNumberFormat="1" applyFont="1" applyFill="1" applyBorder="1">
      <alignment/>
      <protection/>
    </xf>
    <xf numFmtId="4" fontId="19" fillId="0" borderId="0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22" fillId="0" borderId="0" xfId="52" applyNumberFormat="1" applyFont="1" applyFill="1" applyBorder="1" applyAlignment="1">
      <alignment vertical="center"/>
      <protection/>
    </xf>
    <xf numFmtId="4" fontId="23" fillId="0" borderId="0" xfId="52" applyNumberFormat="1" applyFont="1" applyFill="1" applyBorder="1">
      <alignment/>
      <protection/>
    </xf>
    <xf numFmtId="4" fontId="49" fillId="0" borderId="0" xfId="52" applyNumberFormat="1" applyFont="1" applyFill="1" applyBorder="1">
      <alignment/>
      <protection/>
    </xf>
    <xf numFmtId="4" fontId="35" fillId="0" borderId="0" xfId="52" applyNumberFormat="1" applyFont="1" applyFill="1" applyBorder="1" applyAlignment="1">
      <alignment vertical="center"/>
      <protection/>
    </xf>
    <xf numFmtId="4" fontId="20" fillId="0" borderId="0" xfId="52" applyNumberFormat="1" applyFont="1" applyFill="1" applyBorder="1" applyAlignment="1">
      <alignment vertical="center"/>
      <protection/>
    </xf>
    <xf numFmtId="4" fontId="9" fillId="0" borderId="0" xfId="52" applyNumberFormat="1" applyFont="1" applyFill="1" applyBorder="1" applyAlignment="1">
      <alignment vertical="center"/>
      <protection/>
    </xf>
    <xf numFmtId="4" fontId="3" fillId="33" borderId="13" xfId="0" applyNumberFormat="1" applyFont="1" applyFill="1" applyBorder="1" applyAlignment="1">
      <alignment vertical="center"/>
    </xf>
    <xf numFmtId="49" fontId="5" fillId="0" borderId="14" xfId="52" applyNumberFormat="1" applyFont="1" applyFill="1" applyBorder="1" applyAlignment="1">
      <alignment horizontal="center" vertical="center"/>
      <protection/>
    </xf>
    <xf numFmtId="4" fontId="5" fillId="0" borderId="11" xfId="52" applyNumberFormat="1" applyFont="1" applyFill="1" applyBorder="1" applyAlignment="1">
      <alignment horizontal="right" vertical="center" wrapText="1"/>
      <protection/>
    </xf>
    <xf numFmtId="4" fontId="5" fillId="0" borderId="12" xfId="52" applyNumberFormat="1" applyFont="1" applyFill="1" applyBorder="1" applyAlignment="1">
      <alignment horizontal="right" vertical="center" wrapText="1"/>
      <protection/>
    </xf>
    <xf numFmtId="0" fontId="9" fillId="0" borderId="12" xfId="52" applyFont="1" applyFill="1" applyBorder="1" applyAlignment="1">
      <alignment horizontal="center" vertical="center"/>
      <protection/>
    </xf>
    <xf numFmtId="4" fontId="54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28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" fillId="0" borderId="23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 wrapText="1"/>
    </xf>
    <xf numFmtId="0" fontId="55" fillId="0" borderId="23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0" fontId="31" fillId="0" borderId="18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/>
    </xf>
    <xf numFmtId="0" fontId="31" fillId="0" borderId="18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/>
    </xf>
    <xf numFmtId="0" fontId="29" fillId="0" borderId="11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/>
    </xf>
    <xf numFmtId="0" fontId="31" fillId="0" borderId="21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left" vertical="center"/>
    </xf>
    <xf numFmtId="4" fontId="5" fillId="0" borderId="13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center" vertical="center"/>
    </xf>
    <xf numFmtId="49" fontId="29" fillId="0" borderId="0" xfId="52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29" fillId="0" borderId="10" xfId="52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 wrapText="1"/>
    </xf>
    <xf numFmtId="4" fontId="13" fillId="0" borderId="17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4" fontId="54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5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wrapText="1"/>
    </xf>
    <xf numFmtId="4" fontId="29" fillId="0" borderId="0" xfId="0" applyNumberFormat="1" applyFont="1" applyFill="1" applyAlignment="1">
      <alignment wrapText="1"/>
    </xf>
    <xf numFmtId="0" fontId="55" fillId="0" borderId="0" xfId="0" applyFont="1" applyFill="1" applyAlignment="1">
      <alignment horizontal="left"/>
    </xf>
    <xf numFmtId="1" fontId="56" fillId="0" borderId="0" xfId="0" applyNumberFormat="1" applyFont="1" applyFill="1" applyAlignment="1">
      <alignment horizontal="center"/>
    </xf>
    <xf numFmtId="1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left" wrapText="1"/>
    </xf>
    <xf numFmtId="0" fontId="2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29" fillId="0" borderId="18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right" vertical="center" wrapText="1"/>
    </xf>
    <xf numFmtId="0" fontId="29" fillId="0" borderId="1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1" fontId="29" fillId="0" borderId="2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" fontId="56" fillId="0" borderId="13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/>
    </xf>
    <xf numFmtId="4" fontId="58" fillId="0" borderId="0" xfId="0" applyNumberFormat="1" applyFont="1" applyFill="1" applyAlignment="1">
      <alignment/>
    </xf>
    <xf numFmtId="0" fontId="11" fillId="0" borderId="22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vertical="center"/>
    </xf>
    <xf numFmtId="4" fontId="59" fillId="0" borderId="0" xfId="0" applyNumberFormat="1" applyFont="1" applyFill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vertical="center"/>
    </xf>
    <xf numFmtId="4" fontId="29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6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25" fillId="0" borderId="2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vertical="center" wrapText="1"/>
    </xf>
    <xf numFmtId="4" fontId="30" fillId="0" borderId="13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4" fontId="61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29" fillId="0" borderId="18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4" fontId="31" fillId="0" borderId="10" xfId="0" applyNumberFormat="1" applyFont="1" applyFill="1" applyBorder="1" applyAlignment="1">
      <alignment vertical="center" wrapText="1"/>
    </xf>
    <xf numFmtId="4" fontId="31" fillId="0" borderId="13" xfId="0" applyNumberFormat="1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vertical="center" wrapText="1"/>
    </xf>
    <xf numFmtId="4" fontId="29" fillId="0" borderId="13" xfId="0" applyNumberFormat="1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31" fillId="0" borderId="22" xfId="0" applyNumberFormat="1" applyFont="1" applyFill="1" applyBorder="1" applyAlignment="1">
      <alignment vertical="center" wrapText="1"/>
    </xf>
    <xf numFmtId="4" fontId="31" fillId="0" borderId="12" xfId="0" applyNumberFormat="1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vertical="center" wrapText="1"/>
    </xf>
    <xf numFmtId="4" fontId="30" fillId="0" borderId="2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>
      <alignment vertical="center" wrapText="1"/>
    </xf>
    <xf numFmtId="0" fontId="29" fillId="0" borderId="24" xfId="0" applyFont="1" applyFill="1" applyBorder="1" applyAlignment="1">
      <alignment vertical="center" wrapText="1"/>
    </xf>
    <xf numFmtId="4" fontId="29" fillId="0" borderId="17" xfId="0" applyNumberFormat="1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52" applyFont="1" applyFill="1" applyBorder="1" applyAlignment="1">
      <alignment vertical="center" wrapText="1"/>
      <protection/>
    </xf>
    <xf numFmtId="4" fontId="29" fillId="0" borderId="13" xfId="0" applyNumberFormat="1" applyFont="1" applyFill="1" applyBorder="1" applyAlignment="1">
      <alignment vertical="center" wrapText="1"/>
    </xf>
    <xf numFmtId="4" fontId="29" fillId="0" borderId="11" xfId="0" applyNumberFormat="1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3" xfId="52" applyFont="1" applyFill="1" applyBorder="1" applyAlignment="1">
      <alignment vertical="center" wrapText="1"/>
      <protection/>
    </xf>
    <xf numFmtId="0" fontId="29" fillId="0" borderId="12" xfId="52" applyFont="1" applyFill="1" applyBorder="1" applyAlignment="1">
      <alignment vertical="center" wrapText="1"/>
      <protection/>
    </xf>
    <xf numFmtId="4" fontId="29" fillId="0" borderId="12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vertical="center" wrapText="1"/>
    </xf>
    <xf numFmtId="0" fontId="31" fillId="0" borderId="22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29" fillId="0" borderId="11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4" fontId="62" fillId="0" borderId="0" xfId="0" applyNumberFormat="1" applyFont="1" applyFill="1" applyAlignment="1">
      <alignment/>
    </xf>
    <xf numFmtId="0" fontId="27" fillId="0" borderId="2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4" fontId="63" fillId="0" borderId="0" xfId="0" applyNumberFormat="1" applyFont="1" applyFill="1" applyAlignment="1">
      <alignment/>
    </xf>
    <xf numFmtId="0" fontId="25" fillId="0" borderId="16" xfId="0" applyFont="1" applyFill="1" applyBorder="1" applyAlignment="1">
      <alignment horizontal="center" vertical="center"/>
    </xf>
    <xf numFmtId="4" fontId="30" fillId="0" borderId="13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wrapText="1"/>
    </xf>
    <xf numFmtId="0" fontId="12" fillId="0" borderId="20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4" fontId="29" fillId="0" borderId="10" xfId="52" applyNumberFormat="1" applyFont="1" applyFill="1" applyBorder="1" applyAlignment="1">
      <alignment vertical="center"/>
      <protection/>
    </xf>
    <xf numFmtId="4" fontId="29" fillId="0" borderId="13" xfId="52" applyNumberFormat="1" applyFont="1" applyFill="1" applyBorder="1" applyAlignment="1">
      <alignment vertical="center"/>
      <protection/>
    </xf>
    <xf numFmtId="0" fontId="30" fillId="0" borderId="10" xfId="52" applyFont="1" applyFill="1" applyBorder="1" applyAlignment="1">
      <alignment vertical="center" wrapText="1"/>
      <protection/>
    </xf>
    <xf numFmtId="4" fontId="30" fillId="0" borderId="10" xfId="52" applyNumberFormat="1" applyFont="1" applyFill="1" applyBorder="1" applyAlignment="1">
      <alignment vertical="center"/>
      <protection/>
    </xf>
    <xf numFmtId="4" fontId="30" fillId="0" borderId="13" xfId="52" applyNumberFormat="1" applyFont="1" applyFill="1" applyBorder="1" applyAlignment="1">
      <alignment vertical="center"/>
      <protection/>
    </xf>
    <xf numFmtId="0" fontId="29" fillId="0" borderId="10" xfId="52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31" fillId="0" borderId="10" xfId="52" applyFont="1" applyFill="1" applyBorder="1" applyAlignment="1">
      <alignment vertical="center" wrapText="1"/>
      <protection/>
    </xf>
    <xf numFmtId="4" fontId="31" fillId="0" borderId="10" xfId="52" applyNumberFormat="1" applyFont="1" applyFill="1" applyBorder="1" applyAlignment="1">
      <alignment vertical="center" wrapText="1"/>
      <protection/>
    </xf>
    <xf numFmtId="4" fontId="31" fillId="0" borderId="13" xfId="52" applyNumberFormat="1" applyFont="1" applyFill="1" applyBorder="1" applyAlignment="1">
      <alignment vertical="center" wrapText="1"/>
      <protection/>
    </xf>
    <xf numFmtId="0" fontId="30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30" fillId="0" borderId="22" xfId="0" applyFont="1" applyFill="1" applyBorder="1" applyAlignment="1">
      <alignment horizontal="center" vertical="center"/>
    </xf>
    <xf numFmtId="4" fontId="30" fillId="0" borderId="10" xfId="52" applyNumberFormat="1" applyFont="1" applyFill="1" applyBorder="1" applyAlignment="1">
      <alignment vertical="center" wrapText="1"/>
      <protection/>
    </xf>
    <xf numFmtId="4" fontId="30" fillId="0" borderId="13" xfId="52" applyNumberFormat="1" applyFont="1" applyFill="1" applyBorder="1" applyAlignment="1">
      <alignment vertical="center" wrapText="1"/>
      <protection/>
    </xf>
    <xf numFmtId="0" fontId="12" fillId="0" borderId="21" xfId="0" applyFont="1" applyFill="1" applyBorder="1" applyAlignment="1">
      <alignment vertical="center"/>
    </xf>
    <xf numFmtId="0" fontId="31" fillId="0" borderId="11" xfId="52" applyFont="1" applyFill="1" applyBorder="1" applyAlignment="1">
      <alignment vertical="center" wrapText="1"/>
      <protection/>
    </xf>
    <xf numFmtId="4" fontId="31" fillId="0" borderId="10" xfId="52" applyNumberFormat="1" applyFont="1" applyFill="1" applyBorder="1" applyAlignment="1">
      <alignment vertical="center"/>
      <protection/>
    </xf>
    <xf numFmtId="4" fontId="31" fillId="0" borderId="13" xfId="52" applyNumberFormat="1" applyFont="1" applyFill="1" applyBorder="1" applyAlignment="1">
      <alignment vertical="center"/>
      <protection/>
    </xf>
    <xf numFmtId="0" fontId="30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4" fontId="29" fillId="0" borderId="16" xfId="0" applyNumberFormat="1" applyFont="1" applyFill="1" applyBorder="1" applyAlignment="1">
      <alignment vertical="center"/>
    </xf>
    <xf numFmtId="0" fontId="29" fillId="0" borderId="13" xfId="52" applyFont="1" applyFill="1" applyBorder="1" applyAlignment="1">
      <alignment vertical="center" wrapText="1"/>
      <protection/>
    </xf>
    <xf numFmtId="0" fontId="31" fillId="0" borderId="13" xfId="52" applyFont="1" applyFill="1" applyBorder="1" applyAlignment="1">
      <alignment vertical="center" wrapText="1"/>
      <protection/>
    </xf>
    <xf numFmtId="0" fontId="63" fillId="0" borderId="0" xfId="0" applyFont="1" applyFill="1" applyAlignment="1">
      <alignment vertical="center"/>
    </xf>
    <xf numFmtId="4" fontId="63" fillId="0" borderId="0" xfId="0" applyNumberFormat="1" applyFont="1" applyFill="1" applyAlignment="1">
      <alignment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13" xfId="52" applyFont="1" applyFill="1" applyBorder="1" applyAlignment="1">
      <alignment vertical="center" wrapText="1"/>
      <protection/>
    </xf>
    <xf numFmtId="0" fontId="62" fillId="0" borderId="0" xfId="0" applyFont="1" applyFill="1" applyAlignment="1">
      <alignment vertical="center"/>
    </xf>
    <xf numFmtId="4" fontId="62" fillId="0" borderId="0" xfId="0" applyNumberFormat="1" applyFont="1" applyFill="1" applyAlignment="1">
      <alignment vertical="center"/>
    </xf>
    <xf numFmtId="0" fontId="29" fillId="0" borderId="24" xfId="0" applyFont="1" applyFill="1" applyBorder="1" applyAlignment="1">
      <alignment horizontal="center" vertical="center"/>
    </xf>
    <xf numFmtId="4" fontId="29" fillId="0" borderId="13" xfId="52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29" fillId="0" borderId="13" xfId="52" applyFont="1" applyFill="1" applyBorder="1" applyAlignment="1">
      <alignment horizontal="left" vertical="top" wrapText="1"/>
      <protection/>
    </xf>
    <xf numFmtId="4" fontId="57" fillId="0" borderId="0" xfId="0" applyNumberFormat="1" applyFont="1" applyFill="1" applyAlignment="1">
      <alignment vertical="center"/>
    </xf>
    <xf numFmtId="0" fontId="30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4" fontId="29" fillId="0" borderId="0" xfId="0" applyNumberFormat="1" applyFont="1" applyFill="1" applyAlignment="1">
      <alignment vertical="center"/>
    </xf>
    <xf numFmtId="4" fontId="29" fillId="0" borderId="0" xfId="0" applyNumberFormat="1" applyFont="1" applyFill="1" applyAlignment="1">
      <alignment/>
    </xf>
    <xf numFmtId="4" fontId="60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center" vertical="center"/>
    </xf>
    <xf numFmtId="4" fontId="64" fillId="0" borderId="0" xfId="0" applyNumberFormat="1" applyFont="1" applyFill="1" applyAlignment="1">
      <alignment/>
    </xf>
    <xf numFmtId="4" fontId="65" fillId="0" borderId="0" xfId="0" applyNumberFormat="1" applyFont="1" applyFill="1" applyAlignment="1">
      <alignment/>
    </xf>
    <xf numFmtId="49" fontId="5" fillId="0" borderId="10" xfId="52" applyNumberFormat="1" applyFont="1" applyFill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center" vertical="center"/>
      <protection/>
    </xf>
    <xf numFmtId="0" fontId="5" fillId="0" borderId="22" xfId="52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center" vertic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4" fontId="3" fillId="0" borderId="13" xfId="52" applyNumberFormat="1" applyFont="1" applyFill="1" applyBorder="1" applyAlignment="1">
      <alignment horizontal="right" vertical="center"/>
      <protection/>
    </xf>
    <xf numFmtId="4" fontId="3" fillId="0" borderId="11" xfId="52" applyNumberFormat="1" applyFont="1" applyFill="1" applyBorder="1" applyAlignment="1">
      <alignment horizontal="right" vertical="center" wrapText="1"/>
      <protection/>
    </xf>
    <xf numFmtId="4" fontId="3" fillId="0" borderId="11" xfId="52" applyNumberFormat="1" applyFont="1" applyFill="1" applyBorder="1" applyAlignment="1">
      <alignment horizontal="right" vertical="center"/>
      <protection/>
    </xf>
    <xf numFmtId="4" fontId="38" fillId="0" borderId="0" xfId="52" applyNumberFormat="1" applyFont="1" applyFill="1" applyBorder="1" applyAlignment="1">
      <alignment vertical="center"/>
      <protection/>
    </xf>
    <xf numFmtId="0" fontId="3" fillId="0" borderId="22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9" fontId="3" fillId="0" borderId="0" xfId="56" applyNumberFormat="1" applyFont="1" applyFill="1">
      <alignment/>
      <protection/>
    </xf>
    <xf numFmtId="4" fontId="34" fillId="0" borderId="0" xfId="52" applyNumberFormat="1" applyFont="1" applyFill="1" applyBorder="1" applyAlignment="1">
      <alignment vertical="center"/>
      <protection/>
    </xf>
    <xf numFmtId="49" fontId="28" fillId="0" borderId="0" xfId="56" applyNumberFormat="1" applyFont="1" applyFill="1">
      <alignment/>
      <protection/>
    </xf>
    <xf numFmtId="49" fontId="66" fillId="0" borderId="0" xfId="52" applyNumberFormat="1" applyFont="1" applyFill="1">
      <alignment/>
      <protection/>
    </xf>
    <xf numFmtId="49" fontId="7" fillId="0" borderId="0" xfId="56" applyNumberFormat="1" applyFont="1" applyFill="1">
      <alignment/>
      <protection/>
    </xf>
    <xf numFmtId="4" fontId="21" fillId="0" borderId="0" xfId="52" applyNumberFormat="1" applyFont="1" applyFill="1" applyBorder="1" applyAlignment="1">
      <alignment vertical="center"/>
      <protection/>
    </xf>
    <xf numFmtId="49" fontId="4" fillId="0" borderId="0" xfId="52" applyNumberFormat="1" applyFont="1" applyFill="1">
      <alignment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56" applyNumberFormat="1" applyFont="1" applyFill="1" applyBorder="1" applyAlignment="1">
      <alignment horizontal="center"/>
      <protection/>
    </xf>
    <xf numFmtId="4" fontId="5" fillId="0" borderId="0" xfId="52" applyNumberFormat="1" applyFont="1" applyFill="1">
      <alignment/>
      <protection/>
    </xf>
    <xf numFmtId="0" fontId="3" fillId="0" borderId="20" xfId="52" applyFont="1" applyFill="1" applyBorder="1" applyAlignment="1">
      <alignment horizontal="center" vertical="center"/>
      <protection/>
    </xf>
    <xf numFmtId="4" fontId="5" fillId="0" borderId="13" xfId="52" applyNumberFormat="1" applyFont="1" applyFill="1" applyBorder="1" applyAlignment="1">
      <alignment horizontal="right" vertical="top"/>
      <protection/>
    </xf>
    <xf numFmtId="49" fontId="3" fillId="0" borderId="20" xfId="52" applyNumberFormat="1" applyFont="1" applyFill="1" applyBorder="1" applyAlignment="1">
      <alignment horizontal="center" vertical="center"/>
      <protection/>
    </xf>
    <xf numFmtId="49" fontId="5" fillId="0" borderId="15" xfId="52" applyNumberFormat="1" applyFont="1" applyFill="1" applyBorder="1" applyAlignment="1">
      <alignment horizontal="center" vertical="center"/>
      <protection/>
    </xf>
    <xf numFmtId="49" fontId="5" fillId="0" borderId="22" xfId="52" applyNumberFormat="1" applyFont="1" applyFill="1" applyBorder="1" applyAlignment="1">
      <alignment vertical="center"/>
      <protection/>
    </xf>
    <xf numFmtId="49" fontId="5" fillId="0" borderId="19" xfId="52" applyNumberFormat="1" applyFont="1" applyFill="1" applyBorder="1" applyAlignment="1">
      <alignment horizontal="center" vertical="center"/>
      <protection/>
    </xf>
    <xf numFmtId="49" fontId="3" fillId="0" borderId="24" xfId="52" applyNumberFormat="1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4" fontId="3" fillId="0" borderId="13" xfId="52" applyNumberFormat="1" applyFont="1" applyFill="1" applyBorder="1" applyAlignment="1">
      <alignment horizontal="right" vertical="top"/>
      <protection/>
    </xf>
    <xf numFmtId="49" fontId="3" fillId="0" borderId="12" xfId="52" applyNumberFormat="1" applyFont="1" applyFill="1" applyBorder="1" applyAlignment="1">
      <alignment horizontal="center" vertical="center"/>
      <protection/>
    </xf>
    <xf numFmtId="0" fontId="3" fillId="0" borderId="19" xfId="52" applyFont="1" applyFill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center" vertical="center"/>
      <protection/>
    </xf>
    <xf numFmtId="0" fontId="3" fillId="0" borderId="16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 vertical="center"/>
      <protection/>
    </xf>
    <xf numFmtId="4" fontId="39" fillId="0" borderId="0" xfId="52" applyNumberFormat="1" applyFont="1" applyFill="1" applyBorder="1" applyAlignment="1">
      <alignment vertical="center"/>
      <protection/>
    </xf>
    <xf numFmtId="4" fontId="12" fillId="0" borderId="0" xfId="52" applyNumberFormat="1" applyFont="1" applyFill="1" applyBorder="1" applyAlignment="1">
      <alignment vertical="center"/>
      <protection/>
    </xf>
    <xf numFmtId="0" fontId="12" fillId="0" borderId="0" xfId="52" applyFont="1" applyFill="1" applyAlignment="1">
      <alignment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49" fontId="3" fillId="0" borderId="22" xfId="52" applyNumberFormat="1" applyFont="1" applyFill="1" applyBorder="1" applyAlignment="1">
      <alignment horizontal="center" vertical="center"/>
      <protection/>
    </xf>
    <xf numFmtId="4" fontId="29" fillId="34" borderId="13" xfId="0" applyNumberFormat="1" applyFont="1" applyFill="1" applyBorder="1" applyAlignment="1">
      <alignment vertical="center" wrapText="1"/>
    </xf>
    <xf numFmtId="4" fontId="29" fillId="34" borderId="10" xfId="52" applyNumberFormat="1" applyFont="1" applyFill="1" applyBorder="1" applyAlignment="1">
      <alignment vertical="center"/>
      <protection/>
    </xf>
    <xf numFmtId="4" fontId="29" fillId="34" borderId="13" xfId="0" applyNumberFormat="1" applyFont="1" applyFill="1" applyBorder="1" applyAlignment="1">
      <alignment vertical="center"/>
    </xf>
    <xf numFmtId="0" fontId="29" fillId="34" borderId="11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vertical="center" wrapText="1"/>
    </xf>
    <xf numFmtId="4" fontId="29" fillId="34" borderId="10" xfId="0" applyNumberFormat="1" applyFont="1" applyFill="1" applyBorder="1" applyAlignment="1">
      <alignment vertical="center" wrapText="1"/>
    </xf>
    <xf numFmtId="0" fontId="29" fillId="34" borderId="21" xfId="0" applyFont="1" applyFill="1" applyBorder="1" applyAlignment="1">
      <alignment horizontal="center" vertical="center"/>
    </xf>
    <xf numFmtId="4" fontId="29" fillId="34" borderId="10" xfId="0" applyNumberFormat="1" applyFont="1" applyFill="1" applyBorder="1" applyAlignment="1">
      <alignment vertical="center"/>
    </xf>
    <xf numFmtId="0" fontId="29" fillId="0" borderId="22" xfId="0" applyFont="1" applyFill="1" applyBorder="1" applyAlignment="1">
      <alignment horizontal="center" vertical="center"/>
    </xf>
    <xf numFmtId="0" fontId="29" fillId="34" borderId="22" xfId="0" applyFont="1" applyFill="1" applyBorder="1" applyAlignment="1">
      <alignment horizontal="center" vertical="center"/>
    </xf>
    <xf numFmtId="0" fontId="29" fillId="34" borderId="22" xfId="0" applyFont="1" applyFill="1" applyBorder="1" applyAlignment="1">
      <alignment vertical="center" wrapText="1"/>
    </xf>
    <xf numFmtId="4" fontId="13" fillId="0" borderId="0" xfId="52" applyNumberFormat="1" applyFont="1" applyFill="1" applyAlignment="1">
      <alignment vertical="center"/>
      <protection/>
    </xf>
    <xf numFmtId="49" fontId="13" fillId="0" borderId="0" xfId="52" applyNumberFormat="1" applyFont="1" applyFill="1">
      <alignment/>
      <protection/>
    </xf>
    <xf numFmtId="49" fontId="33" fillId="0" borderId="0" xfId="56" applyNumberFormat="1" applyFont="1" applyFill="1">
      <alignment/>
      <protection/>
    </xf>
    <xf numFmtId="49" fontId="13" fillId="0" borderId="0" xfId="52" applyNumberFormat="1" applyFont="1" applyFill="1" applyBorder="1" applyAlignment="1">
      <alignment horizontal="center" vertical="center"/>
      <protection/>
    </xf>
    <xf numFmtId="4" fontId="27" fillId="0" borderId="0" xfId="0" applyNumberFormat="1" applyFont="1" applyFill="1" applyAlignment="1">
      <alignment vertical="center"/>
    </xf>
    <xf numFmtId="49" fontId="13" fillId="0" borderId="0" xfId="52" applyNumberFormat="1" applyFont="1" applyFill="1" applyBorder="1" applyAlignment="1">
      <alignment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4" fontId="3" fillId="34" borderId="13" xfId="0" applyNumberFormat="1" applyFont="1" applyFill="1" applyBorder="1" applyAlignment="1">
      <alignment vertical="center"/>
    </xf>
    <xf numFmtId="4" fontId="3" fillId="34" borderId="12" xfId="0" applyNumberFormat="1" applyFont="1" applyFill="1" applyBorder="1" applyAlignment="1">
      <alignment horizontal="right" vertical="center" wrapText="1"/>
    </xf>
    <xf numFmtId="0" fontId="29" fillId="34" borderId="13" xfId="0" applyFont="1" applyFill="1" applyBorder="1" applyAlignment="1">
      <alignment horizontal="left" vertical="center" wrapText="1"/>
    </xf>
    <xf numFmtId="0" fontId="29" fillId="34" borderId="23" xfId="0" applyFont="1" applyFill="1" applyBorder="1" applyAlignment="1">
      <alignment horizontal="left"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49" fontId="5" fillId="0" borderId="10" xfId="52" applyNumberFormat="1" applyFont="1" applyFill="1" applyBorder="1" applyAlignment="1">
      <alignment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4" fontId="20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53" applyNumberFormat="1" applyFont="1" applyFill="1" applyBorder="1" applyAlignment="1">
      <alignment vertical="center"/>
      <protection/>
    </xf>
    <xf numFmtId="4" fontId="3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 applyBorder="1" applyAlignment="1">
      <alignment vertical="center"/>
      <protection/>
    </xf>
    <xf numFmtId="4" fontId="9" fillId="0" borderId="0" xfId="0" applyNumberFormat="1" applyFont="1" applyFill="1" applyBorder="1" applyAlignment="1">
      <alignment vertical="center"/>
    </xf>
    <xf numFmtId="4" fontId="9" fillId="0" borderId="0" xfId="53" applyNumberFormat="1" applyFont="1" applyFill="1" applyBorder="1">
      <alignment/>
      <protection/>
    </xf>
    <xf numFmtId="4" fontId="3" fillId="0" borderId="0" xfId="53" applyNumberFormat="1" applyFont="1" applyFill="1" applyBorder="1">
      <alignment/>
      <protection/>
    </xf>
    <xf numFmtId="0" fontId="9" fillId="0" borderId="0" xfId="53" applyFont="1" applyFill="1" applyBorder="1">
      <alignment/>
      <protection/>
    </xf>
    <xf numFmtId="4" fontId="21" fillId="0" borderId="0" xfId="53" applyNumberFormat="1" applyFont="1" applyFill="1" applyBorder="1">
      <alignment/>
      <protection/>
    </xf>
    <xf numFmtId="4" fontId="19" fillId="0" borderId="0" xfId="53" applyNumberFormat="1" applyFont="1" applyFill="1" applyBorder="1">
      <alignment/>
      <protection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2" fillId="0" borderId="0" xfId="53" applyNumberFormat="1" applyFont="1" applyFill="1" applyBorder="1">
      <alignment/>
      <protection/>
    </xf>
    <xf numFmtId="4" fontId="20" fillId="0" borderId="0" xfId="53" applyNumberFormat="1" applyFont="1" applyFill="1" applyBorder="1">
      <alignment/>
      <protection/>
    </xf>
    <xf numFmtId="4" fontId="19" fillId="0" borderId="0" xfId="0" applyNumberFormat="1" applyFont="1" applyFill="1" applyBorder="1" applyAlignment="1">
      <alignment/>
    </xf>
    <xf numFmtId="4" fontId="35" fillId="0" borderId="0" xfId="0" applyNumberFormat="1" applyFont="1" applyFill="1" applyBorder="1" applyAlignment="1">
      <alignment/>
    </xf>
    <xf numFmtId="4" fontId="34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/>
    </xf>
    <xf numFmtId="4" fontId="34" fillId="0" borderId="0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4" fontId="34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40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/>
    </xf>
    <xf numFmtId="4" fontId="36" fillId="0" borderId="0" xfId="52" applyNumberFormat="1" applyFont="1" applyFill="1" applyBorder="1">
      <alignment/>
      <protection/>
    </xf>
    <xf numFmtId="4" fontId="41" fillId="0" borderId="0" xfId="52" applyNumberFormat="1" applyFont="1" applyFill="1" applyBorder="1">
      <alignment/>
      <protection/>
    </xf>
    <xf numFmtId="4" fontId="11" fillId="0" borderId="0" xfId="52" applyNumberFormat="1" applyFont="1" applyFill="1" applyBorder="1">
      <alignment/>
      <protection/>
    </xf>
    <xf numFmtId="4" fontId="34" fillId="0" borderId="0" xfId="52" applyNumberFormat="1" applyFont="1" applyFill="1" applyBorder="1">
      <alignment/>
      <protection/>
    </xf>
    <xf numFmtId="4" fontId="37" fillId="0" borderId="0" xfId="52" applyNumberFormat="1" applyFont="1" applyFill="1" applyBorder="1" applyAlignment="1">
      <alignment vertical="center"/>
      <protection/>
    </xf>
    <xf numFmtId="0" fontId="9" fillId="0" borderId="0" xfId="52" applyFont="1" applyFill="1" applyBorder="1" applyAlignment="1">
      <alignment vertical="center"/>
      <protection/>
    </xf>
    <xf numFmtId="0" fontId="5" fillId="0" borderId="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4" fontId="40" fillId="0" borderId="0" xfId="52" applyNumberFormat="1" applyFont="1" applyFill="1" applyBorder="1" applyAlignment="1">
      <alignment vertical="center"/>
      <protection/>
    </xf>
    <xf numFmtId="0" fontId="12" fillId="0" borderId="0" xfId="52" applyFont="1" applyFill="1" applyBorder="1" applyAlignment="1">
      <alignment vertical="center"/>
      <protection/>
    </xf>
    <xf numFmtId="4" fontId="67" fillId="0" borderId="0" xfId="52" applyNumberFormat="1" applyFont="1" applyFill="1" applyBorder="1" applyAlignment="1">
      <alignment vertical="center"/>
      <protection/>
    </xf>
    <xf numFmtId="4" fontId="68" fillId="0" borderId="0" xfId="52" applyNumberFormat="1" applyFont="1" applyFill="1" applyBorder="1" applyAlignment="1">
      <alignment vertical="center"/>
      <protection/>
    </xf>
    <xf numFmtId="4" fontId="69" fillId="0" borderId="0" xfId="52" applyNumberFormat="1" applyFont="1" applyFill="1" applyBorder="1" applyAlignment="1">
      <alignment vertical="center"/>
      <protection/>
    </xf>
    <xf numFmtId="0" fontId="35" fillId="0" borderId="0" xfId="0" applyFont="1" applyFill="1" applyBorder="1" applyAlignment="1">
      <alignment/>
    </xf>
    <xf numFmtId="0" fontId="34" fillId="0" borderId="0" xfId="52" applyFont="1" applyFill="1" applyBorder="1">
      <alignment/>
      <protection/>
    </xf>
    <xf numFmtId="0" fontId="29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Arkusz8" xfId="53"/>
    <cellStyle name="Normalny_tabela nr 8" xfId="54"/>
    <cellStyle name="Normalny_Uch.RMK luty" xfId="55"/>
    <cellStyle name="Normalny_Uch.RMK marzec" xfId="56"/>
    <cellStyle name="Normalny_ZPMK luty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2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9.5" customHeight="1"/>
  <cols>
    <col min="1" max="1" width="6.28125" style="2" customWidth="1"/>
    <col min="2" max="2" width="7.140625" style="2" customWidth="1"/>
    <col min="3" max="3" width="7.00390625" style="2" customWidth="1"/>
    <col min="4" max="4" width="15.28125" style="2" customWidth="1"/>
    <col min="5" max="6" width="15.57421875" style="2" customWidth="1"/>
    <col min="7" max="7" width="15.7109375" style="2" customWidth="1"/>
    <col min="8" max="8" width="19.8515625" style="23" customWidth="1"/>
    <col min="9" max="9" width="28.00390625" style="625" customWidth="1"/>
    <col min="10" max="10" width="22.28125" style="626" customWidth="1"/>
    <col min="11" max="11" width="22.28125" style="625" customWidth="1"/>
    <col min="12" max="12" width="19.140625" style="625" customWidth="1"/>
    <col min="13" max="13" width="22.421875" style="625" customWidth="1"/>
    <col min="14" max="14" width="24.28125" style="627" customWidth="1"/>
    <col min="15" max="15" width="9.140625" style="627" customWidth="1"/>
    <col min="16" max="16" width="9.140625" style="628" customWidth="1"/>
    <col min="17" max="16384" width="9.140625" style="2" customWidth="1"/>
  </cols>
  <sheetData>
    <row r="1" ht="19.5" customHeight="1">
      <c r="G1" s="91" t="s">
        <v>449</v>
      </c>
    </row>
    <row r="2" spans="1:16" s="33" customFormat="1" ht="19.5" customHeight="1">
      <c r="A2" s="41" t="s">
        <v>344</v>
      </c>
      <c r="B2" s="42"/>
      <c r="C2" s="43"/>
      <c r="D2" s="4"/>
      <c r="E2" s="4"/>
      <c r="F2" s="4"/>
      <c r="G2" s="156"/>
      <c r="H2" s="146" t="s">
        <v>56</v>
      </c>
      <c r="I2" s="629"/>
      <c r="J2" s="630"/>
      <c r="K2" s="631"/>
      <c r="L2" s="629"/>
      <c r="M2" s="629"/>
      <c r="N2" s="629"/>
      <c r="O2" s="632"/>
      <c r="P2" s="503"/>
    </row>
    <row r="3" spans="1:16" s="33" customFormat="1" ht="19.5" customHeight="1">
      <c r="A3" s="41" t="s">
        <v>78</v>
      </c>
      <c r="B3" s="42"/>
      <c r="C3" s="43"/>
      <c r="D3" s="4"/>
      <c r="E3" s="4"/>
      <c r="F3" s="4"/>
      <c r="G3" s="37"/>
      <c r="H3" s="161"/>
      <c r="I3" s="629"/>
      <c r="J3" s="630"/>
      <c r="K3" s="631"/>
      <c r="L3" s="629"/>
      <c r="M3" s="629"/>
      <c r="N3" s="629"/>
      <c r="O3" s="632"/>
      <c r="P3" s="503"/>
    </row>
    <row r="4" spans="1:16" s="33" customFormat="1" ht="19.5" customHeight="1">
      <c r="A4" s="41" t="s">
        <v>343</v>
      </c>
      <c r="B4" s="42"/>
      <c r="C4" s="43"/>
      <c r="D4" s="4"/>
      <c r="E4" s="4"/>
      <c r="F4" s="4"/>
      <c r="G4" s="37"/>
      <c r="H4" s="39"/>
      <c r="I4" s="629"/>
      <c r="J4" s="630"/>
      <c r="K4" s="631"/>
      <c r="L4" s="629"/>
      <c r="M4" s="629"/>
      <c r="N4" s="629"/>
      <c r="O4" s="632"/>
      <c r="P4" s="503"/>
    </row>
    <row r="5" spans="1:16" s="33" customFormat="1" ht="17.25" customHeight="1">
      <c r="A5" s="36"/>
      <c r="B5" s="37"/>
      <c r="C5" s="38"/>
      <c r="D5" s="37"/>
      <c r="E5" s="37"/>
      <c r="F5" s="37"/>
      <c r="G5" s="37"/>
      <c r="H5" s="39"/>
      <c r="I5" s="629"/>
      <c r="J5" s="630"/>
      <c r="K5" s="631"/>
      <c r="L5" s="629"/>
      <c r="M5" s="629"/>
      <c r="N5" s="629"/>
      <c r="O5" s="632"/>
      <c r="P5" s="503"/>
    </row>
    <row r="6" spans="1:14" ht="15" customHeight="1">
      <c r="A6" s="22"/>
      <c r="B6" s="4"/>
      <c r="C6" s="5"/>
      <c r="D6" s="4"/>
      <c r="E6" s="4"/>
      <c r="F6" s="4"/>
      <c r="G6" s="4"/>
      <c r="H6" s="6"/>
      <c r="I6" s="633"/>
      <c r="J6" s="634"/>
      <c r="K6" s="635"/>
      <c r="L6" s="633"/>
      <c r="M6" s="633"/>
      <c r="N6" s="633"/>
    </row>
    <row r="7" spans="1:14" ht="19.5" customHeight="1">
      <c r="A7" s="22" t="s">
        <v>116</v>
      </c>
      <c r="B7" s="4"/>
      <c r="C7" s="5"/>
      <c r="D7" s="4"/>
      <c r="E7" s="4"/>
      <c r="F7" s="4"/>
      <c r="G7" s="4"/>
      <c r="H7" s="6"/>
      <c r="I7" s="633"/>
      <c r="J7" s="634"/>
      <c r="K7" s="635"/>
      <c r="L7" s="633"/>
      <c r="M7" s="633"/>
      <c r="N7" s="633"/>
    </row>
    <row r="8" spans="1:14" ht="15.75" customHeight="1">
      <c r="A8" s="22"/>
      <c r="B8" s="4"/>
      <c r="C8" s="5"/>
      <c r="D8" s="4"/>
      <c r="E8" s="4"/>
      <c r="F8" s="4"/>
      <c r="G8" s="4"/>
      <c r="H8" s="6"/>
      <c r="I8" s="633"/>
      <c r="J8" s="634"/>
      <c r="K8" s="635"/>
      <c r="L8" s="633"/>
      <c r="M8" s="633"/>
      <c r="N8" s="633"/>
    </row>
    <row r="9" spans="1:14" ht="15" customHeight="1">
      <c r="A9" s="4"/>
      <c r="B9" s="4"/>
      <c r="C9" s="5"/>
      <c r="D9" s="4"/>
      <c r="E9" s="4"/>
      <c r="F9" s="4"/>
      <c r="G9" s="4"/>
      <c r="H9" s="6"/>
      <c r="I9" s="633"/>
      <c r="J9" s="634"/>
      <c r="K9" s="635"/>
      <c r="L9" s="633"/>
      <c r="M9" s="633"/>
      <c r="N9" s="633"/>
    </row>
    <row r="10" spans="1:14" ht="19.5" customHeight="1">
      <c r="A10" s="44" t="s">
        <v>79</v>
      </c>
      <c r="B10" s="42"/>
      <c r="C10" s="43"/>
      <c r="D10" s="4"/>
      <c r="E10" s="4"/>
      <c r="F10" s="4"/>
      <c r="G10" s="4"/>
      <c r="H10" s="6"/>
      <c r="I10" s="633"/>
      <c r="J10" s="634"/>
      <c r="K10" s="635"/>
      <c r="L10" s="633"/>
      <c r="M10" s="633"/>
      <c r="N10" s="633"/>
    </row>
    <row r="11" spans="1:14" ht="19.5" customHeight="1">
      <c r="A11" s="44" t="s">
        <v>113</v>
      </c>
      <c r="B11" s="42"/>
      <c r="C11" s="43"/>
      <c r="D11" s="4"/>
      <c r="E11" s="4"/>
      <c r="F11" s="4"/>
      <c r="G11" s="4"/>
      <c r="H11" s="6"/>
      <c r="I11" s="633"/>
      <c r="J11" s="634"/>
      <c r="K11" s="635"/>
      <c r="L11" s="633"/>
      <c r="M11" s="633"/>
      <c r="N11" s="633"/>
    </row>
    <row r="12" spans="1:14" ht="19.5" customHeight="1">
      <c r="A12" s="44" t="s">
        <v>114</v>
      </c>
      <c r="B12" s="42"/>
      <c r="C12" s="43"/>
      <c r="D12" s="4"/>
      <c r="E12" s="4"/>
      <c r="F12" s="4"/>
      <c r="G12" s="4"/>
      <c r="H12" s="6"/>
      <c r="I12" s="633"/>
      <c r="J12" s="634"/>
      <c r="K12" s="635"/>
      <c r="L12" s="633"/>
      <c r="M12" s="633"/>
      <c r="N12" s="633"/>
    </row>
    <row r="13" spans="1:14" ht="19.5" customHeight="1">
      <c r="A13" s="44"/>
      <c r="B13" s="42"/>
      <c r="C13" s="43"/>
      <c r="D13" s="4"/>
      <c r="E13" s="4"/>
      <c r="F13" s="4"/>
      <c r="G13" s="4"/>
      <c r="H13" s="6"/>
      <c r="I13" s="633"/>
      <c r="J13" s="634"/>
      <c r="K13" s="635"/>
      <c r="L13" s="633"/>
      <c r="M13" s="633"/>
      <c r="N13" s="633"/>
    </row>
    <row r="14" spans="1:16" s="27" customFormat="1" ht="19.5" customHeight="1">
      <c r="A14" s="7"/>
      <c r="B14" s="7"/>
      <c r="C14" s="29"/>
      <c r="D14" s="7"/>
      <c r="E14" s="29" t="s">
        <v>63</v>
      </c>
      <c r="F14" s="7"/>
      <c r="G14" s="7"/>
      <c r="H14" s="8"/>
      <c r="I14" s="636"/>
      <c r="J14" s="636"/>
      <c r="K14" s="637"/>
      <c r="L14" s="636"/>
      <c r="M14" s="636"/>
      <c r="N14" s="634"/>
      <c r="O14" s="638"/>
      <c r="P14" s="639"/>
    </row>
    <row r="15" spans="1:16" s="27" customFormat="1" ht="19.5" customHeight="1">
      <c r="A15" s="7"/>
      <c r="B15" s="7"/>
      <c r="C15" s="29"/>
      <c r="D15" s="7"/>
      <c r="E15" s="29"/>
      <c r="F15" s="7"/>
      <c r="G15" s="7"/>
      <c r="H15" s="8"/>
      <c r="I15" s="636"/>
      <c r="J15" s="636"/>
      <c r="K15" s="637"/>
      <c r="L15" s="636"/>
      <c r="M15" s="636"/>
      <c r="N15" s="634"/>
      <c r="O15" s="638"/>
      <c r="P15" s="639"/>
    </row>
    <row r="16" spans="1:14" ht="19.5" customHeight="1">
      <c r="A16" s="179" t="s">
        <v>108</v>
      </c>
      <c r="B16" s="40"/>
      <c r="C16" s="40"/>
      <c r="D16" s="40"/>
      <c r="E16" s="29"/>
      <c r="F16" s="4"/>
      <c r="G16" s="4"/>
      <c r="H16" s="6"/>
      <c r="I16" s="640"/>
      <c r="J16" s="636"/>
      <c r="K16" s="641"/>
      <c r="L16" s="641"/>
      <c r="M16" s="641"/>
      <c r="N16" s="633"/>
    </row>
    <row r="17" spans="1:14" ht="19.5" customHeight="1">
      <c r="A17" s="180" t="s">
        <v>54</v>
      </c>
      <c r="B17" s="40"/>
      <c r="C17" s="40"/>
      <c r="D17" s="40"/>
      <c r="E17" s="29"/>
      <c r="F17" s="4"/>
      <c r="G17" s="4"/>
      <c r="H17" s="6"/>
      <c r="I17" s="641"/>
      <c r="J17" s="636"/>
      <c r="K17" s="641"/>
      <c r="L17" s="641"/>
      <c r="M17" s="641"/>
      <c r="N17" s="633"/>
    </row>
    <row r="18" spans="1:10" ht="19.5" customHeight="1">
      <c r="A18" s="46" t="s">
        <v>117</v>
      </c>
      <c r="B18" s="7"/>
      <c r="C18" s="47"/>
      <c r="D18" s="7"/>
      <c r="E18" s="29"/>
      <c r="F18" s="7"/>
      <c r="H18" s="1"/>
      <c r="J18" s="642"/>
    </row>
    <row r="19" spans="1:10" ht="19.5" customHeight="1">
      <c r="A19" s="34" t="s">
        <v>57</v>
      </c>
      <c r="B19" s="164"/>
      <c r="C19" s="165"/>
      <c r="D19" s="166"/>
      <c r="E19" s="166"/>
      <c r="F19" s="7"/>
      <c r="G19" s="166"/>
      <c r="H19" s="19"/>
      <c r="J19" s="642"/>
    </row>
    <row r="20" spans="1:10" ht="19.5" customHeight="1">
      <c r="A20" s="34" t="s">
        <v>58</v>
      </c>
      <c r="B20" s="167"/>
      <c r="C20" s="168"/>
      <c r="D20" s="166"/>
      <c r="E20" s="166"/>
      <c r="F20" s="166"/>
      <c r="G20" s="166"/>
      <c r="H20" s="19"/>
      <c r="J20" s="642"/>
    </row>
    <row r="21" spans="1:10" ht="19.5" customHeight="1">
      <c r="A21" s="171" t="s">
        <v>48</v>
      </c>
      <c r="B21" s="164"/>
      <c r="C21" s="165"/>
      <c r="D21" s="166"/>
      <c r="E21" s="166"/>
      <c r="F21" s="166"/>
      <c r="G21" s="166"/>
      <c r="H21" s="19"/>
      <c r="J21" s="642"/>
    </row>
    <row r="22" spans="1:10" ht="19.5" customHeight="1">
      <c r="A22" s="34" t="s">
        <v>49</v>
      </c>
      <c r="B22" s="164"/>
      <c r="C22" s="165"/>
      <c r="D22" s="166"/>
      <c r="E22" s="166"/>
      <c r="F22" s="166"/>
      <c r="G22" s="166"/>
      <c r="H22" s="19"/>
      <c r="J22" s="642"/>
    </row>
    <row r="23" spans="1:10" ht="19.5" customHeight="1">
      <c r="A23" s="34" t="s">
        <v>50</v>
      </c>
      <c r="B23" s="164"/>
      <c r="C23" s="165"/>
      <c r="D23" s="166"/>
      <c r="E23" s="166"/>
      <c r="F23" s="166"/>
      <c r="G23" s="166"/>
      <c r="H23" s="19"/>
      <c r="J23" s="642"/>
    </row>
    <row r="24" spans="1:10" ht="19.5" customHeight="1">
      <c r="A24" s="34" t="s">
        <v>51</v>
      </c>
      <c r="B24" s="164"/>
      <c r="C24" s="165"/>
      <c r="D24" s="166"/>
      <c r="E24" s="166"/>
      <c r="F24" s="166"/>
      <c r="G24" s="166"/>
      <c r="H24" s="19"/>
      <c r="J24" s="642"/>
    </row>
    <row r="25" spans="1:14" ht="19.5" customHeight="1">
      <c r="A25" s="34" t="s">
        <v>46</v>
      </c>
      <c r="B25" s="164"/>
      <c r="C25" s="165"/>
      <c r="D25" s="166"/>
      <c r="E25" s="166"/>
      <c r="F25" s="166"/>
      <c r="G25" s="166"/>
      <c r="H25" s="19"/>
      <c r="I25" s="643"/>
      <c r="N25" s="643"/>
    </row>
    <row r="26" spans="1:14" ht="19.5" customHeight="1">
      <c r="A26" s="34" t="s">
        <v>451</v>
      </c>
      <c r="B26" s="164"/>
      <c r="C26" s="165"/>
      <c r="D26" s="166"/>
      <c r="E26" s="166"/>
      <c r="F26" s="166"/>
      <c r="G26" s="166"/>
      <c r="H26" s="19"/>
      <c r="I26" s="643"/>
      <c r="N26" s="643"/>
    </row>
    <row r="27" spans="1:14" ht="19.5" customHeight="1">
      <c r="A27" s="34" t="s">
        <v>452</v>
      </c>
      <c r="F27" s="166"/>
      <c r="G27" s="166"/>
      <c r="H27" s="19"/>
      <c r="I27" s="643"/>
      <c r="N27" s="643"/>
    </row>
    <row r="28" spans="1:14" ht="19.5" customHeight="1">
      <c r="A28" s="34" t="s">
        <v>453</v>
      </c>
      <c r="B28" s="164"/>
      <c r="C28" s="165"/>
      <c r="D28" s="166"/>
      <c r="E28" s="166"/>
      <c r="F28" s="166"/>
      <c r="G28" s="166"/>
      <c r="H28" s="19"/>
      <c r="I28" s="643"/>
      <c r="N28" s="643"/>
    </row>
    <row r="29" spans="1:14" ht="19.5" customHeight="1">
      <c r="A29" s="34" t="s">
        <v>454</v>
      </c>
      <c r="B29" s="164"/>
      <c r="C29" s="165"/>
      <c r="D29" s="166"/>
      <c r="E29" s="166"/>
      <c r="F29" s="166"/>
      <c r="G29" s="166"/>
      <c r="H29" s="19"/>
      <c r="I29" s="643"/>
      <c r="N29" s="643"/>
    </row>
    <row r="30" spans="1:14" ht="19.5" customHeight="1">
      <c r="A30" s="34" t="s">
        <v>47</v>
      </c>
      <c r="I30" s="643"/>
      <c r="N30" s="643"/>
    </row>
    <row r="31" spans="1:14" ht="19.5" customHeight="1">
      <c r="A31" s="34"/>
      <c r="I31" s="643"/>
      <c r="N31" s="643"/>
    </row>
    <row r="32" spans="1:14" ht="19.5" customHeight="1">
      <c r="A32" s="162"/>
      <c r="I32" s="643"/>
      <c r="N32" s="643"/>
    </row>
    <row r="33" spans="1:14" ht="19.5" customHeight="1">
      <c r="A33" s="48" t="s">
        <v>80</v>
      </c>
      <c r="B33" s="45"/>
      <c r="C33" s="45"/>
      <c r="I33" s="644"/>
      <c r="J33" s="642"/>
      <c r="K33" s="643"/>
      <c r="L33" s="645"/>
      <c r="N33" s="646"/>
    </row>
    <row r="34" spans="1:11" ht="19.5" customHeight="1">
      <c r="A34" s="49"/>
      <c r="B34" s="50"/>
      <c r="C34" s="50"/>
      <c r="D34" s="25"/>
      <c r="E34" s="25"/>
      <c r="F34" s="51"/>
      <c r="H34" s="51"/>
      <c r="I34" s="647"/>
      <c r="K34" s="643"/>
    </row>
    <row r="35" spans="1:11" ht="19.5" customHeight="1">
      <c r="A35" s="49" t="s">
        <v>81</v>
      </c>
      <c r="B35" s="50"/>
      <c r="C35" s="50"/>
      <c r="D35" s="25"/>
      <c r="E35" s="25"/>
      <c r="F35" s="51"/>
      <c r="H35" s="51">
        <f>H38+H45</f>
        <v>413940100.16</v>
      </c>
      <c r="I35" s="647"/>
      <c r="K35" s="643"/>
    </row>
    <row r="36" spans="1:11" ht="19.5" customHeight="1">
      <c r="A36" s="49" t="s">
        <v>82</v>
      </c>
      <c r="B36" s="50"/>
      <c r="C36" s="50"/>
      <c r="D36" s="25"/>
      <c r="E36" s="25"/>
      <c r="F36" s="51"/>
      <c r="H36" s="51">
        <f>H39+H46</f>
        <v>414071289.16</v>
      </c>
      <c r="I36" s="648"/>
      <c r="K36" s="643"/>
    </row>
    <row r="37" spans="1:11" ht="19.5" customHeight="1">
      <c r="A37" s="52" t="s">
        <v>83</v>
      </c>
      <c r="B37" s="53"/>
      <c r="C37" s="53"/>
      <c r="D37" s="25"/>
      <c r="E37" s="25"/>
      <c r="F37" s="51"/>
      <c r="H37" s="51"/>
      <c r="I37" s="648"/>
      <c r="K37" s="643"/>
    </row>
    <row r="38" spans="1:11" ht="19.5" customHeight="1">
      <c r="A38" s="49" t="s">
        <v>107</v>
      </c>
      <c r="B38" s="50"/>
      <c r="C38" s="50"/>
      <c r="D38" s="54"/>
      <c r="E38" s="25"/>
      <c r="F38" s="1"/>
      <c r="H38" s="51">
        <v>294683862.41</v>
      </c>
      <c r="I38" s="648"/>
      <c r="K38" s="643"/>
    </row>
    <row r="39" spans="1:11" ht="19.5" customHeight="1">
      <c r="A39" s="49" t="s">
        <v>82</v>
      </c>
      <c r="B39" s="50"/>
      <c r="C39" s="50"/>
      <c r="D39" s="54"/>
      <c r="E39" s="25"/>
      <c r="F39" s="1"/>
      <c r="H39" s="51">
        <f>H38-D68+F68</f>
        <v>294705888.41</v>
      </c>
      <c r="I39" s="648"/>
      <c r="J39" s="649"/>
      <c r="K39" s="643"/>
    </row>
    <row r="40" spans="1:11" ht="19.5" customHeight="1">
      <c r="A40" s="52"/>
      <c r="B40" s="45" t="s">
        <v>84</v>
      </c>
      <c r="C40" s="53"/>
      <c r="D40" s="25"/>
      <c r="E40" s="25"/>
      <c r="F40" s="1"/>
      <c r="H40" s="51"/>
      <c r="I40" s="648"/>
      <c r="J40" s="649"/>
      <c r="K40" s="643"/>
    </row>
    <row r="41" spans="1:11" ht="19.5" customHeight="1">
      <c r="A41" s="55" t="s">
        <v>85</v>
      </c>
      <c r="B41" s="50"/>
      <c r="C41" s="50"/>
      <c r="D41" s="25"/>
      <c r="E41" s="25"/>
      <c r="F41" s="1"/>
      <c r="H41" s="51">
        <v>276503996.37</v>
      </c>
      <c r="I41" s="648"/>
      <c r="K41" s="643"/>
    </row>
    <row r="42" spans="1:11" ht="19.5" customHeight="1">
      <c r="A42" s="55" t="s">
        <v>82</v>
      </c>
      <c r="B42" s="50"/>
      <c r="C42" s="50"/>
      <c r="D42" s="25"/>
      <c r="E42" s="25"/>
      <c r="F42" s="1"/>
      <c r="H42" s="51">
        <f>H41-D68+F68</f>
        <v>276526022.37</v>
      </c>
      <c r="I42" s="648"/>
      <c r="K42" s="643"/>
    </row>
    <row r="43" spans="1:11" ht="19.5" customHeight="1">
      <c r="A43" s="55"/>
      <c r="B43" s="50"/>
      <c r="C43" s="50"/>
      <c r="D43" s="25"/>
      <c r="E43" s="25"/>
      <c r="F43" s="1"/>
      <c r="H43" s="51"/>
      <c r="I43" s="648"/>
      <c r="K43" s="643"/>
    </row>
    <row r="44" spans="1:11" ht="19.5" customHeight="1">
      <c r="A44" s="55"/>
      <c r="B44" s="50"/>
      <c r="C44" s="50"/>
      <c r="D44" s="25"/>
      <c r="E44" s="25"/>
      <c r="F44" s="1"/>
      <c r="H44" s="51"/>
      <c r="I44" s="648"/>
      <c r="K44" s="643"/>
    </row>
    <row r="45" spans="1:11" ht="19.5" customHeight="1">
      <c r="A45" s="49" t="s">
        <v>410</v>
      </c>
      <c r="B45" s="50"/>
      <c r="C45" s="50"/>
      <c r="D45" s="54"/>
      <c r="E45" s="25"/>
      <c r="F45" s="1"/>
      <c r="H45" s="51">
        <v>119256237.75</v>
      </c>
      <c r="I45" s="648"/>
      <c r="K45" s="643"/>
    </row>
    <row r="46" spans="1:11" ht="19.5" customHeight="1">
      <c r="A46" s="49" t="s">
        <v>82</v>
      </c>
      <c r="B46" s="50"/>
      <c r="C46" s="50"/>
      <c r="D46" s="54"/>
      <c r="E46" s="25"/>
      <c r="F46" s="1"/>
      <c r="H46" s="51">
        <f>H45-D84+F84</f>
        <v>119365400.75</v>
      </c>
      <c r="I46" s="648"/>
      <c r="K46" s="643"/>
    </row>
    <row r="47" spans="1:11" ht="19.5" customHeight="1">
      <c r="A47" s="52"/>
      <c r="B47" s="45" t="s">
        <v>84</v>
      </c>
      <c r="C47" s="53"/>
      <c r="D47" s="25"/>
      <c r="E47" s="25"/>
      <c r="F47" s="1"/>
      <c r="H47" s="51"/>
      <c r="I47" s="648"/>
      <c r="K47" s="643"/>
    </row>
    <row r="48" spans="1:11" ht="19.5" customHeight="1">
      <c r="A48" s="55" t="s">
        <v>85</v>
      </c>
      <c r="B48" s="50"/>
      <c r="C48" s="50"/>
      <c r="D48" s="25"/>
      <c r="E48" s="25"/>
      <c r="F48" s="1"/>
      <c r="H48" s="51">
        <v>114339937.75</v>
      </c>
      <c r="I48" s="648"/>
      <c r="K48" s="643"/>
    </row>
    <row r="49" spans="1:11" ht="19.5" customHeight="1">
      <c r="A49" s="55" t="s">
        <v>82</v>
      </c>
      <c r="B49" s="50"/>
      <c r="C49" s="50"/>
      <c r="D49" s="25"/>
      <c r="E49" s="25"/>
      <c r="F49" s="1"/>
      <c r="H49" s="51">
        <f>H48-D84+F84</f>
        <v>114449100.75</v>
      </c>
      <c r="I49" s="648"/>
      <c r="K49" s="643"/>
    </row>
    <row r="50" spans="1:11" ht="19.5" customHeight="1">
      <c r="A50" s="55"/>
      <c r="B50" s="50"/>
      <c r="C50" s="50"/>
      <c r="D50" s="25"/>
      <c r="E50" s="25"/>
      <c r="F50" s="1"/>
      <c r="H50" s="51"/>
      <c r="I50" s="648"/>
      <c r="K50" s="643"/>
    </row>
    <row r="51" spans="1:11" ht="19.5" customHeight="1">
      <c r="A51" s="55"/>
      <c r="B51" s="50"/>
      <c r="C51" s="50"/>
      <c r="D51" s="25"/>
      <c r="E51" s="25"/>
      <c r="F51" s="1"/>
      <c r="H51" s="51"/>
      <c r="I51" s="648"/>
      <c r="K51" s="643"/>
    </row>
    <row r="52" spans="1:11" ht="19.5" customHeight="1">
      <c r="A52" s="55"/>
      <c r="B52" s="56"/>
      <c r="C52" s="50"/>
      <c r="D52" s="25"/>
      <c r="E52" s="25"/>
      <c r="F52" s="1"/>
      <c r="H52" s="1"/>
      <c r="I52" s="644"/>
      <c r="K52" s="643"/>
    </row>
    <row r="53" spans="1:11" ht="19.5" customHeight="1">
      <c r="A53" s="59" t="s">
        <v>106</v>
      </c>
      <c r="B53" s="60"/>
      <c r="C53" s="61"/>
      <c r="D53" s="62"/>
      <c r="E53" s="62"/>
      <c r="F53" s="63"/>
      <c r="G53" s="63"/>
      <c r="H53" s="64"/>
      <c r="I53" s="644"/>
      <c r="K53" s="643"/>
    </row>
    <row r="54" spans="1:11" ht="19.5" customHeight="1">
      <c r="A54" s="59"/>
      <c r="B54" s="60"/>
      <c r="C54" s="61"/>
      <c r="D54" s="62"/>
      <c r="E54" s="62"/>
      <c r="F54" s="63"/>
      <c r="G54" s="63"/>
      <c r="H54" s="64"/>
      <c r="I54" s="644"/>
      <c r="K54" s="643"/>
    </row>
    <row r="55" spans="1:11" ht="19.5" customHeight="1">
      <c r="A55" s="59"/>
      <c r="B55" s="60"/>
      <c r="C55" s="61"/>
      <c r="D55" s="62"/>
      <c r="E55" s="62"/>
      <c r="F55" s="63"/>
      <c r="G55" s="63"/>
      <c r="H55" s="64"/>
      <c r="I55" s="644"/>
      <c r="K55" s="643"/>
    </row>
    <row r="56" spans="1:11" ht="19.5" customHeight="1">
      <c r="A56" s="68" t="s">
        <v>105</v>
      </c>
      <c r="B56" s="69"/>
      <c r="C56" s="70"/>
      <c r="D56" s="58"/>
      <c r="E56" s="58"/>
      <c r="F56" s="67"/>
      <c r="G56" s="67"/>
      <c r="I56" s="644"/>
      <c r="K56" s="643"/>
    </row>
    <row r="57" spans="1:11" ht="19.5" customHeight="1">
      <c r="A57" s="65"/>
      <c r="B57" s="65"/>
      <c r="C57" s="65"/>
      <c r="D57" s="58"/>
      <c r="E57" s="58"/>
      <c r="F57" s="67"/>
      <c r="G57" s="67"/>
      <c r="I57" s="644"/>
      <c r="K57" s="643"/>
    </row>
    <row r="58" spans="1:11" ht="19.5" customHeight="1">
      <c r="A58" s="71"/>
      <c r="B58" s="71"/>
      <c r="C58" s="72"/>
      <c r="D58" s="9" t="s">
        <v>87</v>
      </c>
      <c r="E58" s="10"/>
      <c r="F58" s="9" t="s">
        <v>88</v>
      </c>
      <c r="G58" s="10"/>
      <c r="I58" s="644"/>
      <c r="K58" s="643"/>
    </row>
    <row r="59" spans="1:11" ht="19.5" customHeight="1">
      <c r="A59" s="73"/>
      <c r="B59" s="73"/>
      <c r="C59" s="74"/>
      <c r="D59" s="11" t="s">
        <v>62</v>
      </c>
      <c r="E59" s="10" t="s">
        <v>61</v>
      </c>
      <c r="F59" s="11" t="s">
        <v>62</v>
      </c>
      <c r="G59" s="10" t="s">
        <v>61</v>
      </c>
      <c r="I59" s="644"/>
      <c r="K59" s="643"/>
    </row>
    <row r="60" spans="1:11" ht="19.5" customHeight="1">
      <c r="A60" s="75" t="s">
        <v>64</v>
      </c>
      <c r="B60" s="75" t="s">
        <v>70</v>
      </c>
      <c r="C60" s="75" t="s">
        <v>65</v>
      </c>
      <c r="D60" s="12" t="s">
        <v>66</v>
      </c>
      <c r="E60" s="13" t="s">
        <v>67</v>
      </c>
      <c r="F60" s="12" t="s">
        <v>66</v>
      </c>
      <c r="G60" s="13" t="s">
        <v>67</v>
      </c>
      <c r="I60" s="644"/>
      <c r="K60" s="643"/>
    </row>
    <row r="61" spans="1:16" s="85" customFormat="1" ht="19.5" customHeight="1">
      <c r="A61" s="213"/>
      <c r="B61" s="89"/>
      <c r="C61" s="78"/>
      <c r="D61" s="77"/>
      <c r="E61" s="77"/>
      <c r="F61" s="77"/>
      <c r="G61" s="90"/>
      <c r="H61" s="91"/>
      <c r="I61" s="644"/>
      <c r="J61" s="650"/>
      <c r="K61" s="643"/>
      <c r="L61" s="651"/>
      <c r="M61" s="651"/>
      <c r="N61" s="646"/>
      <c r="O61" s="646"/>
      <c r="P61" s="652"/>
    </row>
    <row r="62" spans="1:16" s="85" customFormat="1" ht="19.5" customHeight="1">
      <c r="A62" s="76" t="s">
        <v>345</v>
      </c>
      <c r="B62" s="76" t="s">
        <v>346</v>
      </c>
      <c r="C62" s="76"/>
      <c r="D62" s="581">
        <f>SUM(D63:D64)</f>
        <v>250000</v>
      </c>
      <c r="E62" s="77"/>
      <c r="F62" s="581">
        <f>SUM(F63:F64)</f>
        <v>250000</v>
      </c>
      <c r="G62" s="90"/>
      <c r="H62" s="91"/>
      <c r="I62" s="644"/>
      <c r="J62" s="650"/>
      <c r="K62" s="643"/>
      <c r="L62" s="651"/>
      <c r="M62" s="651"/>
      <c r="N62" s="646"/>
      <c r="O62" s="646"/>
      <c r="P62" s="652"/>
    </row>
    <row r="63" spans="1:11" ht="19.5" customHeight="1">
      <c r="A63" s="82"/>
      <c r="B63" s="83"/>
      <c r="C63" s="84" t="s">
        <v>52</v>
      </c>
      <c r="D63" s="81">
        <v>250000</v>
      </c>
      <c r="E63" s="81"/>
      <c r="F63" s="81"/>
      <c r="G63" s="92"/>
      <c r="I63" s="653"/>
      <c r="K63" s="654"/>
    </row>
    <row r="64" spans="1:11" ht="19.5" customHeight="1">
      <c r="A64" s="82"/>
      <c r="B64" s="83"/>
      <c r="C64" s="582" t="s">
        <v>55</v>
      </c>
      <c r="D64" s="81"/>
      <c r="E64" s="81"/>
      <c r="F64" s="81">
        <v>250000</v>
      </c>
      <c r="G64" s="92"/>
      <c r="I64" s="653"/>
      <c r="K64" s="654"/>
    </row>
    <row r="65" spans="1:16" s="85" customFormat="1" ht="19.5" customHeight="1">
      <c r="A65" s="557" t="s">
        <v>353</v>
      </c>
      <c r="B65" s="76" t="s">
        <v>354</v>
      </c>
      <c r="C65" s="78" t="s">
        <v>360</v>
      </c>
      <c r="D65" s="77"/>
      <c r="E65" s="77"/>
      <c r="F65" s="77">
        <v>6026</v>
      </c>
      <c r="G65" s="90"/>
      <c r="H65" s="91"/>
      <c r="I65" s="644"/>
      <c r="J65" s="650"/>
      <c r="K65" s="643"/>
      <c r="L65" s="651"/>
      <c r="M65" s="651"/>
      <c r="N65" s="646"/>
      <c r="O65" s="646"/>
      <c r="P65" s="652"/>
    </row>
    <row r="66" spans="1:16" s="85" customFormat="1" ht="19.5" customHeight="1">
      <c r="A66" s="557" t="s">
        <v>361</v>
      </c>
      <c r="B66" s="76" t="s">
        <v>362</v>
      </c>
      <c r="C66" s="78" t="s">
        <v>374</v>
      </c>
      <c r="D66" s="77"/>
      <c r="E66" s="77"/>
      <c r="F66" s="77">
        <v>15000</v>
      </c>
      <c r="G66" s="90"/>
      <c r="H66" s="91"/>
      <c r="I66" s="644"/>
      <c r="J66" s="650"/>
      <c r="K66" s="643"/>
      <c r="L66" s="651"/>
      <c r="M66" s="651"/>
      <c r="N66" s="646"/>
      <c r="O66" s="646"/>
      <c r="P66" s="652"/>
    </row>
    <row r="67" spans="1:16" s="85" customFormat="1" ht="19.5" customHeight="1">
      <c r="A67" s="557" t="s">
        <v>384</v>
      </c>
      <c r="B67" s="76" t="s">
        <v>385</v>
      </c>
      <c r="C67" s="76" t="s">
        <v>55</v>
      </c>
      <c r="D67" s="77"/>
      <c r="E67" s="77"/>
      <c r="F67" s="77">
        <v>1000</v>
      </c>
      <c r="G67" s="90"/>
      <c r="H67" s="91"/>
      <c r="I67" s="644"/>
      <c r="J67" s="650"/>
      <c r="K67" s="643"/>
      <c r="L67" s="651"/>
      <c r="M67" s="651"/>
      <c r="N67" s="646"/>
      <c r="O67" s="646"/>
      <c r="P67" s="652"/>
    </row>
    <row r="68" spans="1:16" s="32" customFormat="1" ht="19.5" customHeight="1">
      <c r="A68" s="147" t="s">
        <v>71</v>
      </c>
      <c r="B68" s="148"/>
      <c r="C68" s="78"/>
      <c r="D68" s="93">
        <f>D62+D65+D66+D67</f>
        <v>250000</v>
      </c>
      <c r="E68" s="93">
        <f>E62+E65+E66+E67</f>
        <v>0</v>
      </c>
      <c r="F68" s="93">
        <f>F62+F65+F66+F67</f>
        <v>272026</v>
      </c>
      <c r="G68" s="93">
        <f>G62+G65+G66+G67</f>
        <v>0</v>
      </c>
      <c r="H68" s="88"/>
      <c r="I68" s="655"/>
      <c r="J68" s="656"/>
      <c r="K68" s="656"/>
      <c r="L68" s="657"/>
      <c r="M68" s="657"/>
      <c r="N68" s="658"/>
      <c r="O68" s="658"/>
      <c r="P68" s="659"/>
    </row>
    <row r="69" spans="1:16" s="32" customFormat="1" ht="19.5" customHeight="1">
      <c r="A69" s="86"/>
      <c r="B69" s="87"/>
      <c r="C69" s="87"/>
      <c r="D69" s="88"/>
      <c r="E69" s="88"/>
      <c r="F69" s="88"/>
      <c r="G69" s="88"/>
      <c r="H69" s="88"/>
      <c r="I69" s="655"/>
      <c r="J69" s="656"/>
      <c r="K69" s="656"/>
      <c r="L69" s="657"/>
      <c r="M69" s="657"/>
      <c r="N69" s="658"/>
      <c r="O69" s="658"/>
      <c r="P69" s="659"/>
    </row>
    <row r="70" spans="1:16" s="32" customFormat="1" ht="19.5" customHeight="1">
      <c r="A70" s="86"/>
      <c r="B70" s="87"/>
      <c r="C70" s="87"/>
      <c r="D70" s="88"/>
      <c r="E70" s="88"/>
      <c r="F70" s="88"/>
      <c r="G70" s="88"/>
      <c r="H70" s="88"/>
      <c r="I70" s="655"/>
      <c r="J70" s="656"/>
      <c r="K70" s="656"/>
      <c r="L70" s="657"/>
      <c r="M70" s="657"/>
      <c r="N70" s="658"/>
      <c r="O70" s="658"/>
      <c r="P70" s="659"/>
    </row>
    <row r="71" spans="1:16" s="32" customFormat="1" ht="19.5" customHeight="1">
      <c r="A71" s="86"/>
      <c r="B71" s="87"/>
      <c r="C71" s="87"/>
      <c r="D71" s="88"/>
      <c r="E71" s="88"/>
      <c r="F71" s="88"/>
      <c r="G71" s="88"/>
      <c r="H71" s="88"/>
      <c r="I71" s="655"/>
      <c r="J71" s="656"/>
      <c r="K71" s="656"/>
      <c r="L71" s="657"/>
      <c r="M71" s="657"/>
      <c r="N71" s="658"/>
      <c r="O71" s="658"/>
      <c r="P71" s="659"/>
    </row>
    <row r="72" spans="1:16" s="32" customFormat="1" ht="19.5" customHeight="1">
      <c r="A72" s="59" t="s">
        <v>386</v>
      </c>
      <c r="B72" s="87"/>
      <c r="C72" s="87"/>
      <c r="D72" s="88"/>
      <c r="E72" s="88"/>
      <c r="F72" s="88"/>
      <c r="G72" s="88"/>
      <c r="H72" s="88"/>
      <c r="I72" s="655"/>
      <c r="J72" s="656"/>
      <c r="K72" s="656"/>
      <c r="L72" s="657"/>
      <c r="M72" s="657"/>
      <c r="N72" s="658"/>
      <c r="O72" s="658"/>
      <c r="P72" s="659"/>
    </row>
    <row r="73" spans="1:16" s="32" customFormat="1" ht="19.5" customHeight="1">
      <c r="A73" s="86"/>
      <c r="B73" s="87"/>
      <c r="C73" s="87"/>
      <c r="D73" s="88"/>
      <c r="E73" s="88"/>
      <c r="F73" s="88"/>
      <c r="G73" s="88"/>
      <c r="H73" s="88"/>
      <c r="I73" s="655"/>
      <c r="J73" s="656"/>
      <c r="K73" s="656"/>
      <c r="L73" s="657"/>
      <c r="M73" s="657"/>
      <c r="N73" s="658"/>
      <c r="O73" s="658"/>
      <c r="P73" s="659"/>
    </row>
    <row r="74" spans="1:16" s="32" customFormat="1" ht="19.5" customHeight="1">
      <c r="A74" s="68" t="s">
        <v>443</v>
      </c>
      <c r="B74" s="69"/>
      <c r="C74" s="70"/>
      <c r="D74" s="58"/>
      <c r="E74" s="58"/>
      <c r="F74" s="67"/>
      <c r="G74" s="67"/>
      <c r="H74" s="23"/>
      <c r="I74" s="655"/>
      <c r="J74" s="656"/>
      <c r="K74" s="656"/>
      <c r="L74" s="657"/>
      <c r="M74" s="657"/>
      <c r="N74" s="658"/>
      <c r="O74" s="658"/>
      <c r="P74" s="659"/>
    </row>
    <row r="75" spans="1:16" s="32" customFormat="1" ht="19.5" customHeight="1">
      <c r="A75" s="65"/>
      <c r="B75" s="65"/>
      <c r="C75" s="65"/>
      <c r="D75" s="58"/>
      <c r="E75" s="58"/>
      <c r="F75" s="67"/>
      <c r="G75" s="67"/>
      <c r="H75" s="23"/>
      <c r="I75" s="655"/>
      <c r="J75" s="656"/>
      <c r="K75" s="656"/>
      <c r="L75" s="657"/>
      <c r="M75" s="657"/>
      <c r="N75" s="658"/>
      <c r="O75" s="658"/>
      <c r="P75" s="659"/>
    </row>
    <row r="76" spans="1:16" s="32" customFormat="1" ht="19.5" customHeight="1">
      <c r="A76" s="71"/>
      <c r="B76" s="71"/>
      <c r="C76" s="72"/>
      <c r="D76" s="9" t="s">
        <v>87</v>
      </c>
      <c r="E76" s="10"/>
      <c r="F76" s="9" t="s">
        <v>88</v>
      </c>
      <c r="G76" s="10"/>
      <c r="H76" s="23"/>
      <c r="I76" s="655"/>
      <c r="J76" s="656"/>
      <c r="K76" s="656"/>
      <c r="L76" s="657"/>
      <c r="M76" s="657"/>
      <c r="N76" s="658"/>
      <c r="O76" s="658"/>
      <c r="P76" s="659"/>
    </row>
    <row r="77" spans="1:16" s="32" customFormat="1" ht="19.5" customHeight="1">
      <c r="A77" s="73"/>
      <c r="B77" s="73"/>
      <c r="C77" s="74"/>
      <c r="D77" s="11" t="s">
        <v>62</v>
      </c>
      <c r="E77" s="10" t="s">
        <v>61</v>
      </c>
      <c r="F77" s="11" t="s">
        <v>62</v>
      </c>
      <c r="G77" s="10" t="s">
        <v>61</v>
      </c>
      <c r="H77" s="23"/>
      <c r="I77" s="655"/>
      <c r="J77" s="656"/>
      <c r="K77" s="656"/>
      <c r="L77" s="657"/>
      <c r="M77" s="657"/>
      <c r="N77" s="658"/>
      <c r="O77" s="658"/>
      <c r="P77" s="659"/>
    </row>
    <row r="78" spans="1:16" s="32" customFormat="1" ht="19.5" customHeight="1">
      <c r="A78" s="75" t="s">
        <v>64</v>
      </c>
      <c r="B78" s="75" t="s">
        <v>70</v>
      </c>
      <c r="C78" s="75" t="s">
        <v>65</v>
      </c>
      <c r="D78" s="12" t="s">
        <v>66</v>
      </c>
      <c r="E78" s="13" t="s">
        <v>67</v>
      </c>
      <c r="F78" s="12" t="s">
        <v>66</v>
      </c>
      <c r="G78" s="13" t="s">
        <v>67</v>
      </c>
      <c r="H78" s="23"/>
      <c r="I78" s="655"/>
      <c r="J78" s="656"/>
      <c r="K78" s="656"/>
      <c r="L78" s="657"/>
      <c r="M78" s="657"/>
      <c r="N78" s="658"/>
      <c r="O78" s="658"/>
      <c r="P78" s="659"/>
    </row>
    <row r="79" spans="1:16" s="32" customFormat="1" ht="19.5" customHeight="1">
      <c r="A79" s="213"/>
      <c r="B79" s="89"/>
      <c r="C79" s="78"/>
      <c r="D79" s="77"/>
      <c r="E79" s="77"/>
      <c r="F79" s="77"/>
      <c r="G79" s="90"/>
      <c r="H79" s="91"/>
      <c r="I79" s="655"/>
      <c r="J79" s="656"/>
      <c r="K79" s="656"/>
      <c r="L79" s="657"/>
      <c r="M79" s="657"/>
      <c r="N79" s="658"/>
      <c r="O79" s="658"/>
      <c r="P79" s="659"/>
    </row>
    <row r="80" spans="1:16" s="32" customFormat="1" ht="19.5" customHeight="1">
      <c r="A80" s="76" t="s">
        <v>348</v>
      </c>
      <c r="B80" s="76" t="s">
        <v>387</v>
      </c>
      <c r="C80" s="76" t="s">
        <v>388</v>
      </c>
      <c r="D80" s="581"/>
      <c r="E80" s="77"/>
      <c r="F80" s="77">
        <v>8163</v>
      </c>
      <c r="G80" s="90"/>
      <c r="H80" s="91"/>
      <c r="I80" s="655"/>
      <c r="J80" s="656"/>
      <c r="K80" s="656"/>
      <c r="L80" s="657"/>
      <c r="M80" s="657"/>
      <c r="N80" s="658"/>
      <c r="O80" s="658"/>
      <c r="P80" s="659"/>
    </row>
    <row r="81" spans="1:16" s="32" customFormat="1" ht="19.5" customHeight="1">
      <c r="A81" s="557" t="s">
        <v>398</v>
      </c>
      <c r="B81" s="76" t="s">
        <v>399</v>
      </c>
      <c r="C81" s="78" t="s">
        <v>374</v>
      </c>
      <c r="D81" s="77"/>
      <c r="E81" s="77"/>
      <c r="F81" s="77">
        <v>50000</v>
      </c>
      <c r="G81" s="90"/>
      <c r="H81" s="91"/>
      <c r="I81" s="655"/>
      <c r="J81" s="656"/>
      <c r="K81" s="656"/>
      <c r="L81" s="657"/>
      <c r="M81" s="657"/>
      <c r="N81" s="658"/>
      <c r="O81" s="658"/>
      <c r="P81" s="659"/>
    </row>
    <row r="82" spans="1:16" s="32" customFormat="1" ht="19.5" customHeight="1">
      <c r="A82" s="557" t="s">
        <v>372</v>
      </c>
      <c r="B82" s="76" t="s">
        <v>426</v>
      </c>
      <c r="C82" s="78" t="s">
        <v>374</v>
      </c>
      <c r="D82" s="77"/>
      <c r="E82" s="77"/>
      <c r="F82" s="77">
        <v>51000</v>
      </c>
      <c r="G82" s="90"/>
      <c r="H82" s="91"/>
      <c r="I82" s="655"/>
      <c r="J82" s="656"/>
      <c r="K82" s="656"/>
      <c r="L82" s="657"/>
      <c r="M82" s="657"/>
      <c r="N82" s="658"/>
      <c r="O82" s="658"/>
      <c r="P82" s="659"/>
    </row>
    <row r="83" spans="1:16" s="32" customFormat="1" ht="19.5" customHeight="1">
      <c r="A83" s="587"/>
      <c r="B83" s="149"/>
      <c r="C83" s="149"/>
      <c r="D83" s="81"/>
      <c r="E83" s="81"/>
      <c r="F83" s="81"/>
      <c r="G83" s="92"/>
      <c r="H83" s="23"/>
      <c r="I83" s="655"/>
      <c r="J83" s="656"/>
      <c r="K83" s="656"/>
      <c r="L83" s="657"/>
      <c r="M83" s="657"/>
      <c r="N83" s="658"/>
      <c r="O83" s="658"/>
      <c r="P83" s="659"/>
    </row>
    <row r="84" spans="1:16" s="32" customFormat="1" ht="19.5" customHeight="1">
      <c r="A84" s="147" t="s">
        <v>71</v>
      </c>
      <c r="B84" s="148"/>
      <c r="C84" s="78"/>
      <c r="D84" s="93"/>
      <c r="E84" s="93"/>
      <c r="F84" s="93">
        <f>F80+F81+F82</f>
        <v>109163</v>
      </c>
      <c r="G84" s="93"/>
      <c r="H84" s="88"/>
      <c r="I84" s="655"/>
      <c r="J84" s="656"/>
      <c r="K84" s="656"/>
      <c r="L84" s="657"/>
      <c r="M84" s="657"/>
      <c r="N84" s="658"/>
      <c r="O84" s="658"/>
      <c r="P84" s="659"/>
    </row>
    <row r="85" spans="1:16" s="32" customFormat="1" ht="19.5" customHeight="1">
      <c r="A85" s="86"/>
      <c r="B85" s="87"/>
      <c r="C85" s="87"/>
      <c r="D85" s="88"/>
      <c r="E85" s="88"/>
      <c r="F85" s="88"/>
      <c r="G85" s="88"/>
      <c r="H85" s="88"/>
      <c r="I85" s="655"/>
      <c r="J85" s="656"/>
      <c r="K85" s="656"/>
      <c r="L85" s="657"/>
      <c r="M85" s="657"/>
      <c r="N85" s="658"/>
      <c r="O85" s="658"/>
      <c r="P85" s="659"/>
    </row>
    <row r="86" spans="1:16" s="157" customFormat="1" ht="19.5" customHeight="1">
      <c r="A86" s="128"/>
      <c r="B86" s="117"/>
      <c r="C86" s="117"/>
      <c r="D86" s="183"/>
      <c r="E86" s="183"/>
      <c r="F86" s="183"/>
      <c r="G86" s="183"/>
      <c r="H86" s="183"/>
      <c r="I86" s="660"/>
      <c r="J86" s="661"/>
      <c r="K86" s="661"/>
      <c r="L86" s="662"/>
      <c r="M86" s="662"/>
      <c r="N86" s="663"/>
      <c r="O86" s="663"/>
      <c r="P86" s="664"/>
    </row>
    <row r="87" spans="1:16" s="27" customFormat="1" ht="19.5" customHeight="1">
      <c r="A87" s="48" t="s">
        <v>444</v>
      </c>
      <c r="B87" s="95"/>
      <c r="C87" s="96"/>
      <c r="H87" s="1"/>
      <c r="I87" s="644"/>
      <c r="J87" s="626"/>
      <c r="K87" s="665"/>
      <c r="L87" s="626"/>
      <c r="M87" s="626"/>
      <c r="N87" s="638"/>
      <c r="O87" s="638"/>
      <c r="P87" s="639"/>
    </row>
    <row r="88" spans="1:23" ht="19.5" customHeight="1">
      <c r="A88" s="94"/>
      <c r="B88" s="94"/>
      <c r="C88" s="94"/>
      <c r="D88" s="27"/>
      <c r="E88" s="27"/>
      <c r="F88" s="27"/>
      <c r="G88" s="27"/>
      <c r="H88" s="1"/>
      <c r="I88" s="666"/>
      <c r="J88" s="176"/>
      <c r="K88" s="182"/>
      <c r="L88" s="293"/>
      <c r="M88" s="293"/>
      <c r="N88" s="294"/>
      <c r="O88" s="294"/>
      <c r="P88" s="11"/>
      <c r="Q88" s="97"/>
      <c r="R88" s="97"/>
      <c r="S88" s="97"/>
      <c r="T88" s="97"/>
      <c r="U88" s="97"/>
      <c r="V88" s="97"/>
      <c r="W88" s="97"/>
    </row>
    <row r="89" spans="1:23" ht="19.5" customHeight="1">
      <c r="A89" s="48"/>
      <c r="B89" s="98" t="s">
        <v>89</v>
      </c>
      <c r="C89" s="99"/>
      <c r="D89" s="15"/>
      <c r="E89" s="15"/>
      <c r="F89" s="15"/>
      <c r="G89" s="15"/>
      <c r="H89" s="100">
        <f>H92+H102</f>
        <v>429967854.24</v>
      </c>
      <c r="I89" s="667"/>
      <c r="J89" s="300"/>
      <c r="K89" s="301"/>
      <c r="L89" s="668"/>
      <c r="M89" s="293"/>
      <c r="N89" s="294"/>
      <c r="O89" s="294"/>
      <c r="P89" s="11"/>
      <c r="Q89" s="97"/>
      <c r="R89" s="97"/>
      <c r="S89" s="97"/>
      <c r="T89" s="97"/>
      <c r="U89" s="97"/>
      <c r="V89" s="97"/>
      <c r="W89" s="97"/>
    </row>
    <row r="90" spans="1:23" ht="19.5" customHeight="1">
      <c r="A90" s="48"/>
      <c r="B90" s="98" t="s">
        <v>86</v>
      </c>
      <c r="C90" s="99"/>
      <c r="D90" s="15"/>
      <c r="E90" s="15"/>
      <c r="F90" s="15"/>
      <c r="G90" s="15"/>
      <c r="H90" s="100">
        <f>H93+H103</f>
        <v>430099043.24</v>
      </c>
      <c r="I90" s="669"/>
      <c r="J90" s="300"/>
      <c r="K90" s="301"/>
      <c r="L90" s="668"/>
      <c r="M90" s="293"/>
      <c r="N90" s="294"/>
      <c r="O90" s="294"/>
      <c r="P90" s="11"/>
      <c r="Q90" s="97"/>
      <c r="R90" s="97"/>
      <c r="S90" s="97"/>
      <c r="T90" s="97"/>
      <c r="U90" s="97"/>
      <c r="V90" s="97"/>
      <c r="W90" s="97"/>
    </row>
    <row r="91" spans="1:23" ht="19.5" customHeight="1">
      <c r="A91" s="48"/>
      <c r="B91" s="101" t="s">
        <v>84</v>
      </c>
      <c r="C91" s="96"/>
      <c r="D91" s="15"/>
      <c r="E91" s="15"/>
      <c r="F91" s="15"/>
      <c r="G91" s="15"/>
      <c r="H91" s="100"/>
      <c r="I91" s="669"/>
      <c r="J91" s="300"/>
      <c r="K91" s="668"/>
      <c r="L91" s="668"/>
      <c r="M91" s="293"/>
      <c r="N91" s="294"/>
      <c r="O91" s="294"/>
      <c r="P91" s="11"/>
      <c r="Q91" s="97"/>
      <c r="R91" s="97"/>
      <c r="S91" s="97"/>
      <c r="T91" s="97"/>
      <c r="U91" s="97"/>
      <c r="V91" s="97"/>
      <c r="W91" s="97"/>
    </row>
    <row r="92" spans="1:23" ht="19.5" customHeight="1">
      <c r="A92" s="103" t="s">
        <v>90</v>
      </c>
      <c r="B92" s="103"/>
      <c r="C92" s="103"/>
      <c r="D92" s="62"/>
      <c r="E92" s="58"/>
      <c r="F92" s="58"/>
      <c r="G92" s="15"/>
      <c r="H92" s="100">
        <f>H95+H98</f>
        <v>307240825.58</v>
      </c>
      <c r="I92" s="301"/>
      <c r="J92" s="300"/>
      <c r="K92" s="301"/>
      <c r="L92" s="668"/>
      <c r="M92" s="293"/>
      <c r="N92" s="294"/>
      <c r="O92" s="294"/>
      <c r="P92" s="11"/>
      <c r="Q92" s="97"/>
      <c r="R92" s="97"/>
      <c r="S92" s="97"/>
      <c r="T92" s="97"/>
      <c r="U92" s="97"/>
      <c r="V92" s="97"/>
      <c r="W92" s="97"/>
    </row>
    <row r="93" spans="1:23" ht="19.5" customHeight="1">
      <c r="A93" s="103"/>
      <c r="B93" s="104" t="s">
        <v>86</v>
      </c>
      <c r="C93" s="103"/>
      <c r="D93" s="62"/>
      <c r="E93" s="58"/>
      <c r="F93" s="58"/>
      <c r="G93" s="15"/>
      <c r="H93" s="100">
        <f>H96+H99</f>
        <v>307375838.58</v>
      </c>
      <c r="I93" s="669"/>
      <c r="J93" s="300"/>
      <c r="K93" s="301"/>
      <c r="L93" s="668"/>
      <c r="M93" s="293"/>
      <c r="N93" s="294"/>
      <c r="O93" s="294"/>
      <c r="P93" s="11"/>
      <c r="Q93" s="97"/>
      <c r="R93" s="97"/>
      <c r="S93" s="97"/>
      <c r="T93" s="97"/>
      <c r="U93" s="97"/>
      <c r="V93" s="97"/>
      <c r="W93" s="97"/>
    </row>
    <row r="94" spans="1:23" ht="19.5" customHeight="1">
      <c r="A94" s="57" t="s">
        <v>62</v>
      </c>
      <c r="B94" s="57" t="s">
        <v>91</v>
      </c>
      <c r="C94" s="57"/>
      <c r="D94" s="58"/>
      <c r="E94" s="58"/>
      <c r="F94" s="58"/>
      <c r="G94" s="15"/>
      <c r="H94" s="100"/>
      <c r="I94" s="669"/>
      <c r="J94" s="300"/>
      <c r="K94" s="668"/>
      <c r="L94" s="668"/>
      <c r="M94" s="293"/>
      <c r="N94" s="294"/>
      <c r="O94" s="294"/>
      <c r="P94" s="11"/>
      <c r="Q94" s="97"/>
      <c r="R94" s="97"/>
      <c r="S94" s="97"/>
      <c r="T94" s="97"/>
      <c r="U94" s="97"/>
      <c r="V94" s="97"/>
      <c r="W94" s="97"/>
    </row>
    <row r="95" spans="1:23" ht="19.5" customHeight="1">
      <c r="A95" s="105" t="s">
        <v>92</v>
      </c>
      <c r="B95" s="105"/>
      <c r="C95" s="105"/>
      <c r="D95" s="106"/>
      <c r="E95" s="58"/>
      <c r="F95" s="58"/>
      <c r="G95" s="15"/>
      <c r="H95" s="100">
        <v>256518188.35</v>
      </c>
      <c r="I95" s="669"/>
      <c r="J95" s="300"/>
      <c r="K95" s="668"/>
      <c r="L95" s="668"/>
      <c r="M95" s="293"/>
      <c r="N95" s="294"/>
      <c r="O95" s="294"/>
      <c r="P95" s="11"/>
      <c r="Q95" s="97"/>
      <c r="R95" s="97"/>
      <c r="S95" s="97"/>
      <c r="T95" s="97"/>
      <c r="U95" s="97"/>
      <c r="V95" s="97"/>
      <c r="W95" s="97"/>
    </row>
    <row r="96" spans="1:23" ht="19.5" customHeight="1">
      <c r="A96" s="105"/>
      <c r="B96" s="107" t="s">
        <v>86</v>
      </c>
      <c r="C96" s="105"/>
      <c r="D96" s="106"/>
      <c r="E96" s="62"/>
      <c r="F96" s="106"/>
      <c r="G96" s="15"/>
      <c r="H96" s="100">
        <f>H95-D174+F174+D168+D133+D121-F142-F164-F165-F135</f>
        <v>256701801.35</v>
      </c>
      <c r="I96" s="669"/>
      <c r="J96" s="300"/>
      <c r="K96" s="181"/>
      <c r="L96" s="181"/>
      <c r="M96" s="293"/>
      <c r="N96" s="294"/>
      <c r="O96" s="294"/>
      <c r="P96" s="11"/>
      <c r="Q96" s="97"/>
      <c r="R96" s="97"/>
      <c r="S96" s="97"/>
      <c r="T96" s="97"/>
      <c r="U96" s="97"/>
      <c r="V96" s="97"/>
      <c r="W96" s="97"/>
    </row>
    <row r="97" spans="1:23" ht="19.5" customHeight="1">
      <c r="A97" s="105"/>
      <c r="B97" s="107"/>
      <c r="C97" s="105"/>
      <c r="D97" s="106"/>
      <c r="E97" s="62"/>
      <c r="F97" s="106"/>
      <c r="G97" s="15"/>
      <c r="H97" s="100"/>
      <c r="I97" s="669"/>
      <c r="J97" s="300"/>
      <c r="K97" s="181"/>
      <c r="L97" s="181"/>
      <c r="M97" s="293"/>
      <c r="N97" s="294"/>
      <c r="O97" s="294"/>
      <c r="P97" s="11"/>
      <c r="Q97" s="97"/>
      <c r="R97" s="97"/>
      <c r="S97" s="97"/>
      <c r="T97" s="97"/>
      <c r="U97" s="97"/>
      <c r="V97" s="97"/>
      <c r="W97" s="97"/>
    </row>
    <row r="98" spans="1:23" ht="19.5" customHeight="1">
      <c r="A98" s="105" t="s">
        <v>330</v>
      </c>
      <c r="B98" s="105"/>
      <c r="C98" s="103"/>
      <c r="D98" s="106"/>
      <c r="E98" s="62"/>
      <c r="F98" s="106"/>
      <c r="G98" s="15"/>
      <c r="H98" s="579">
        <v>50722637.23</v>
      </c>
      <c r="I98" s="669"/>
      <c r="J98" s="300"/>
      <c r="K98" s="181"/>
      <c r="L98" s="181"/>
      <c r="M98" s="293"/>
      <c r="N98" s="294"/>
      <c r="O98" s="294"/>
      <c r="P98" s="11"/>
      <c r="Q98" s="97"/>
      <c r="R98" s="97"/>
      <c r="S98" s="97"/>
      <c r="T98" s="97"/>
      <c r="U98" s="97"/>
      <c r="V98" s="97"/>
      <c r="W98" s="97"/>
    </row>
    <row r="99" spans="1:23" ht="19.5" customHeight="1">
      <c r="A99" s="105"/>
      <c r="B99" s="107" t="s">
        <v>86</v>
      </c>
      <c r="C99" s="103"/>
      <c r="D99" s="106"/>
      <c r="E99" s="62"/>
      <c r="F99" s="106"/>
      <c r="G99" s="15"/>
      <c r="H99" s="100">
        <f>H98-D121-D133-D168+F165+F164+F142+F121+F135</f>
        <v>50674037.23</v>
      </c>
      <c r="I99" s="669"/>
      <c r="J99" s="300"/>
      <c r="K99" s="181"/>
      <c r="L99" s="181"/>
      <c r="M99" s="293"/>
      <c r="N99" s="294"/>
      <c r="O99" s="294"/>
      <c r="P99" s="11"/>
      <c r="Q99" s="97"/>
      <c r="R99" s="97"/>
      <c r="S99" s="97"/>
      <c r="T99" s="97"/>
      <c r="U99" s="97"/>
      <c r="V99" s="97"/>
      <c r="W99" s="97"/>
    </row>
    <row r="100" spans="1:23" ht="19.5" customHeight="1">
      <c r="A100" s="105"/>
      <c r="B100" s="107"/>
      <c r="C100" s="105"/>
      <c r="D100" s="106"/>
      <c r="E100" s="62"/>
      <c r="F100" s="106"/>
      <c r="G100" s="15"/>
      <c r="H100" s="100"/>
      <c r="I100" s="669"/>
      <c r="J100" s="300"/>
      <c r="K100" s="181"/>
      <c r="L100" s="181"/>
      <c r="M100" s="293"/>
      <c r="N100" s="294"/>
      <c r="O100" s="294"/>
      <c r="P100" s="11"/>
      <c r="Q100" s="97"/>
      <c r="R100" s="97"/>
      <c r="S100" s="97"/>
      <c r="T100" s="97"/>
      <c r="U100" s="97"/>
      <c r="V100" s="97"/>
      <c r="W100" s="97"/>
    </row>
    <row r="101" spans="1:23" ht="19.5" customHeight="1">
      <c r="A101" s="55"/>
      <c r="B101" s="56"/>
      <c r="C101" s="50"/>
      <c r="D101" s="25"/>
      <c r="E101" s="62"/>
      <c r="F101" s="106"/>
      <c r="G101" s="15"/>
      <c r="H101" s="102"/>
      <c r="I101" s="669"/>
      <c r="J101" s="300"/>
      <c r="K101" s="182"/>
      <c r="L101" s="292"/>
      <c r="M101" s="293"/>
      <c r="N101" s="294"/>
      <c r="O101" s="294"/>
      <c r="P101" s="11"/>
      <c r="Q101" s="97"/>
      <c r="R101" s="97"/>
      <c r="S101" s="97"/>
      <c r="T101" s="97"/>
      <c r="U101" s="97"/>
      <c r="V101" s="97"/>
      <c r="W101" s="97"/>
    </row>
    <row r="102" spans="1:23" ht="19.5" customHeight="1">
      <c r="A102" s="103" t="s">
        <v>154</v>
      </c>
      <c r="B102" s="103"/>
      <c r="C102" s="103"/>
      <c r="D102" s="62"/>
      <c r="E102" s="62"/>
      <c r="F102" s="106"/>
      <c r="G102" s="15"/>
      <c r="H102" s="100">
        <f>H105+H108</f>
        <v>122727028.66</v>
      </c>
      <c r="I102" s="301"/>
      <c r="J102" s="300"/>
      <c r="K102" s="182"/>
      <c r="L102" s="292"/>
      <c r="M102" s="293"/>
      <c r="N102" s="294"/>
      <c r="O102" s="294"/>
      <c r="P102" s="11"/>
      <c r="Q102" s="97"/>
      <c r="R102" s="97"/>
      <c r="S102" s="97"/>
      <c r="T102" s="97"/>
      <c r="U102" s="97"/>
      <c r="V102" s="97"/>
      <c r="W102" s="97"/>
    </row>
    <row r="103" spans="1:23" ht="19.5" customHeight="1">
      <c r="A103" s="103"/>
      <c r="B103" s="104" t="s">
        <v>86</v>
      </c>
      <c r="C103" s="103"/>
      <c r="D103" s="62"/>
      <c r="E103" s="62"/>
      <c r="F103" s="106"/>
      <c r="G103" s="15"/>
      <c r="H103" s="100">
        <f>H106+H109</f>
        <v>122723204.66</v>
      </c>
      <c r="I103" s="669"/>
      <c r="J103" s="300"/>
      <c r="K103" s="182"/>
      <c r="L103" s="292"/>
      <c r="M103" s="293"/>
      <c r="N103" s="294"/>
      <c r="O103" s="294"/>
      <c r="P103" s="11"/>
      <c r="Q103" s="97"/>
      <c r="R103" s="97"/>
      <c r="S103" s="97"/>
      <c r="T103" s="97"/>
      <c r="U103" s="97"/>
      <c r="V103" s="97"/>
      <c r="W103" s="97"/>
    </row>
    <row r="104" spans="1:23" ht="19.5" customHeight="1">
      <c r="A104" s="57" t="s">
        <v>62</v>
      </c>
      <c r="B104" s="57" t="s">
        <v>91</v>
      </c>
      <c r="C104" s="57"/>
      <c r="D104" s="58"/>
      <c r="E104" s="62"/>
      <c r="F104" s="106"/>
      <c r="G104" s="15"/>
      <c r="H104" s="100"/>
      <c r="I104" s="669"/>
      <c r="J104" s="300"/>
      <c r="K104" s="182"/>
      <c r="L104" s="292"/>
      <c r="M104" s="293"/>
      <c r="N104" s="294"/>
      <c r="O104" s="294"/>
      <c r="P104" s="11"/>
      <c r="Q104" s="97"/>
      <c r="R104" s="97"/>
      <c r="S104" s="97"/>
      <c r="T104" s="97"/>
      <c r="U104" s="97"/>
      <c r="V104" s="97"/>
      <c r="W104" s="97"/>
    </row>
    <row r="105" spans="1:23" ht="19.5" customHeight="1">
      <c r="A105" s="105" t="s">
        <v>92</v>
      </c>
      <c r="B105" s="105"/>
      <c r="C105" s="105"/>
      <c r="D105" s="106"/>
      <c r="E105" s="62"/>
      <c r="F105" s="106"/>
      <c r="G105" s="15"/>
      <c r="H105" s="100">
        <v>108450878.66</v>
      </c>
      <c r="I105" s="669"/>
      <c r="J105" s="300"/>
      <c r="K105" s="182"/>
      <c r="L105" s="292"/>
      <c r="M105" s="293"/>
      <c r="N105" s="294"/>
      <c r="O105" s="294"/>
      <c r="P105" s="11"/>
      <c r="Q105" s="97"/>
      <c r="R105" s="97"/>
      <c r="S105" s="97"/>
      <c r="T105" s="97"/>
      <c r="U105" s="97"/>
      <c r="V105" s="97"/>
      <c r="W105" s="97"/>
    </row>
    <row r="106" spans="1:23" ht="19.5" customHeight="1">
      <c r="A106" s="105"/>
      <c r="B106" s="107" t="s">
        <v>86</v>
      </c>
      <c r="C106" s="105"/>
      <c r="D106" s="106"/>
      <c r="E106" s="62"/>
      <c r="F106" s="106"/>
      <c r="G106" s="15"/>
      <c r="H106" s="100">
        <f>H105-D205+D191+F205-F190-F187</f>
        <v>108268668.25999999</v>
      </c>
      <c r="I106" s="669"/>
      <c r="J106" s="300"/>
      <c r="K106" s="182"/>
      <c r="L106" s="292"/>
      <c r="M106" s="293"/>
      <c r="N106" s="294"/>
      <c r="O106" s="294"/>
      <c r="P106" s="11"/>
      <c r="Q106" s="97"/>
      <c r="R106" s="97"/>
      <c r="S106" s="97"/>
      <c r="T106" s="97"/>
      <c r="U106" s="97"/>
      <c r="V106" s="97"/>
      <c r="W106" s="97"/>
    </row>
    <row r="107" spans="1:23" ht="19.5" customHeight="1">
      <c r="A107" s="55"/>
      <c r="B107" s="56"/>
      <c r="C107" s="50"/>
      <c r="D107" s="25"/>
      <c r="E107" s="62"/>
      <c r="F107" s="106"/>
      <c r="G107" s="15"/>
      <c r="H107" s="102"/>
      <c r="I107" s="669"/>
      <c r="J107" s="300"/>
      <c r="K107" s="182"/>
      <c r="L107" s="292"/>
      <c r="M107" s="293"/>
      <c r="N107" s="294"/>
      <c r="O107" s="294"/>
      <c r="P107" s="11"/>
      <c r="Q107" s="97"/>
      <c r="R107" s="97"/>
      <c r="S107" s="97"/>
      <c r="T107" s="97"/>
      <c r="U107" s="97"/>
      <c r="V107" s="97"/>
      <c r="W107" s="97"/>
    </row>
    <row r="108" spans="1:23" ht="19.5" customHeight="1">
      <c r="A108" s="105" t="s">
        <v>330</v>
      </c>
      <c r="B108" s="105"/>
      <c r="C108" s="103"/>
      <c r="D108" s="106"/>
      <c r="E108" s="62"/>
      <c r="F108" s="106"/>
      <c r="G108" s="15"/>
      <c r="H108" s="100">
        <v>14276150</v>
      </c>
      <c r="I108" s="669"/>
      <c r="J108" s="300"/>
      <c r="K108" s="297"/>
      <c r="L108" s="292"/>
      <c r="M108" s="293"/>
      <c r="N108" s="294"/>
      <c r="O108" s="294"/>
      <c r="P108" s="11"/>
      <c r="Q108" s="97"/>
      <c r="R108" s="97"/>
      <c r="S108" s="97"/>
      <c r="T108" s="97"/>
      <c r="U108" s="97"/>
      <c r="V108" s="97"/>
      <c r="W108" s="97"/>
    </row>
    <row r="109" spans="1:23" ht="19.5" customHeight="1">
      <c r="A109" s="105"/>
      <c r="B109" s="107" t="s">
        <v>86</v>
      </c>
      <c r="C109" s="103"/>
      <c r="D109" s="106"/>
      <c r="E109" s="62"/>
      <c r="F109" s="106"/>
      <c r="G109" s="15"/>
      <c r="H109" s="100">
        <f>H108-D191+F187+F190</f>
        <v>14454536.4</v>
      </c>
      <c r="I109" s="669"/>
      <c r="J109" s="300"/>
      <c r="K109" s="297"/>
      <c r="L109" s="292"/>
      <c r="M109" s="293"/>
      <c r="N109" s="294"/>
      <c r="O109" s="294"/>
      <c r="P109" s="11"/>
      <c r="Q109" s="97"/>
      <c r="R109" s="97"/>
      <c r="S109" s="97"/>
      <c r="T109" s="97"/>
      <c r="U109" s="97"/>
      <c r="V109" s="97"/>
      <c r="W109" s="97"/>
    </row>
    <row r="110" spans="1:23" ht="19.5" customHeight="1">
      <c r="A110" s="105"/>
      <c r="B110" s="107"/>
      <c r="C110" s="103"/>
      <c r="D110" s="106"/>
      <c r="E110" s="62"/>
      <c r="F110" s="106"/>
      <c r="G110" s="15"/>
      <c r="H110" s="100"/>
      <c r="I110" s="669"/>
      <c r="J110" s="300"/>
      <c r="K110" s="297"/>
      <c r="L110" s="292"/>
      <c r="M110" s="293"/>
      <c r="N110" s="294"/>
      <c r="O110" s="294"/>
      <c r="P110" s="11"/>
      <c r="Q110" s="97"/>
      <c r="R110" s="97"/>
      <c r="S110" s="97"/>
      <c r="T110" s="97"/>
      <c r="U110" s="97"/>
      <c r="V110" s="97"/>
      <c r="W110" s="97"/>
    </row>
    <row r="111" spans="1:23" ht="19.5" customHeight="1">
      <c r="A111" s="55"/>
      <c r="B111" s="56"/>
      <c r="C111" s="50"/>
      <c r="D111" s="25"/>
      <c r="E111" s="62"/>
      <c r="F111" s="106"/>
      <c r="G111" s="15"/>
      <c r="H111" s="102"/>
      <c r="I111" s="669"/>
      <c r="J111" s="300"/>
      <c r="K111" s="297"/>
      <c r="L111" s="292"/>
      <c r="M111" s="293"/>
      <c r="N111" s="294"/>
      <c r="O111" s="294"/>
      <c r="P111" s="11"/>
      <c r="Q111" s="97"/>
      <c r="R111" s="97"/>
      <c r="S111" s="97"/>
      <c r="T111" s="97"/>
      <c r="U111" s="97"/>
      <c r="V111" s="97"/>
      <c r="W111" s="97"/>
    </row>
    <row r="112" spans="1:23" ht="19.5" customHeight="1">
      <c r="A112" s="109" t="s">
        <v>77</v>
      </c>
      <c r="B112" s="110"/>
      <c r="C112" s="111"/>
      <c r="D112" s="17"/>
      <c r="E112" s="17"/>
      <c r="F112" s="17"/>
      <c r="G112" s="17"/>
      <c r="H112" s="20"/>
      <c r="I112" s="669"/>
      <c r="J112" s="296"/>
      <c r="K112" s="295"/>
      <c r="L112" s="296"/>
      <c r="M112" s="293"/>
      <c r="N112" s="294"/>
      <c r="O112" s="294"/>
      <c r="P112" s="11"/>
      <c r="Q112" s="15"/>
      <c r="R112" s="15"/>
      <c r="S112" s="15"/>
      <c r="T112" s="15"/>
      <c r="U112" s="15"/>
      <c r="V112" s="15"/>
      <c r="W112" s="15"/>
    </row>
    <row r="113" spans="1:23" ht="19.5" customHeight="1">
      <c r="A113" s="109"/>
      <c r="B113" s="110"/>
      <c r="C113" s="111"/>
      <c r="D113" s="17"/>
      <c r="E113" s="17"/>
      <c r="F113" s="17"/>
      <c r="G113" s="17"/>
      <c r="H113" s="20"/>
      <c r="I113" s="669"/>
      <c r="J113" s="296"/>
      <c r="K113" s="295"/>
      <c r="L113" s="296"/>
      <c r="M113" s="293"/>
      <c r="N113" s="294"/>
      <c r="O113" s="294"/>
      <c r="P113" s="11"/>
      <c r="Q113" s="15"/>
      <c r="R113" s="15"/>
      <c r="S113" s="15"/>
      <c r="T113" s="15"/>
      <c r="U113" s="15"/>
      <c r="V113" s="15"/>
      <c r="W113" s="15"/>
    </row>
    <row r="114" spans="1:23" ht="19.5" customHeight="1">
      <c r="A114" s="112" t="s">
        <v>33</v>
      </c>
      <c r="B114" s="112"/>
      <c r="C114" s="113"/>
      <c r="D114" s="18"/>
      <c r="E114" s="18"/>
      <c r="F114" s="18"/>
      <c r="G114" s="18"/>
      <c r="H114" s="16"/>
      <c r="I114" s="669"/>
      <c r="J114" s="176"/>
      <c r="K114" s="182"/>
      <c r="L114" s="297"/>
      <c r="M114" s="298"/>
      <c r="N114" s="294"/>
      <c r="O114" s="294"/>
      <c r="P114" s="11"/>
      <c r="Q114" s="15"/>
      <c r="R114" s="15"/>
      <c r="S114" s="15"/>
      <c r="T114" s="15"/>
      <c r="U114" s="15"/>
      <c r="V114" s="15"/>
      <c r="W114" s="15"/>
    </row>
    <row r="115" spans="1:23" ht="19.5" customHeight="1">
      <c r="A115" s="112"/>
      <c r="B115" s="112"/>
      <c r="C115" s="113"/>
      <c r="D115" s="18"/>
      <c r="E115" s="18"/>
      <c r="F115" s="18"/>
      <c r="G115" s="18"/>
      <c r="H115" s="16"/>
      <c r="I115" s="669"/>
      <c r="J115" s="176"/>
      <c r="K115" s="182"/>
      <c r="L115" s="297"/>
      <c r="M115" s="298"/>
      <c r="N115" s="294"/>
      <c r="O115" s="294"/>
      <c r="P115" s="11"/>
      <c r="Q115" s="15"/>
      <c r="R115" s="15"/>
      <c r="S115" s="15"/>
      <c r="T115" s="15"/>
      <c r="U115" s="15"/>
      <c r="V115" s="15"/>
      <c r="W115" s="15"/>
    </row>
    <row r="116" spans="1:23" ht="19.5" customHeight="1">
      <c r="A116" s="112"/>
      <c r="B116" s="112"/>
      <c r="C116" s="113"/>
      <c r="D116" s="18"/>
      <c r="E116" s="18"/>
      <c r="F116" s="18"/>
      <c r="G116" s="18"/>
      <c r="H116" s="16"/>
      <c r="I116" s="669"/>
      <c r="J116" s="176"/>
      <c r="K116" s="182"/>
      <c r="L116" s="299"/>
      <c r="M116" s="182"/>
      <c r="N116" s="294"/>
      <c r="O116" s="294"/>
      <c r="P116" s="11"/>
      <c r="Q116" s="15"/>
      <c r="R116" s="15"/>
      <c r="S116" s="15"/>
      <c r="T116" s="15"/>
      <c r="U116" s="15"/>
      <c r="V116" s="15"/>
      <c r="W116" s="15"/>
    </row>
    <row r="117" spans="1:23" ht="19.5" customHeight="1">
      <c r="A117" s="71"/>
      <c r="B117" s="71"/>
      <c r="C117" s="72"/>
      <c r="D117" s="9" t="s">
        <v>59</v>
      </c>
      <c r="E117" s="10"/>
      <c r="F117" s="9" t="s">
        <v>60</v>
      </c>
      <c r="G117" s="10"/>
      <c r="H117" s="16"/>
      <c r="I117" s="669"/>
      <c r="J117" s="176"/>
      <c r="K117" s="182"/>
      <c r="L117" s="293"/>
      <c r="M117" s="293"/>
      <c r="N117" s="294"/>
      <c r="O117" s="294"/>
      <c r="P117" s="11"/>
      <c r="Q117" s="15"/>
      <c r="R117" s="15"/>
      <c r="S117" s="15"/>
      <c r="T117" s="15"/>
      <c r="U117" s="15"/>
      <c r="V117" s="15"/>
      <c r="W117" s="15"/>
    </row>
    <row r="118" spans="1:23" ht="19.5" customHeight="1">
      <c r="A118" s="73"/>
      <c r="B118" s="73"/>
      <c r="C118" s="74"/>
      <c r="D118" s="11" t="s">
        <v>62</v>
      </c>
      <c r="E118" s="10" t="s">
        <v>61</v>
      </c>
      <c r="F118" s="11" t="s">
        <v>62</v>
      </c>
      <c r="G118" s="10" t="s">
        <v>61</v>
      </c>
      <c r="H118" s="16"/>
      <c r="I118" s="669"/>
      <c r="J118" s="176"/>
      <c r="K118" s="182"/>
      <c r="L118" s="293"/>
      <c r="M118" s="293"/>
      <c r="N118" s="294"/>
      <c r="O118" s="294"/>
      <c r="P118" s="11"/>
      <c r="Q118" s="15"/>
      <c r="R118" s="15"/>
      <c r="S118" s="15"/>
      <c r="T118" s="15"/>
      <c r="U118" s="15"/>
      <c r="V118" s="15"/>
      <c r="W118" s="15"/>
    </row>
    <row r="119" spans="1:23" s="33" customFormat="1" ht="19.5" customHeight="1">
      <c r="A119" s="75" t="s">
        <v>64</v>
      </c>
      <c r="B119" s="75" t="s">
        <v>70</v>
      </c>
      <c r="C119" s="75" t="s">
        <v>65</v>
      </c>
      <c r="D119" s="314" t="s">
        <v>66</v>
      </c>
      <c r="E119" s="13" t="s">
        <v>67</v>
      </c>
      <c r="F119" s="314" t="s">
        <v>66</v>
      </c>
      <c r="G119" s="13" t="s">
        <v>67</v>
      </c>
      <c r="H119" s="174"/>
      <c r="I119" s="670"/>
      <c r="J119" s="575"/>
      <c r="K119" s="307"/>
      <c r="L119" s="308"/>
      <c r="M119" s="308"/>
      <c r="N119" s="309"/>
      <c r="O119" s="309"/>
      <c r="P119" s="671"/>
      <c r="Q119" s="175"/>
      <c r="R119" s="175"/>
      <c r="S119" s="175"/>
      <c r="T119" s="175"/>
      <c r="U119" s="175"/>
      <c r="V119" s="175"/>
      <c r="W119" s="175"/>
    </row>
    <row r="120" spans="1:23" s="28" customFormat="1" ht="19.5" customHeight="1">
      <c r="A120" s="583" t="s">
        <v>345</v>
      </c>
      <c r="B120" s="89"/>
      <c r="C120" s="89"/>
      <c r="D120" s="77">
        <f>D121+D122</f>
        <v>135000</v>
      </c>
      <c r="E120" s="313"/>
      <c r="F120" s="77">
        <f>F121+F122</f>
        <v>0</v>
      </c>
      <c r="G120" s="313"/>
      <c r="H120" s="100"/>
      <c r="I120" s="300"/>
      <c r="J120" s="296"/>
      <c r="K120" s="300"/>
      <c r="L120" s="296"/>
      <c r="M120" s="296"/>
      <c r="N120" s="301"/>
      <c r="O120" s="301"/>
      <c r="P120" s="672"/>
      <c r="Q120" s="114"/>
      <c r="R120" s="114"/>
      <c r="S120" s="114"/>
      <c r="T120" s="114"/>
      <c r="U120" s="114"/>
      <c r="V120" s="114"/>
      <c r="W120" s="114"/>
    </row>
    <row r="121" spans="1:23" s="27" customFormat="1" ht="19.5" customHeight="1">
      <c r="A121" s="79"/>
      <c r="B121" s="569" t="s">
        <v>346</v>
      </c>
      <c r="C121" s="569" t="s">
        <v>347</v>
      </c>
      <c r="D121" s="588">
        <f>120000-15000</f>
        <v>105000</v>
      </c>
      <c r="E121" s="81"/>
      <c r="F121" s="81"/>
      <c r="G121" s="81"/>
      <c r="H121" s="102"/>
      <c r="I121" s="302"/>
      <c r="J121" s="176"/>
      <c r="K121" s="302"/>
      <c r="L121" s="176"/>
      <c r="M121" s="176"/>
      <c r="N121" s="303"/>
      <c r="O121" s="303"/>
      <c r="P121" s="673"/>
      <c r="Q121" s="14"/>
      <c r="R121" s="14"/>
      <c r="S121" s="14"/>
      <c r="T121" s="14"/>
      <c r="U121" s="14"/>
      <c r="V121" s="14"/>
      <c r="W121" s="14"/>
    </row>
    <row r="122" spans="1:23" s="27" customFormat="1" ht="19.5" customHeight="1">
      <c r="A122" s="82"/>
      <c r="B122" s="149" t="s">
        <v>375</v>
      </c>
      <c r="C122" s="80" t="s">
        <v>359</v>
      </c>
      <c r="D122" s="588">
        <v>30000</v>
      </c>
      <c r="E122" s="81"/>
      <c r="F122" s="81"/>
      <c r="G122" s="81"/>
      <c r="H122" s="102"/>
      <c r="I122" s="302"/>
      <c r="J122" s="176"/>
      <c r="K122" s="302"/>
      <c r="L122" s="176"/>
      <c r="M122" s="176"/>
      <c r="N122" s="303"/>
      <c r="O122" s="303"/>
      <c r="P122" s="673"/>
      <c r="Q122" s="14"/>
      <c r="R122" s="14"/>
      <c r="S122" s="14"/>
      <c r="T122" s="14"/>
      <c r="U122" s="14"/>
      <c r="V122" s="14"/>
      <c r="W122" s="14"/>
    </row>
    <row r="123" spans="1:23" s="28" customFormat="1" ht="19.5" customHeight="1">
      <c r="A123" s="557" t="s">
        <v>353</v>
      </c>
      <c r="B123" s="76"/>
      <c r="C123" s="78"/>
      <c r="D123" s="581">
        <f>D124+D125</f>
        <v>30350</v>
      </c>
      <c r="E123" s="77"/>
      <c r="F123" s="581">
        <f>F124+F125</f>
        <v>34753</v>
      </c>
      <c r="G123" s="77"/>
      <c r="H123" s="100"/>
      <c r="I123" s="300"/>
      <c r="J123" s="296"/>
      <c r="K123" s="300"/>
      <c r="L123" s="296"/>
      <c r="M123" s="296"/>
      <c r="N123" s="301"/>
      <c r="O123" s="301"/>
      <c r="P123" s="672"/>
      <c r="Q123" s="114"/>
      <c r="R123" s="114"/>
      <c r="S123" s="114"/>
      <c r="T123" s="114"/>
      <c r="U123" s="114"/>
      <c r="V123" s="114"/>
      <c r="W123" s="114"/>
    </row>
    <row r="124" spans="1:23" s="27" customFormat="1" ht="19.5" customHeight="1">
      <c r="A124" s="82"/>
      <c r="B124" s="149" t="s">
        <v>354</v>
      </c>
      <c r="C124" s="84" t="s">
        <v>359</v>
      </c>
      <c r="D124" s="81"/>
      <c r="E124" s="81"/>
      <c r="F124" s="81">
        <v>6026</v>
      </c>
      <c r="G124" s="81"/>
      <c r="H124" s="102"/>
      <c r="I124" s="302"/>
      <c r="J124" s="176"/>
      <c r="K124" s="302"/>
      <c r="L124" s="176"/>
      <c r="M124" s="176"/>
      <c r="N124" s="303"/>
      <c r="O124" s="303"/>
      <c r="P124" s="673"/>
      <c r="Q124" s="14"/>
      <c r="R124" s="14"/>
      <c r="S124" s="14"/>
      <c r="T124" s="14"/>
      <c r="U124" s="14"/>
      <c r="V124" s="14"/>
      <c r="W124" s="14"/>
    </row>
    <row r="125" spans="1:23" s="27" customFormat="1" ht="19.5" customHeight="1">
      <c r="A125" s="82"/>
      <c r="B125" s="149" t="s">
        <v>355</v>
      </c>
      <c r="C125" s="80"/>
      <c r="D125" s="81">
        <f>SUM(D126:D127)</f>
        <v>30350</v>
      </c>
      <c r="E125" s="81"/>
      <c r="F125" s="81">
        <f>SUM(F126:F127)</f>
        <v>28727</v>
      </c>
      <c r="G125" s="81"/>
      <c r="H125" s="102"/>
      <c r="I125" s="302"/>
      <c r="J125" s="176"/>
      <c r="K125" s="302"/>
      <c r="L125" s="176"/>
      <c r="M125" s="176"/>
      <c r="N125" s="303"/>
      <c r="O125" s="303"/>
      <c r="P125" s="673"/>
      <c r="Q125" s="14"/>
      <c r="R125" s="14"/>
      <c r="S125" s="14"/>
      <c r="T125" s="14"/>
      <c r="U125" s="14"/>
      <c r="V125" s="14"/>
      <c r="W125" s="14"/>
    </row>
    <row r="126" spans="1:23" s="27" customFormat="1" ht="19.5" customHeight="1">
      <c r="A126" s="82"/>
      <c r="B126" s="83"/>
      <c r="C126" s="80" t="s">
        <v>356</v>
      </c>
      <c r="D126" s="81"/>
      <c r="E126" s="81"/>
      <c r="F126" s="81">
        <v>5000</v>
      </c>
      <c r="G126" s="81"/>
      <c r="H126" s="102"/>
      <c r="I126" s="302"/>
      <c r="J126" s="176"/>
      <c r="K126" s="302"/>
      <c r="L126" s="176"/>
      <c r="M126" s="176"/>
      <c r="N126" s="303"/>
      <c r="O126" s="303"/>
      <c r="P126" s="673"/>
      <c r="Q126" s="14"/>
      <c r="R126" s="14"/>
      <c r="S126" s="14"/>
      <c r="T126" s="14"/>
      <c r="U126" s="14"/>
      <c r="V126" s="14"/>
      <c r="W126" s="14"/>
    </row>
    <row r="127" spans="1:23" s="27" customFormat="1" ht="19.5" customHeight="1">
      <c r="A127" s="82"/>
      <c r="B127" s="83"/>
      <c r="C127" s="80" t="s">
        <v>359</v>
      </c>
      <c r="D127" s="81">
        <v>30350</v>
      </c>
      <c r="E127" s="81"/>
      <c r="F127" s="81">
        <f>4987+11240+7500</f>
        <v>23727</v>
      </c>
      <c r="G127" s="81"/>
      <c r="H127" s="102"/>
      <c r="I127" s="302"/>
      <c r="J127" s="176"/>
      <c r="K127" s="302"/>
      <c r="L127" s="176"/>
      <c r="M127" s="176"/>
      <c r="N127" s="303"/>
      <c r="O127" s="303"/>
      <c r="P127" s="673"/>
      <c r="Q127" s="14"/>
      <c r="R127" s="14"/>
      <c r="S127" s="14"/>
      <c r="T127" s="14"/>
      <c r="U127" s="14"/>
      <c r="V127" s="14"/>
      <c r="W127" s="14"/>
    </row>
    <row r="128" spans="1:23" s="28" customFormat="1" ht="19.5" customHeight="1">
      <c r="A128" s="557" t="s">
        <v>357</v>
      </c>
      <c r="B128" s="76" t="s">
        <v>358</v>
      </c>
      <c r="C128" s="78"/>
      <c r="D128" s="77">
        <f>SUM(D129:D130)</f>
        <v>17540</v>
      </c>
      <c r="E128" s="77"/>
      <c r="F128" s="77"/>
      <c r="G128" s="77"/>
      <c r="H128" s="100"/>
      <c r="I128" s="300"/>
      <c r="J128" s="296"/>
      <c r="K128" s="300"/>
      <c r="L128" s="296"/>
      <c r="M128" s="296"/>
      <c r="N128" s="301"/>
      <c r="O128" s="301"/>
      <c r="P128" s="672"/>
      <c r="Q128" s="114"/>
      <c r="R128" s="114"/>
      <c r="S128" s="114"/>
      <c r="T128" s="114"/>
      <c r="U128" s="114"/>
      <c r="V128" s="114"/>
      <c r="W128" s="114"/>
    </row>
    <row r="129" spans="1:23" s="27" customFormat="1" ht="19.5" customHeight="1">
      <c r="A129" s="82"/>
      <c r="B129" s="83"/>
      <c r="C129" s="84" t="s">
        <v>356</v>
      </c>
      <c r="D129" s="81">
        <f>1300+396</f>
        <v>1696</v>
      </c>
      <c r="E129" s="81"/>
      <c r="F129" s="81"/>
      <c r="G129" s="81"/>
      <c r="H129" s="102"/>
      <c r="I129" s="302"/>
      <c r="J129" s="176"/>
      <c r="K129" s="302"/>
      <c r="L129" s="176"/>
      <c r="M129" s="176"/>
      <c r="N129" s="303"/>
      <c r="O129" s="303"/>
      <c r="P129" s="673"/>
      <c r="Q129" s="14"/>
      <c r="R129" s="14"/>
      <c r="S129" s="14"/>
      <c r="T129" s="14"/>
      <c r="U129" s="14"/>
      <c r="V129" s="14"/>
      <c r="W129" s="14"/>
    </row>
    <row r="130" spans="1:23" s="27" customFormat="1" ht="19.5" customHeight="1">
      <c r="A130" s="82"/>
      <c r="B130" s="83"/>
      <c r="C130" s="80" t="s">
        <v>359</v>
      </c>
      <c r="D130" s="81">
        <v>15844</v>
      </c>
      <c r="E130" s="81"/>
      <c r="F130" s="81"/>
      <c r="G130" s="81"/>
      <c r="H130" s="102"/>
      <c r="I130" s="302"/>
      <c r="J130" s="176"/>
      <c r="K130" s="302"/>
      <c r="L130" s="176"/>
      <c r="M130" s="176"/>
      <c r="N130" s="303"/>
      <c r="O130" s="303"/>
      <c r="P130" s="673"/>
      <c r="Q130" s="14"/>
      <c r="R130" s="14"/>
      <c r="S130" s="14"/>
      <c r="T130" s="14"/>
      <c r="U130" s="14"/>
      <c r="V130" s="14"/>
      <c r="W130" s="14"/>
    </row>
    <row r="131" spans="1:23" s="28" customFormat="1" ht="19.5" customHeight="1">
      <c r="A131" s="557" t="s">
        <v>348</v>
      </c>
      <c r="B131" s="76" t="s">
        <v>349</v>
      </c>
      <c r="C131" s="78"/>
      <c r="D131" s="77">
        <f>D132+D133</f>
        <v>122600</v>
      </c>
      <c r="E131" s="77"/>
      <c r="F131" s="77"/>
      <c r="G131" s="77"/>
      <c r="H131" s="100"/>
      <c r="I131" s="300"/>
      <c r="J131" s="296"/>
      <c r="K131" s="300"/>
      <c r="L131" s="296"/>
      <c r="M131" s="296"/>
      <c r="N131" s="301"/>
      <c r="O131" s="301"/>
      <c r="P131" s="672"/>
      <c r="Q131" s="114"/>
      <c r="R131" s="114"/>
      <c r="S131" s="114"/>
      <c r="T131" s="114"/>
      <c r="U131" s="114"/>
      <c r="V131" s="114"/>
      <c r="W131" s="114"/>
    </row>
    <row r="132" spans="1:23" s="27" customFormat="1" ht="19.5" customHeight="1">
      <c r="A132" s="82"/>
      <c r="B132" s="83"/>
      <c r="C132" s="80" t="s">
        <v>350</v>
      </c>
      <c r="D132" s="81">
        <f>16600+26000</f>
        <v>42600</v>
      </c>
      <c r="E132" s="81"/>
      <c r="F132" s="81"/>
      <c r="G132" s="81"/>
      <c r="H132" s="102"/>
      <c r="I132" s="302"/>
      <c r="J132" s="176"/>
      <c r="K132" s="302"/>
      <c r="L132" s="176"/>
      <c r="M132" s="176"/>
      <c r="N132" s="303"/>
      <c r="O132" s="303"/>
      <c r="P132" s="673"/>
      <c r="Q132" s="14"/>
      <c r="R132" s="14"/>
      <c r="S132" s="14"/>
      <c r="T132" s="14"/>
      <c r="U132" s="14"/>
      <c r="V132" s="14"/>
      <c r="W132" s="14"/>
    </row>
    <row r="133" spans="1:23" s="27" customFormat="1" ht="19.5" customHeight="1">
      <c r="A133" s="82"/>
      <c r="B133" s="83"/>
      <c r="C133" s="569" t="s">
        <v>351</v>
      </c>
      <c r="D133" s="81">
        <f>55000+15000+10000</f>
        <v>80000</v>
      </c>
      <c r="E133" s="81"/>
      <c r="F133" s="81"/>
      <c r="G133" s="81"/>
      <c r="H133" s="102"/>
      <c r="I133" s="302"/>
      <c r="J133" s="176"/>
      <c r="K133" s="302"/>
      <c r="L133" s="176"/>
      <c r="M133" s="176"/>
      <c r="N133" s="303"/>
      <c r="O133" s="303"/>
      <c r="P133" s="673"/>
      <c r="Q133" s="14"/>
      <c r="R133" s="14"/>
      <c r="S133" s="14"/>
      <c r="T133" s="14"/>
      <c r="U133" s="14"/>
      <c r="V133" s="14"/>
      <c r="W133" s="14"/>
    </row>
    <row r="134" spans="1:23" s="28" customFormat="1" ht="19.5" customHeight="1">
      <c r="A134" s="557" t="s">
        <v>361</v>
      </c>
      <c r="B134" s="76"/>
      <c r="C134" s="78"/>
      <c r="D134" s="77">
        <f>D135+D136+D143+D148</f>
        <v>23500</v>
      </c>
      <c r="E134" s="77"/>
      <c r="F134" s="77">
        <f>F135+F136+F143+F148</f>
        <v>165800</v>
      </c>
      <c r="G134" s="77"/>
      <c r="H134" s="100"/>
      <c r="I134" s="300"/>
      <c r="J134" s="296"/>
      <c r="K134" s="300"/>
      <c r="L134" s="296"/>
      <c r="M134" s="296"/>
      <c r="N134" s="301"/>
      <c r="O134" s="301"/>
      <c r="P134" s="672"/>
      <c r="Q134" s="114"/>
      <c r="R134" s="114"/>
      <c r="S134" s="114"/>
      <c r="T134" s="114"/>
      <c r="U134" s="114"/>
      <c r="V134" s="114"/>
      <c r="W134" s="114"/>
    </row>
    <row r="135" spans="1:23" s="27" customFormat="1" ht="19.5" customHeight="1">
      <c r="A135" s="82"/>
      <c r="B135" s="149" t="s">
        <v>427</v>
      </c>
      <c r="C135" s="569" t="s">
        <v>364</v>
      </c>
      <c r="D135" s="81"/>
      <c r="E135" s="81"/>
      <c r="F135" s="81">
        <v>13000</v>
      </c>
      <c r="G135" s="81"/>
      <c r="H135" s="102"/>
      <c r="I135" s="302"/>
      <c r="J135" s="176"/>
      <c r="K135" s="302"/>
      <c r="L135" s="176"/>
      <c r="M135" s="176"/>
      <c r="N135" s="303"/>
      <c r="O135" s="303"/>
      <c r="P135" s="673"/>
      <c r="Q135" s="14"/>
      <c r="R135" s="14"/>
      <c r="S135" s="14"/>
      <c r="T135" s="14"/>
      <c r="U135" s="14"/>
      <c r="V135" s="14"/>
      <c r="W135" s="14"/>
    </row>
    <row r="136" spans="1:23" s="27" customFormat="1" ht="19.5" customHeight="1">
      <c r="A136" s="82"/>
      <c r="B136" s="149" t="s">
        <v>362</v>
      </c>
      <c r="C136" s="569"/>
      <c r="D136" s="81"/>
      <c r="E136" s="81"/>
      <c r="F136" s="81">
        <f>SUM(F137:F142)</f>
        <v>127600</v>
      </c>
      <c r="G136" s="81"/>
      <c r="H136" s="102"/>
      <c r="I136" s="302"/>
      <c r="J136" s="176"/>
      <c r="K136" s="302"/>
      <c r="L136" s="176"/>
      <c r="M136" s="176"/>
      <c r="N136" s="303"/>
      <c r="O136" s="303"/>
      <c r="P136" s="673"/>
      <c r="Q136" s="14"/>
      <c r="R136" s="14"/>
      <c r="S136" s="14"/>
      <c r="T136" s="14"/>
      <c r="U136" s="14"/>
      <c r="V136" s="14"/>
      <c r="W136" s="14"/>
    </row>
    <row r="137" spans="1:23" s="27" customFormat="1" ht="19.5" customHeight="1">
      <c r="A137" s="82"/>
      <c r="B137" s="83"/>
      <c r="C137" s="569" t="s">
        <v>401</v>
      </c>
      <c r="D137" s="81"/>
      <c r="E137" s="81"/>
      <c r="F137" s="81">
        <v>70000</v>
      </c>
      <c r="G137" s="81"/>
      <c r="H137" s="102"/>
      <c r="I137" s="302"/>
      <c r="J137" s="176"/>
      <c r="K137" s="302"/>
      <c r="L137" s="176"/>
      <c r="M137" s="176"/>
      <c r="N137" s="303"/>
      <c r="O137" s="303"/>
      <c r="P137" s="673"/>
      <c r="Q137" s="14"/>
      <c r="R137" s="14"/>
      <c r="S137" s="14"/>
      <c r="T137" s="14"/>
      <c r="U137" s="14"/>
      <c r="V137" s="14"/>
      <c r="W137" s="14"/>
    </row>
    <row r="138" spans="1:23" s="27" customFormat="1" ht="19.5" customHeight="1">
      <c r="A138" s="82"/>
      <c r="B138" s="83"/>
      <c r="C138" s="569" t="s">
        <v>363</v>
      </c>
      <c r="D138" s="81"/>
      <c r="E138" s="81"/>
      <c r="F138" s="81">
        <v>26000</v>
      </c>
      <c r="G138" s="81"/>
      <c r="H138" s="102"/>
      <c r="I138" s="302"/>
      <c r="J138" s="176"/>
      <c r="K138" s="302"/>
      <c r="L138" s="176"/>
      <c r="M138" s="176"/>
      <c r="N138" s="303"/>
      <c r="O138" s="303"/>
      <c r="P138" s="673"/>
      <c r="Q138" s="14"/>
      <c r="R138" s="14"/>
      <c r="S138" s="14"/>
      <c r="T138" s="14"/>
      <c r="U138" s="14"/>
      <c r="V138" s="14"/>
      <c r="W138" s="14"/>
    </row>
    <row r="139" spans="1:23" s="27" customFormat="1" ht="19.5" customHeight="1">
      <c r="A139" s="82"/>
      <c r="B139" s="83"/>
      <c r="C139" s="569" t="s">
        <v>356</v>
      </c>
      <c r="D139" s="81"/>
      <c r="E139" s="81"/>
      <c r="F139" s="81">
        <v>7000</v>
      </c>
      <c r="G139" s="81"/>
      <c r="H139" s="102"/>
      <c r="I139" s="302"/>
      <c r="J139" s="176"/>
      <c r="K139" s="302"/>
      <c r="L139" s="176"/>
      <c r="M139" s="176"/>
      <c r="N139" s="303"/>
      <c r="O139" s="303"/>
      <c r="P139" s="673"/>
      <c r="Q139" s="14"/>
      <c r="R139" s="14"/>
      <c r="S139" s="14"/>
      <c r="T139" s="14"/>
      <c r="U139" s="14"/>
      <c r="V139" s="14"/>
      <c r="W139" s="14"/>
    </row>
    <row r="140" spans="1:23" s="27" customFormat="1" ht="19.5" customHeight="1">
      <c r="A140" s="82"/>
      <c r="B140" s="83"/>
      <c r="C140" s="569" t="s">
        <v>367</v>
      </c>
      <c r="D140" s="81"/>
      <c r="E140" s="81"/>
      <c r="F140" s="81">
        <v>4000</v>
      </c>
      <c r="G140" s="81"/>
      <c r="H140" s="102"/>
      <c r="I140" s="302"/>
      <c r="J140" s="176"/>
      <c r="K140" s="302"/>
      <c r="L140" s="176"/>
      <c r="M140" s="176"/>
      <c r="N140" s="303"/>
      <c r="O140" s="303"/>
      <c r="P140" s="673"/>
      <c r="Q140" s="14"/>
      <c r="R140" s="14"/>
      <c r="S140" s="14"/>
      <c r="T140" s="14"/>
      <c r="U140" s="14"/>
      <c r="V140" s="14"/>
      <c r="W140" s="14"/>
    </row>
    <row r="141" spans="1:23" s="27" customFormat="1" ht="19.5" customHeight="1">
      <c r="A141" s="82"/>
      <c r="B141" s="83"/>
      <c r="C141" s="569" t="s">
        <v>359</v>
      </c>
      <c r="D141" s="81"/>
      <c r="E141" s="81"/>
      <c r="F141" s="81">
        <v>4000</v>
      </c>
      <c r="G141" s="81"/>
      <c r="H141" s="102"/>
      <c r="I141" s="302"/>
      <c r="J141" s="176"/>
      <c r="K141" s="302"/>
      <c r="L141" s="176"/>
      <c r="M141" s="176"/>
      <c r="N141" s="303"/>
      <c r="O141" s="303"/>
      <c r="P141" s="673"/>
      <c r="Q141" s="14"/>
      <c r="R141" s="14"/>
      <c r="S141" s="14"/>
      <c r="T141" s="14"/>
      <c r="U141" s="14"/>
      <c r="V141" s="14"/>
      <c r="W141" s="14"/>
    </row>
    <row r="142" spans="1:23" s="27" customFormat="1" ht="19.5" customHeight="1">
      <c r="A142" s="82"/>
      <c r="B142" s="83"/>
      <c r="C142" s="569" t="s">
        <v>364</v>
      </c>
      <c r="D142" s="92"/>
      <c r="E142" s="92"/>
      <c r="F142" s="92">
        <v>16600</v>
      </c>
      <c r="G142" s="92"/>
      <c r="H142" s="102"/>
      <c r="I142" s="302"/>
      <c r="J142" s="176"/>
      <c r="K142" s="302"/>
      <c r="L142" s="176"/>
      <c r="M142" s="176"/>
      <c r="N142" s="303"/>
      <c r="O142" s="303"/>
      <c r="P142" s="673"/>
      <c r="Q142" s="14"/>
      <c r="R142" s="14"/>
      <c r="S142" s="14"/>
      <c r="T142" s="14"/>
      <c r="U142" s="14"/>
      <c r="V142" s="14"/>
      <c r="W142" s="14"/>
    </row>
    <row r="143" spans="1:23" s="27" customFormat="1" ht="19.5" customHeight="1">
      <c r="A143" s="82"/>
      <c r="B143" s="149" t="s">
        <v>365</v>
      </c>
      <c r="C143" s="569"/>
      <c r="D143" s="92">
        <f>SUM(D144:D147)</f>
        <v>9500</v>
      </c>
      <c r="E143" s="92"/>
      <c r="F143" s="92">
        <f>SUM(F144:F147)</f>
        <v>25200</v>
      </c>
      <c r="G143" s="92"/>
      <c r="H143" s="102"/>
      <c r="I143" s="302"/>
      <c r="J143" s="176"/>
      <c r="K143" s="302"/>
      <c r="L143" s="176"/>
      <c r="M143" s="176"/>
      <c r="N143" s="303"/>
      <c r="O143" s="303"/>
      <c r="P143" s="673"/>
      <c r="Q143" s="14"/>
      <c r="R143" s="14"/>
      <c r="S143" s="14"/>
      <c r="T143" s="14"/>
      <c r="U143" s="14"/>
      <c r="V143" s="14"/>
      <c r="W143" s="14"/>
    </row>
    <row r="144" spans="1:23" s="27" customFormat="1" ht="19.5" customHeight="1">
      <c r="A144" s="82"/>
      <c r="B144" s="83"/>
      <c r="C144" s="569" t="s">
        <v>366</v>
      </c>
      <c r="D144" s="92">
        <v>3000</v>
      </c>
      <c r="E144" s="92"/>
      <c r="F144" s="92"/>
      <c r="G144" s="92"/>
      <c r="H144" s="102"/>
      <c r="I144" s="302"/>
      <c r="J144" s="176"/>
      <c r="K144" s="302"/>
      <c r="L144" s="176"/>
      <c r="M144" s="176"/>
      <c r="N144" s="303"/>
      <c r="O144" s="303"/>
      <c r="P144" s="673"/>
      <c r="Q144" s="14"/>
      <c r="R144" s="14"/>
      <c r="S144" s="14"/>
      <c r="T144" s="14"/>
      <c r="U144" s="14"/>
      <c r="V144" s="14"/>
      <c r="W144" s="14"/>
    </row>
    <row r="145" spans="1:23" s="27" customFormat="1" ht="19.5" customHeight="1">
      <c r="A145" s="82"/>
      <c r="B145" s="83"/>
      <c r="C145" s="569" t="s">
        <v>367</v>
      </c>
      <c r="D145" s="92"/>
      <c r="E145" s="92"/>
      <c r="F145" s="92">
        <v>25200</v>
      </c>
      <c r="G145" s="92"/>
      <c r="H145" s="102"/>
      <c r="I145" s="302"/>
      <c r="J145" s="176"/>
      <c r="K145" s="302"/>
      <c r="L145" s="176"/>
      <c r="M145" s="176"/>
      <c r="N145" s="303"/>
      <c r="O145" s="303"/>
      <c r="P145" s="673"/>
      <c r="Q145" s="14"/>
      <c r="R145" s="14"/>
      <c r="S145" s="14"/>
      <c r="T145" s="14"/>
      <c r="U145" s="14"/>
      <c r="V145" s="14"/>
      <c r="W145" s="14"/>
    </row>
    <row r="146" spans="1:23" s="27" customFormat="1" ht="19.5" customHeight="1">
      <c r="A146" s="82"/>
      <c r="B146" s="83"/>
      <c r="C146" s="569" t="s">
        <v>368</v>
      </c>
      <c r="D146" s="92">
        <v>4500</v>
      </c>
      <c r="E146" s="92"/>
      <c r="F146" s="92"/>
      <c r="G146" s="92"/>
      <c r="H146" s="102"/>
      <c r="I146" s="302"/>
      <c r="J146" s="176"/>
      <c r="K146" s="302"/>
      <c r="L146" s="176"/>
      <c r="M146" s="176"/>
      <c r="N146" s="303"/>
      <c r="O146" s="303"/>
      <c r="P146" s="673"/>
      <c r="Q146" s="14"/>
      <c r="R146" s="14"/>
      <c r="S146" s="14"/>
      <c r="T146" s="14"/>
      <c r="U146" s="14"/>
      <c r="V146" s="14"/>
      <c r="W146" s="14"/>
    </row>
    <row r="147" spans="1:23" s="27" customFormat="1" ht="19.5" customHeight="1">
      <c r="A147" s="82"/>
      <c r="B147" s="83"/>
      <c r="C147" s="569" t="s">
        <v>369</v>
      </c>
      <c r="D147" s="92">
        <v>2000</v>
      </c>
      <c r="E147" s="92"/>
      <c r="F147" s="92"/>
      <c r="G147" s="92"/>
      <c r="H147" s="102"/>
      <c r="I147" s="302"/>
      <c r="J147" s="176"/>
      <c r="K147" s="302"/>
      <c r="L147" s="176"/>
      <c r="M147" s="176"/>
      <c r="N147" s="303"/>
      <c r="O147" s="303"/>
      <c r="P147" s="673"/>
      <c r="Q147" s="14"/>
      <c r="R147" s="14"/>
      <c r="S147" s="14"/>
      <c r="T147" s="14"/>
      <c r="U147" s="14"/>
      <c r="V147" s="14"/>
      <c r="W147" s="14"/>
    </row>
    <row r="148" spans="1:23" s="27" customFormat="1" ht="19.5" customHeight="1">
      <c r="A148" s="82"/>
      <c r="B148" s="149" t="s">
        <v>370</v>
      </c>
      <c r="C148" s="569"/>
      <c r="D148" s="92">
        <f>SUM(D149:D153)</f>
        <v>14000</v>
      </c>
      <c r="E148" s="92"/>
      <c r="F148" s="92"/>
      <c r="G148" s="92"/>
      <c r="H148" s="102"/>
      <c r="I148" s="302"/>
      <c r="J148" s="176"/>
      <c r="K148" s="302"/>
      <c r="L148" s="176"/>
      <c r="M148" s="176"/>
      <c r="N148" s="303"/>
      <c r="O148" s="303"/>
      <c r="P148" s="673"/>
      <c r="Q148" s="14"/>
      <c r="R148" s="14"/>
      <c r="S148" s="14"/>
      <c r="T148" s="14"/>
      <c r="U148" s="14"/>
      <c r="V148" s="14"/>
      <c r="W148" s="14"/>
    </row>
    <row r="149" spans="1:23" s="27" customFormat="1" ht="19.5" customHeight="1">
      <c r="A149" s="82"/>
      <c r="B149" s="79"/>
      <c r="C149" s="569" t="s">
        <v>371</v>
      </c>
      <c r="D149" s="92">
        <v>7000</v>
      </c>
      <c r="E149" s="92"/>
      <c r="F149" s="92"/>
      <c r="G149" s="92"/>
      <c r="H149" s="102"/>
      <c r="I149" s="302"/>
      <c r="J149" s="176"/>
      <c r="K149" s="302"/>
      <c r="L149" s="176"/>
      <c r="M149" s="176"/>
      <c r="N149" s="303"/>
      <c r="O149" s="303"/>
      <c r="P149" s="673"/>
      <c r="Q149" s="14"/>
      <c r="R149" s="14"/>
      <c r="S149" s="14"/>
      <c r="T149" s="14"/>
      <c r="U149" s="14"/>
      <c r="V149" s="14"/>
      <c r="W149" s="14"/>
    </row>
    <row r="150" spans="1:23" s="27" customFormat="1" ht="19.5" customHeight="1">
      <c r="A150" s="82"/>
      <c r="B150" s="83"/>
      <c r="C150" s="569" t="s">
        <v>367</v>
      </c>
      <c r="D150" s="92">
        <v>3000</v>
      </c>
      <c r="E150" s="92"/>
      <c r="F150" s="92"/>
      <c r="G150" s="92"/>
      <c r="H150" s="102"/>
      <c r="I150" s="302"/>
      <c r="J150" s="176"/>
      <c r="K150" s="302"/>
      <c r="L150" s="176"/>
      <c r="M150" s="176"/>
      <c r="N150" s="303"/>
      <c r="O150" s="303"/>
      <c r="P150" s="673"/>
      <c r="Q150" s="14"/>
      <c r="R150" s="14"/>
      <c r="S150" s="14"/>
      <c r="T150" s="14"/>
      <c r="U150" s="14"/>
      <c r="V150" s="14"/>
      <c r="W150" s="14"/>
    </row>
    <row r="151" spans="1:23" s="27" customFormat="1" ht="19.5" customHeight="1">
      <c r="A151" s="82"/>
      <c r="B151" s="83"/>
      <c r="C151" s="569" t="s">
        <v>368</v>
      </c>
      <c r="D151" s="92">
        <v>500</v>
      </c>
      <c r="E151" s="92"/>
      <c r="F151" s="92"/>
      <c r="G151" s="92"/>
      <c r="H151" s="102"/>
      <c r="I151" s="302"/>
      <c r="J151" s="176"/>
      <c r="K151" s="302"/>
      <c r="L151" s="176"/>
      <c r="M151" s="176"/>
      <c r="N151" s="303"/>
      <c r="O151" s="303"/>
      <c r="P151" s="673"/>
      <c r="Q151" s="14"/>
      <c r="R151" s="14"/>
      <c r="S151" s="14"/>
      <c r="T151" s="14"/>
      <c r="U151" s="14"/>
      <c r="V151" s="14"/>
      <c r="W151" s="14"/>
    </row>
    <row r="152" spans="1:23" s="27" customFormat="1" ht="19.5" customHeight="1">
      <c r="A152" s="82"/>
      <c r="B152" s="83"/>
      <c r="C152" s="569" t="s">
        <v>359</v>
      </c>
      <c r="D152" s="92">
        <v>3000</v>
      </c>
      <c r="E152" s="92"/>
      <c r="F152" s="92"/>
      <c r="G152" s="92"/>
      <c r="H152" s="102"/>
      <c r="I152" s="302"/>
      <c r="J152" s="176"/>
      <c r="K152" s="302"/>
      <c r="L152" s="176"/>
      <c r="M152" s="176"/>
      <c r="N152" s="303"/>
      <c r="O152" s="303"/>
      <c r="P152" s="673"/>
      <c r="Q152" s="14"/>
      <c r="R152" s="14"/>
      <c r="S152" s="14"/>
      <c r="T152" s="14"/>
      <c r="U152" s="14"/>
      <c r="V152" s="14"/>
      <c r="W152" s="14"/>
    </row>
    <row r="153" spans="1:23" s="27" customFormat="1" ht="19.5" customHeight="1">
      <c r="A153" s="82"/>
      <c r="B153" s="83"/>
      <c r="C153" s="569" t="s">
        <v>369</v>
      </c>
      <c r="D153" s="92">
        <v>500</v>
      </c>
      <c r="E153" s="92"/>
      <c r="F153" s="92"/>
      <c r="G153" s="92"/>
      <c r="H153" s="102"/>
      <c r="I153" s="302"/>
      <c r="J153" s="176"/>
      <c r="K153" s="302"/>
      <c r="L153" s="176"/>
      <c r="M153" s="176"/>
      <c r="N153" s="303"/>
      <c r="O153" s="303"/>
      <c r="P153" s="673"/>
      <c r="Q153" s="14"/>
      <c r="R153" s="14"/>
      <c r="S153" s="14"/>
      <c r="T153" s="14"/>
      <c r="U153" s="14"/>
      <c r="V153" s="14"/>
      <c r="W153" s="14"/>
    </row>
    <row r="154" spans="1:23" s="28" customFormat="1" ht="19.5" customHeight="1">
      <c r="A154" s="557" t="s">
        <v>379</v>
      </c>
      <c r="B154" s="76" t="s">
        <v>380</v>
      </c>
      <c r="C154" s="76"/>
      <c r="D154" s="90"/>
      <c r="E154" s="90"/>
      <c r="F154" s="90">
        <f>SUM(F155:F158)</f>
        <v>40350</v>
      </c>
      <c r="G154" s="90"/>
      <c r="H154" s="100"/>
      <c r="I154" s="300"/>
      <c r="J154" s="296"/>
      <c r="K154" s="300"/>
      <c r="L154" s="296"/>
      <c r="M154" s="296"/>
      <c r="N154" s="301"/>
      <c r="O154" s="301"/>
      <c r="P154" s="672"/>
      <c r="Q154" s="114"/>
      <c r="R154" s="114"/>
      <c r="S154" s="114"/>
      <c r="T154" s="114"/>
      <c r="U154" s="114"/>
      <c r="V154" s="114"/>
      <c r="W154" s="114"/>
    </row>
    <row r="155" spans="1:23" s="27" customFormat="1" ht="19.5" customHeight="1">
      <c r="A155" s="117"/>
      <c r="B155" s="83"/>
      <c r="C155" s="589" t="s">
        <v>381</v>
      </c>
      <c r="D155" s="92"/>
      <c r="E155" s="92"/>
      <c r="F155" s="92">
        <v>18000</v>
      </c>
      <c r="G155" s="92"/>
      <c r="H155" s="102"/>
      <c r="I155" s="302"/>
      <c r="J155" s="176"/>
      <c r="K155" s="302"/>
      <c r="L155" s="176"/>
      <c r="M155" s="176"/>
      <c r="N155" s="303"/>
      <c r="O155" s="303"/>
      <c r="P155" s="673"/>
      <c r="Q155" s="14"/>
      <c r="R155" s="14"/>
      <c r="S155" s="14"/>
      <c r="T155" s="14"/>
      <c r="U155" s="14"/>
      <c r="V155" s="14"/>
      <c r="W155" s="14"/>
    </row>
    <row r="156" spans="1:23" s="27" customFormat="1" ht="19.5" customHeight="1">
      <c r="A156" s="82"/>
      <c r="B156" s="83"/>
      <c r="C156" s="149" t="s">
        <v>356</v>
      </c>
      <c r="D156" s="92"/>
      <c r="E156" s="92"/>
      <c r="F156" s="92">
        <v>3500</v>
      </c>
      <c r="G156" s="92"/>
      <c r="H156" s="102"/>
      <c r="I156" s="302"/>
      <c r="J156" s="176"/>
      <c r="K156" s="302"/>
      <c r="L156" s="176"/>
      <c r="M156" s="176"/>
      <c r="N156" s="303"/>
      <c r="O156" s="303"/>
      <c r="P156" s="673"/>
      <c r="Q156" s="14"/>
      <c r="R156" s="14"/>
      <c r="S156" s="14"/>
      <c r="T156" s="14"/>
      <c r="U156" s="14"/>
      <c r="V156" s="14"/>
      <c r="W156" s="14"/>
    </row>
    <row r="157" spans="1:23" s="27" customFormat="1" ht="19.5" customHeight="1">
      <c r="A157" s="82"/>
      <c r="B157" s="83"/>
      <c r="C157" s="569" t="s">
        <v>359</v>
      </c>
      <c r="D157" s="92"/>
      <c r="E157" s="92"/>
      <c r="F157" s="92">
        <v>17500</v>
      </c>
      <c r="G157" s="92"/>
      <c r="H157" s="102"/>
      <c r="I157" s="302"/>
      <c r="J157" s="176"/>
      <c r="K157" s="302"/>
      <c r="L157" s="176"/>
      <c r="M157" s="176"/>
      <c r="N157" s="303"/>
      <c r="O157" s="303"/>
      <c r="P157" s="673"/>
      <c r="Q157" s="14"/>
      <c r="R157" s="14"/>
      <c r="S157" s="14"/>
      <c r="T157" s="14"/>
      <c r="U157" s="14"/>
      <c r="V157" s="14"/>
      <c r="W157" s="14"/>
    </row>
    <row r="158" spans="1:23" s="27" customFormat="1" ht="19.5" customHeight="1">
      <c r="A158" s="82"/>
      <c r="B158" s="83"/>
      <c r="C158" s="569" t="s">
        <v>382</v>
      </c>
      <c r="D158" s="92"/>
      <c r="E158" s="92"/>
      <c r="F158" s="92">
        <v>1350</v>
      </c>
      <c r="G158" s="92"/>
      <c r="H158" s="102"/>
      <c r="I158" s="302"/>
      <c r="J158" s="176"/>
      <c r="K158" s="302"/>
      <c r="L158" s="176"/>
      <c r="M158" s="176"/>
      <c r="N158" s="303"/>
      <c r="O158" s="303"/>
      <c r="P158" s="673"/>
      <c r="Q158" s="14"/>
      <c r="R158" s="14"/>
      <c r="S158" s="14"/>
      <c r="T158" s="14"/>
      <c r="U158" s="14"/>
      <c r="V158" s="14"/>
      <c r="W158" s="14"/>
    </row>
    <row r="159" spans="1:23" s="28" customFormat="1" ht="19.5" customHeight="1">
      <c r="A159" s="557" t="s">
        <v>372</v>
      </c>
      <c r="B159" s="76" t="s">
        <v>373</v>
      </c>
      <c r="C159" s="78"/>
      <c r="D159" s="90">
        <f>SUM(D160:D162)</f>
        <v>1700</v>
      </c>
      <c r="E159" s="90"/>
      <c r="F159" s="90"/>
      <c r="G159" s="90"/>
      <c r="H159" s="100"/>
      <c r="I159" s="300"/>
      <c r="J159" s="296"/>
      <c r="K159" s="300"/>
      <c r="L159" s="296"/>
      <c r="M159" s="296"/>
      <c r="N159" s="301"/>
      <c r="O159" s="301"/>
      <c r="P159" s="672"/>
      <c r="Q159" s="114"/>
      <c r="R159" s="114"/>
      <c r="S159" s="114"/>
      <c r="T159" s="114"/>
      <c r="U159" s="114"/>
      <c r="V159" s="114"/>
      <c r="W159" s="114"/>
    </row>
    <row r="160" spans="1:23" s="27" customFormat="1" ht="19.5" customHeight="1">
      <c r="A160" s="82"/>
      <c r="B160" s="83"/>
      <c r="C160" s="582" t="s">
        <v>371</v>
      </c>
      <c r="D160" s="92">
        <v>500</v>
      </c>
      <c r="E160" s="92"/>
      <c r="F160" s="92"/>
      <c r="G160" s="92"/>
      <c r="H160" s="102"/>
      <c r="I160" s="302"/>
      <c r="J160" s="176"/>
      <c r="K160" s="302"/>
      <c r="L160" s="176"/>
      <c r="M160" s="176"/>
      <c r="N160" s="303"/>
      <c r="O160" s="303"/>
      <c r="P160" s="673"/>
      <c r="Q160" s="14"/>
      <c r="R160" s="14"/>
      <c r="S160" s="14"/>
      <c r="T160" s="14"/>
      <c r="U160" s="14"/>
      <c r="V160" s="14"/>
      <c r="W160" s="14"/>
    </row>
    <row r="161" spans="1:23" s="27" customFormat="1" ht="19.5" customHeight="1">
      <c r="A161" s="82"/>
      <c r="B161" s="83"/>
      <c r="C161" s="569" t="s">
        <v>368</v>
      </c>
      <c r="D161" s="92">
        <v>200</v>
      </c>
      <c r="E161" s="92"/>
      <c r="F161" s="92"/>
      <c r="G161" s="92"/>
      <c r="H161" s="102"/>
      <c r="I161" s="302"/>
      <c r="J161" s="176"/>
      <c r="K161" s="302"/>
      <c r="L161" s="176"/>
      <c r="M161" s="176"/>
      <c r="N161" s="303"/>
      <c r="O161" s="303"/>
      <c r="P161" s="673"/>
      <c r="Q161" s="14"/>
      <c r="R161" s="14"/>
      <c r="S161" s="14"/>
      <c r="T161" s="14"/>
      <c r="U161" s="14"/>
      <c r="V161" s="14"/>
      <c r="W161" s="14"/>
    </row>
    <row r="162" spans="1:23" s="27" customFormat="1" ht="19.5" customHeight="1">
      <c r="A162" s="82"/>
      <c r="B162" s="83"/>
      <c r="C162" s="569" t="s">
        <v>359</v>
      </c>
      <c r="D162" s="92">
        <v>1000</v>
      </c>
      <c r="E162" s="92"/>
      <c r="F162" s="92"/>
      <c r="G162" s="92"/>
      <c r="H162" s="102"/>
      <c r="I162" s="302"/>
      <c r="J162" s="176"/>
      <c r="K162" s="302"/>
      <c r="L162" s="176"/>
      <c r="M162" s="176"/>
      <c r="N162" s="303"/>
      <c r="O162" s="303"/>
      <c r="P162" s="673"/>
      <c r="Q162" s="14"/>
      <c r="R162" s="14"/>
      <c r="S162" s="14"/>
      <c r="T162" s="14"/>
      <c r="U162" s="14"/>
      <c r="V162" s="14"/>
      <c r="W162" s="14"/>
    </row>
    <row r="163" spans="1:23" s="28" customFormat="1" ht="19.5" customHeight="1">
      <c r="A163" s="76" t="s">
        <v>377</v>
      </c>
      <c r="B163" s="76" t="s">
        <v>378</v>
      </c>
      <c r="C163" s="76"/>
      <c r="D163" s="90">
        <f>SUM(D164:D165)</f>
        <v>0</v>
      </c>
      <c r="E163" s="90"/>
      <c r="F163" s="90">
        <f>SUM(F164:F165)</f>
        <v>205000</v>
      </c>
      <c r="G163" s="90"/>
      <c r="H163" s="100"/>
      <c r="I163" s="300"/>
      <c r="J163" s="296"/>
      <c r="K163" s="300"/>
      <c r="L163" s="296"/>
      <c r="M163" s="296"/>
      <c r="N163" s="301"/>
      <c r="O163" s="301"/>
      <c r="P163" s="672"/>
      <c r="Q163" s="114"/>
      <c r="R163" s="114"/>
      <c r="S163" s="114"/>
      <c r="T163" s="114"/>
      <c r="U163" s="114"/>
      <c r="V163" s="114"/>
      <c r="W163" s="114"/>
    </row>
    <row r="164" spans="1:23" s="27" customFormat="1" ht="19.5" customHeight="1">
      <c r="A164" s="82"/>
      <c r="B164" s="83"/>
      <c r="C164" s="149" t="s">
        <v>376</v>
      </c>
      <c r="D164" s="92"/>
      <c r="E164" s="92"/>
      <c r="F164" s="92">
        <f>55000+30000</f>
        <v>85000</v>
      </c>
      <c r="G164" s="92"/>
      <c r="H164" s="102"/>
      <c r="I164" s="302"/>
      <c r="J164" s="176"/>
      <c r="K164" s="302"/>
      <c r="L164" s="176"/>
      <c r="M164" s="176"/>
      <c r="N164" s="303"/>
      <c r="O164" s="303"/>
      <c r="P164" s="673"/>
      <c r="Q164" s="14"/>
      <c r="R164" s="14"/>
      <c r="S164" s="14"/>
      <c r="T164" s="14"/>
      <c r="U164" s="14"/>
      <c r="V164" s="14"/>
      <c r="W164" s="14"/>
    </row>
    <row r="165" spans="1:23" s="27" customFormat="1" ht="19.5" customHeight="1">
      <c r="A165" s="82"/>
      <c r="B165" s="83"/>
      <c r="C165" s="569" t="s">
        <v>364</v>
      </c>
      <c r="D165" s="92"/>
      <c r="E165" s="92"/>
      <c r="F165" s="92">
        <v>120000</v>
      </c>
      <c r="G165" s="92"/>
      <c r="H165" s="102"/>
      <c r="I165" s="302"/>
      <c r="J165" s="176"/>
      <c r="K165" s="302"/>
      <c r="L165" s="176"/>
      <c r="M165" s="176"/>
      <c r="N165" s="303"/>
      <c r="O165" s="303"/>
      <c r="P165" s="673"/>
      <c r="Q165" s="14"/>
      <c r="R165" s="14"/>
      <c r="S165" s="14"/>
      <c r="T165" s="14"/>
      <c r="U165" s="14"/>
      <c r="V165" s="14"/>
      <c r="W165" s="14"/>
    </row>
    <row r="166" spans="1:23" s="28" customFormat="1" ht="19.5" customHeight="1">
      <c r="A166" s="557" t="s">
        <v>413</v>
      </c>
      <c r="B166" s="76" t="s">
        <v>414</v>
      </c>
      <c r="C166" s="78" t="s">
        <v>359</v>
      </c>
      <c r="D166" s="90"/>
      <c r="E166" s="90"/>
      <c r="F166" s="90">
        <v>17500</v>
      </c>
      <c r="G166" s="90"/>
      <c r="H166" s="100"/>
      <c r="I166" s="300"/>
      <c r="J166" s="296"/>
      <c r="K166" s="300"/>
      <c r="L166" s="296"/>
      <c r="M166" s="296"/>
      <c r="N166" s="301"/>
      <c r="O166" s="301"/>
      <c r="P166" s="672"/>
      <c r="Q166" s="114"/>
      <c r="R166" s="114"/>
      <c r="S166" s="114"/>
      <c r="T166" s="114"/>
      <c r="U166" s="114"/>
      <c r="V166" s="114"/>
      <c r="W166" s="114"/>
    </row>
    <row r="167" spans="1:23" s="28" customFormat="1" ht="19.5" customHeight="1">
      <c r="A167" s="557" t="s">
        <v>384</v>
      </c>
      <c r="B167" s="76"/>
      <c r="C167" s="78"/>
      <c r="D167" s="90">
        <f>D168+D169+D173</f>
        <v>98200</v>
      </c>
      <c r="E167" s="90"/>
      <c r="F167" s="90">
        <f>F168+F169+F173</f>
        <v>100500</v>
      </c>
      <c r="G167" s="90"/>
      <c r="H167" s="100"/>
      <c r="I167" s="300"/>
      <c r="J167" s="296"/>
      <c r="K167" s="300"/>
      <c r="L167" s="296"/>
      <c r="M167" s="296"/>
      <c r="N167" s="301"/>
      <c r="O167" s="301"/>
      <c r="P167" s="672"/>
      <c r="Q167" s="114"/>
      <c r="R167" s="114"/>
      <c r="S167" s="114"/>
      <c r="T167" s="114"/>
      <c r="U167" s="114"/>
      <c r="V167" s="114"/>
      <c r="W167" s="114"/>
    </row>
    <row r="168" spans="1:23" s="27" customFormat="1" ht="19.5" customHeight="1">
      <c r="A168" s="82"/>
      <c r="B168" s="83" t="s">
        <v>402</v>
      </c>
      <c r="C168" s="582" t="s">
        <v>364</v>
      </c>
      <c r="D168" s="92">
        <v>98200</v>
      </c>
      <c r="E168" s="92"/>
      <c r="F168" s="92"/>
      <c r="G168" s="92"/>
      <c r="H168" s="102"/>
      <c r="I168" s="302"/>
      <c r="J168" s="176"/>
      <c r="K168" s="302"/>
      <c r="L168" s="176"/>
      <c r="M168" s="176"/>
      <c r="N168" s="303"/>
      <c r="O168" s="303"/>
      <c r="P168" s="673"/>
      <c r="Q168" s="14"/>
      <c r="R168" s="14"/>
      <c r="S168" s="14"/>
      <c r="T168" s="14"/>
      <c r="U168" s="14"/>
      <c r="V168" s="14"/>
      <c r="W168" s="14"/>
    </row>
    <row r="169" spans="1:23" s="27" customFormat="1" ht="19.5" customHeight="1">
      <c r="A169" s="82"/>
      <c r="B169" s="149" t="s">
        <v>385</v>
      </c>
      <c r="C169" s="569"/>
      <c r="D169" s="92"/>
      <c r="E169" s="92"/>
      <c r="F169" s="92">
        <f>SUM(F170:F172)</f>
        <v>40500</v>
      </c>
      <c r="G169" s="92"/>
      <c r="H169" s="102"/>
      <c r="I169" s="302"/>
      <c r="J169" s="176"/>
      <c r="K169" s="302"/>
      <c r="L169" s="176"/>
      <c r="M169" s="176"/>
      <c r="N169" s="303"/>
      <c r="O169" s="303"/>
      <c r="P169" s="673"/>
      <c r="Q169" s="14"/>
      <c r="R169" s="14"/>
      <c r="S169" s="14"/>
      <c r="T169" s="14"/>
      <c r="U169" s="14"/>
      <c r="V169" s="14"/>
      <c r="W169" s="14"/>
    </row>
    <row r="170" spans="1:23" s="27" customFormat="1" ht="19.5" customHeight="1">
      <c r="A170" s="82"/>
      <c r="B170" s="83"/>
      <c r="C170" s="569" t="s">
        <v>356</v>
      </c>
      <c r="D170" s="92"/>
      <c r="E170" s="92"/>
      <c r="F170" s="92">
        <v>1300</v>
      </c>
      <c r="G170" s="92"/>
      <c r="H170" s="102"/>
      <c r="I170" s="302"/>
      <c r="J170" s="176"/>
      <c r="K170" s="302"/>
      <c r="L170" s="176"/>
      <c r="M170" s="176"/>
      <c r="N170" s="303"/>
      <c r="O170" s="303"/>
      <c r="P170" s="673"/>
      <c r="Q170" s="14"/>
      <c r="R170" s="14"/>
      <c r="S170" s="14"/>
      <c r="T170" s="14"/>
      <c r="U170" s="14"/>
      <c r="V170" s="14"/>
      <c r="W170" s="14"/>
    </row>
    <row r="171" spans="1:23" s="27" customFormat="1" ht="19.5" customHeight="1">
      <c r="A171" s="82"/>
      <c r="B171" s="83"/>
      <c r="C171" s="569" t="s">
        <v>367</v>
      </c>
      <c r="D171" s="92"/>
      <c r="E171" s="92"/>
      <c r="F171" s="92">
        <v>1000</v>
      </c>
      <c r="G171" s="92"/>
      <c r="H171" s="102"/>
      <c r="I171" s="302"/>
      <c r="J171" s="176"/>
      <c r="K171" s="302"/>
      <c r="L171" s="176"/>
      <c r="M171" s="176"/>
      <c r="N171" s="303"/>
      <c r="O171" s="303"/>
      <c r="P171" s="673"/>
      <c r="Q171" s="14"/>
      <c r="R171" s="14"/>
      <c r="S171" s="14"/>
      <c r="T171" s="14"/>
      <c r="U171" s="14"/>
      <c r="V171" s="14"/>
      <c r="W171" s="14"/>
    </row>
    <row r="172" spans="1:23" s="27" customFormat="1" ht="19.5" customHeight="1">
      <c r="A172" s="82"/>
      <c r="B172" s="83"/>
      <c r="C172" s="80" t="s">
        <v>359</v>
      </c>
      <c r="D172" s="92"/>
      <c r="E172" s="92"/>
      <c r="F172" s="92">
        <v>38200</v>
      </c>
      <c r="G172" s="92"/>
      <c r="H172" s="102"/>
      <c r="I172" s="302"/>
      <c r="J172" s="176"/>
      <c r="K172" s="302"/>
      <c r="L172" s="176"/>
      <c r="M172" s="176"/>
      <c r="N172" s="303"/>
      <c r="O172" s="303"/>
      <c r="P172" s="673"/>
      <c r="Q172" s="14"/>
      <c r="R172" s="14"/>
      <c r="S172" s="14"/>
      <c r="T172" s="14"/>
      <c r="U172" s="14"/>
      <c r="V172" s="14"/>
      <c r="W172" s="14"/>
    </row>
    <row r="173" spans="1:23" s="27" customFormat="1" ht="19.5" customHeight="1">
      <c r="A173" s="599"/>
      <c r="B173" s="149" t="s">
        <v>411</v>
      </c>
      <c r="C173" s="80" t="s">
        <v>412</v>
      </c>
      <c r="D173" s="92"/>
      <c r="E173" s="92"/>
      <c r="F173" s="92">
        <v>60000</v>
      </c>
      <c r="G173" s="92"/>
      <c r="H173" s="102"/>
      <c r="I173" s="302"/>
      <c r="J173" s="176"/>
      <c r="K173" s="302"/>
      <c r="L173" s="176"/>
      <c r="M173" s="176"/>
      <c r="N173" s="303"/>
      <c r="O173" s="303"/>
      <c r="P173" s="673"/>
      <c r="Q173" s="14"/>
      <c r="R173" s="14"/>
      <c r="S173" s="14"/>
      <c r="T173" s="14"/>
      <c r="U173" s="14"/>
      <c r="V173" s="14"/>
      <c r="W173" s="14"/>
    </row>
    <row r="174" spans="1:23" s="3" customFormat="1" ht="19.5" customHeight="1">
      <c r="A174" s="584" t="s">
        <v>68</v>
      </c>
      <c r="B174" s="586"/>
      <c r="C174" s="115"/>
      <c r="D174" s="31">
        <f>D120+D123+D128+D131+D134+D154+D159+D163+D166+D167</f>
        <v>428890</v>
      </c>
      <c r="E174" s="31">
        <f>E120+E123+E128+E131+E134+E154+E159+E163+E166+E167</f>
        <v>0</v>
      </c>
      <c r="F174" s="31">
        <f>F120+F123+F128+F131+F134+F154+F159+F163+F166+F167</f>
        <v>563903</v>
      </c>
      <c r="G174" s="31">
        <f>G120+G123+G128+G131+G134+G154+G159+G163+G166+G167</f>
        <v>0</v>
      </c>
      <c r="H174" s="19"/>
      <c r="I174" s="571"/>
      <c r="J174" s="304"/>
      <c r="K174" s="166"/>
      <c r="L174" s="304"/>
      <c r="M174" s="304"/>
      <c r="N174" s="26"/>
      <c r="O174" s="26"/>
      <c r="P174" s="26"/>
      <c r="Q174" s="24"/>
      <c r="R174" s="24"/>
      <c r="S174" s="24"/>
      <c r="T174" s="24"/>
      <c r="U174" s="24"/>
      <c r="V174" s="24"/>
      <c r="W174" s="24"/>
    </row>
    <row r="175" spans="1:23" s="3" customFormat="1" ht="19.5" customHeight="1">
      <c r="A175" s="116"/>
      <c r="B175" s="117"/>
      <c r="C175" s="118"/>
      <c r="D175" s="26"/>
      <c r="E175" s="26"/>
      <c r="F175" s="26"/>
      <c r="G175" s="26"/>
      <c r="H175" s="19"/>
      <c r="I175" s="571"/>
      <c r="J175" s="304"/>
      <c r="K175" s="166"/>
      <c r="L175" s="304"/>
      <c r="M175" s="304"/>
      <c r="N175" s="26"/>
      <c r="O175" s="26"/>
      <c r="P175" s="26"/>
      <c r="Q175" s="24"/>
      <c r="R175" s="24"/>
      <c r="S175" s="24"/>
      <c r="T175" s="24"/>
      <c r="U175" s="24"/>
      <c r="V175" s="24"/>
      <c r="W175" s="24"/>
    </row>
    <row r="176" spans="1:23" s="3" customFormat="1" ht="19.5" customHeight="1">
      <c r="A176" s="116"/>
      <c r="B176" s="117"/>
      <c r="C176" s="118"/>
      <c r="D176" s="26"/>
      <c r="E176" s="26"/>
      <c r="F176" s="26"/>
      <c r="G176" s="26"/>
      <c r="H176" s="19"/>
      <c r="I176" s="571"/>
      <c r="J176" s="304"/>
      <c r="K176" s="166"/>
      <c r="L176" s="304"/>
      <c r="M176" s="304"/>
      <c r="N176" s="26"/>
      <c r="O176" s="26"/>
      <c r="P176" s="26"/>
      <c r="Q176" s="24"/>
      <c r="R176" s="24"/>
      <c r="S176" s="24"/>
      <c r="T176" s="24"/>
      <c r="U176" s="24"/>
      <c r="V176" s="24"/>
      <c r="W176" s="24"/>
    </row>
    <row r="177" spans="1:23" ht="19.5" customHeight="1">
      <c r="A177" s="109" t="s">
        <v>69</v>
      </c>
      <c r="B177" s="95"/>
      <c r="C177" s="111"/>
      <c r="D177" s="17"/>
      <c r="E177" s="17"/>
      <c r="F177" s="17"/>
      <c r="G177" s="17"/>
      <c r="H177" s="20"/>
      <c r="I177" s="669"/>
      <c r="J177" s="296"/>
      <c r="K177" s="295"/>
      <c r="L177" s="305"/>
      <c r="M177" s="293"/>
      <c r="N177" s="294"/>
      <c r="O177" s="294"/>
      <c r="P177" s="11"/>
      <c r="Q177" s="15"/>
      <c r="R177" s="15"/>
      <c r="S177" s="15"/>
      <c r="T177" s="15"/>
      <c r="U177" s="15"/>
      <c r="V177" s="15"/>
      <c r="W177" s="15"/>
    </row>
    <row r="178" spans="1:23" ht="19.5" customHeight="1">
      <c r="A178" s="109"/>
      <c r="B178" s="95"/>
      <c r="C178" s="111"/>
      <c r="D178" s="17"/>
      <c r="E178" s="17"/>
      <c r="F178" s="17"/>
      <c r="G178" s="17"/>
      <c r="H178" s="20"/>
      <c r="I178" s="669"/>
      <c r="J178" s="296"/>
      <c r="K178" s="295"/>
      <c r="L178" s="305"/>
      <c r="M178" s="293"/>
      <c r="N178" s="294"/>
      <c r="O178" s="294"/>
      <c r="P178" s="11"/>
      <c r="Q178" s="15"/>
      <c r="R178" s="15"/>
      <c r="S178" s="15"/>
      <c r="T178" s="15"/>
      <c r="U178" s="15"/>
      <c r="V178" s="15"/>
      <c r="W178" s="15"/>
    </row>
    <row r="179" spans="1:23" ht="19.5" customHeight="1">
      <c r="A179" s="109"/>
      <c r="B179" s="95"/>
      <c r="C179" s="111"/>
      <c r="D179" s="17"/>
      <c r="E179" s="17"/>
      <c r="F179" s="17"/>
      <c r="G179" s="17"/>
      <c r="H179" s="20"/>
      <c r="I179" s="669"/>
      <c r="J179" s="296"/>
      <c r="K179" s="295"/>
      <c r="L179" s="305"/>
      <c r="M179" s="293"/>
      <c r="N179" s="294"/>
      <c r="O179" s="294"/>
      <c r="P179" s="11"/>
      <c r="Q179" s="15"/>
      <c r="R179" s="15"/>
      <c r="S179" s="15"/>
      <c r="T179" s="15"/>
      <c r="U179" s="15"/>
      <c r="V179" s="15"/>
      <c r="W179" s="15"/>
    </row>
    <row r="180" spans="1:23" ht="19.5" customHeight="1">
      <c r="A180" s="112" t="s">
        <v>445</v>
      </c>
      <c r="B180" s="110"/>
      <c r="C180" s="113"/>
      <c r="D180" s="18"/>
      <c r="E180" s="18"/>
      <c r="F180" s="18"/>
      <c r="G180" s="18"/>
      <c r="H180" s="16"/>
      <c r="I180" s="666"/>
      <c r="J180" s="298"/>
      <c r="K180" s="306"/>
      <c r="L180" s="293"/>
      <c r="M180" s="293"/>
      <c r="N180" s="294"/>
      <c r="O180" s="294"/>
      <c r="P180" s="11"/>
      <c r="Q180" s="15"/>
      <c r="R180" s="15"/>
      <c r="S180" s="15"/>
      <c r="T180" s="15"/>
      <c r="U180" s="15"/>
      <c r="V180" s="15"/>
      <c r="W180" s="15"/>
    </row>
    <row r="181" spans="1:23" ht="19.5" customHeight="1">
      <c r="A181" s="112"/>
      <c r="B181" s="112"/>
      <c r="C181" s="113"/>
      <c r="D181" s="18"/>
      <c r="E181" s="18"/>
      <c r="F181" s="18"/>
      <c r="G181" s="18"/>
      <c r="H181" s="16"/>
      <c r="I181" s="666"/>
      <c r="J181" s="298"/>
      <c r="K181" s="306"/>
      <c r="L181" s="293"/>
      <c r="M181" s="293"/>
      <c r="N181" s="294"/>
      <c r="O181" s="294"/>
      <c r="P181" s="11"/>
      <c r="Q181" s="15"/>
      <c r="R181" s="15"/>
      <c r="S181" s="15"/>
      <c r="T181" s="15"/>
      <c r="U181" s="15"/>
      <c r="V181" s="15"/>
      <c r="W181" s="15"/>
    </row>
    <row r="182" spans="1:23" ht="19.5" customHeight="1">
      <c r="A182" s="119"/>
      <c r="B182" s="71"/>
      <c r="C182" s="120"/>
      <c r="D182" s="9" t="s">
        <v>59</v>
      </c>
      <c r="E182" s="10"/>
      <c r="F182" s="9" t="s">
        <v>93</v>
      </c>
      <c r="G182" s="10"/>
      <c r="H182" s="16"/>
      <c r="I182" s="669"/>
      <c r="J182" s="176"/>
      <c r="K182" s="182"/>
      <c r="L182" s="293"/>
      <c r="M182" s="293"/>
      <c r="N182" s="294"/>
      <c r="O182" s="294"/>
      <c r="P182" s="11"/>
      <c r="Q182" s="15"/>
      <c r="R182" s="15"/>
      <c r="S182" s="15"/>
      <c r="T182" s="15"/>
      <c r="U182" s="15"/>
      <c r="V182" s="15"/>
      <c r="W182" s="15"/>
    </row>
    <row r="183" spans="1:23" ht="19.5" customHeight="1">
      <c r="A183" s="121"/>
      <c r="B183" s="73"/>
      <c r="C183" s="122"/>
      <c r="D183" s="11" t="s">
        <v>62</v>
      </c>
      <c r="E183" s="10" t="s">
        <v>61</v>
      </c>
      <c r="F183" s="11" t="s">
        <v>62</v>
      </c>
      <c r="G183" s="10" t="s">
        <v>61</v>
      </c>
      <c r="H183" s="16"/>
      <c r="I183" s="295"/>
      <c r="J183" s="176"/>
      <c r="K183" s="182"/>
      <c r="L183" s="293"/>
      <c r="M183" s="293"/>
      <c r="N183" s="294"/>
      <c r="O183" s="294"/>
      <c r="P183" s="11"/>
      <c r="Q183" s="15"/>
      <c r="R183" s="15"/>
      <c r="S183" s="15"/>
      <c r="T183" s="15"/>
      <c r="U183" s="15"/>
      <c r="V183" s="15"/>
      <c r="W183" s="15"/>
    </row>
    <row r="184" spans="1:23" ht="24" customHeight="1">
      <c r="A184" s="123" t="s">
        <v>64</v>
      </c>
      <c r="B184" s="124" t="s">
        <v>70</v>
      </c>
      <c r="C184" s="125" t="s">
        <v>65</v>
      </c>
      <c r="D184" s="126" t="s">
        <v>66</v>
      </c>
      <c r="E184" s="127" t="s">
        <v>67</v>
      </c>
      <c r="F184" s="126" t="s">
        <v>66</v>
      </c>
      <c r="G184" s="127" t="s">
        <v>67</v>
      </c>
      <c r="H184" s="16"/>
      <c r="I184" s="669"/>
      <c r="J184" s="176"/>
      <c r="K184" s="182"/>
      <c r="L184" s="293"/>
      <c r="M184" s="293"/>
      <c r="N184" s="294"/>
      <c r="O184" s="294"/>
      <c r="P184" s="11"/>
      <c r="Q184" s="15"/>
      <c r="R184" s="15"/>
      <c r="S184" s="15"/>
      <c r="T184" s="15"/>
      <c r="U184" s="15"/>
      <c r="V184" s="15"/>
      <c r="W184" s="15"/>
    </row>
    <row r="185" spans="1:23" s="33" customFormat="1" ht="21" customHeight="1">
      <c r="A185" s="558">
        <v>600</v>
      </c>
      <c r="B185" s="172">
        <v>60015</v>
      </c>
      <c r="C185" s="311"/>
      <c r="D185" s="173"/>
      <c r="E185" s="312"/>
      <c r="F185" s="30">
        <f>SUM(F186:F187)</f>
        <v>96613.6</v>
      </c>
      <c r="G185" s="312"/>
      <c r="H185" s="174"/>
      <c r="I185" s="571"/>
      <c r="J185" s="575"/>
      <c r="K185" s="307"/>
      <c r="L185" s="308"/>
      <c r="M185" s="308"/>
      <c r="N185" s="309"/>
      <c r="O185" s="309"/>
      <c r="P185" s="671"/>
      <c r="Q185" s="175"/>
      <c r="R185" s="175"/>
      <c r="S185" s="175"/>
      <c r="T185" s="175"/>
      <c r="U185" s="175"/>
      <c r="V185" s="175"/>
      <c r="W185" s="175"/>
    </row>
    <row r="186" spans="1:23" s="33" customFormat="1" ht="21" customHeight="1">
      <c r="A186" s="561"/>
      <c r="B186" s="562"/>
      <c r="C186" s="569" t="s">
        <v>367</v>
      </c>
      <c r="D186" s="563"/>
      <c r="E186" s="564"/>
      <c r="F186" s="565">
        <v>26613.6</v>
      </c>
      <c r="G186" s="564"/>
      <c r="H186" s="174"/>
      <c r="I186" s="674"/>
      <c r="J186" s="575"/>
      <c r="K186" s="566"/>
      <c r="L186" s="308"/>
      <c r="M186" s="308"/>
      <c r="N186" s="309"/>
      <c r="O186" s="309"/>
      <c r="P186" s="671"/>
      <c r="Q186" s="175"/>
      <c r="R186" s="175"/>
      <c r="S186" s="175"/>
      <c r="T186" s="175"/>
      <c r="U186" s="175"/>
      <c r="V186" s="175"/>
      <c r="W186" s="175"/>
    </row>
    <row r="187" spans="1:23" s="33" customFormat="1" ht="21" customHeight="1">
      <c r="A187" s="567"/>
      <c r="B187" s="568"/>
      <c r="C187" s="569" t="s">
        <v>364</v>
      </c>
      <c r="D187" s="563"/>
      <c r="E187" s="564"/>
      <c r="F187" s="565">
        <v>70000</v>
      </c>
      <c r="G187" s="564"/>
      <c r="H187" s="174"/>
      <c r="I187" s="674"/>
      <c r="J187" s="575"/>
      <c r="K187" s="566"/>
      <c r="L187" s="308"/>
      <c r="M187" s="308"/>
      <c r="N187" s="309"/>
      <c r="O187" s="309"/>
      <c r="P187" s="671"/>
      <c r="Q187" s="175"/>
      <c r="R187" s="175"/>
      <c r="S187" s="175"/>
      <c r="T187" s="175"/>
      <c r="U187" s="175"/>
      <c r="V187" s="175"/>
      <c r="W187" s="175"/>
    </row>
    <row r="188" spans="1:23" s="33" customFormat="1" ht="21" customHeight="1">
      <c r="A188" s="591">
        <v>754</v>
      </c>
      <c r="B188" s="560">
        <v>75405</v>
      </c>
      <c r="C188" s="311"/>
      <c r="D188" s="173">
        <f>SUM(D189:D190)</f>
        <v>150000</v>
      </c>
      <c r="E188" s="312"/>
      <c r="F188" s="173">
        <f>SUM(F189:F190)</f>
        <v>150000</v>
      </c>
      <c r="G188" s="312"/>
      <c r="H188" s="174"/>
      <c r="I188" s="571"/>
      <c r="J188" s="575"/>
      <c r="K188" s="307"/>
      <c r="L188" s="308"/>
      <c r="M188" s="308"/>
      <c r="N188" s="309"/>
      <c r="O188" s="309"/>
      <c r="P188" s="671"/>
      <c r="Q188" s="175"/>
      <c r="R188" s="175"/>
      <c r="S188" s="175"/>
      <c r="T188" s="175"/>
      <c r="U188" s="175"/>
      <c r="V188" s="175"/>
      <c r="W188" s="175"/>
    </row>
    <row r="189" spans="1:23" s="33" customFormat="1" ht="21" customHeight="1">
      <c r="A189" s="561"/>
      <c r="B189" s="562"/>
      <c r="C189" s="569" t="s">
        <v>395</v>
      </c>
      <c r="D189" s="563">
        <v>150000</v>
      </c>
      <c r="E189" s="564"/>
      <c r="F189" s="565"/>
      <c r="G189" s="564"/>
      <c r="H189" s="174"/>
      <c r="I189" s="674"/>
      <c r="J189" s="575"/>
      <c r="K189" s="566"/>
      <c r="L189" s="308"/>
      <c r="M189" s="308"/>
      <c r="N189" s="309"/>
      <c r="O189" s="309"/>
      <c r="P189" s="671"/>
      <c r="Q189" s="175"/>
      <c r="R189" s="175"/>
      <c r="S189" s="175"/>
      <c r="T189" s="175"/>
      <c r="U189" s="175"/>
      <c r="V189" s="175"/>
      <c r="W189" s="175"/>
    </row>
    <row r="190" spans="1:23" s="33" customFormat="1" ht="21" customHeight="1">
      <c r="A190" s="592"/>
      <c r="B190" s="594"/>
      <c r="C190" s="569" t="s">
        <v>396</v>
      </c>
      <c r="D190" s="563"/>
      <c r="E190" s="564"/>
      <c r="F190" s="565">
        <v>150000</v>
      </c>
      <c r="G190" s="564"/>
      <c r="H190" s="174"/>
      <c r="I190" s="674"/>
      <c r="J190" s="575"/>
      <c r="K190" s="566"/>
      <c r="L190" s="308"/>
      <c r="M190" s="308"/>
      <c r="N190" s="309"/>
      <c r="O190" s="309"/>
      <c r="P190" s="671"/>
      <c r="Q190" s="175"/>
      <c r="R190" s="175"/>
      <c r="S190" s="175"/>
      <c r="T190" s="175"/>
      <c r="U190" s="175"/>
      <c r="V190" s="175"/>
      <c r="W190" s="175"/>
    </row>
    <row r="191" spans="1:23" s="260" customFormat="1" ht="21" customHeight="1">
      <c r="A191" s="617">
        <v>758</v>
      </c>
      <c r="B191" s="593">
        <v>75818</v>
      </c>
      <c r="C191" s="78" t="s">
        <v>351</v>
      </c>
      <c r="D191" s="173">
        <f>15000+26613.6</f>
        <v>41613.6</v>
      </c>
      <c r="E191" s="312"/>
      <c r="F191" s="30"/>
      <c r="G191" s="312"/>
      <c r="H191" s="19"/>
      <c r="I191" s="571"/>
      <c r="J191" s="304"/>
      <c r="K191" s="307"/>
      <c r="L191" s="595"/>
      <c r="M191" s="595"/>
      <c r="N191" s="596"/>
      <c r="O191" s="596"/>
      <c r="P191" s="675"/>
      <c r="Q191" s="597"/>
      <c r="R191" s="597"/>
      <c r="S191" s="597"/>
      <c r="T191" s="597"/>
      <c r="U191" s="597"/>
      <c r="V191" s="597"/>
      <c r="W191" s="597"/>
    </row>
    <row r="192" spans="1:23" s="260" customFormat="1" ht="21" customHeight="1">
      <c r="A192" s="558">
        <v>801</v>
      </c>
      <c r="B192" s="593"/>
      <c r="C192" s="78"/>
      <c r="D192" s="173"/>
      <c r="E192" s="312"/>
      <c r="F192" s="30">
        <f>F193+F194</f>
        <v>70000</v>
      </c>
      <c r="G192" s="312"/>
      <c r="H192" s="19"/>
      <c r="I192" s="571"/>
      <c r="J192" s="304"/>
      <c r="K192" s="307"/>
      <c r="L192" s="595"/>
      <c r="M192" s="595"/>
      <c r="N192" s="596"/>
      <c r="O192" s="596"/>
      <c r="P192" s="675"/>
      <c r="Q192" s="597"/>
      <c r="R192" s="597"/>
      <c r="S192" s="597"/>
      <c r="T192" s="597"/>
      <c r="U192" s="597"/>
      <c r="V192" s="597"/>
      <c r="W192" s="597"/>
    </row>
    <row r="193" spans="1:23" s="33" customFormat="1" ht="21" customHeight="1">
      <c r="A193" s="562"/>
      <c r="B193" s="598">
        <v>80120</v>
      </c>
      <c r="C193" s="569" t="s">
        <v>401</v>
      </c>
      <c r="D193" s="563"/>
      <c r="E193" s="564"/>
      <c r="F193" s="565">
        <v>69150</v>
      </c>
      <c r="G193" s="564"/>
      <c r="H193" s="174"/>
      <c r="I193" s="674"/>
      <c r="J193" s="575"/>
      <c r="K193" s="566"/>
      <c r="L193" s="308"/>
      <c r="M193" s="308"/>
      <c r="N193" s="309"/>
      <c r="O193" s="309"/>
      <c r="P193" s="671"/>
      <c r="Q193" s="175"/>
      <c r="R193" s="175"/>
      <c r="S193" s="175"/>
      <c r="T193" s="175"/>
      <c r="U193" s="175"/>
      <c r="V193" s="175"/>
      <c r="W193" s="175"/>
    </row>
    <row r="194" spans="1:23" s="33" customFormat="1" ht="21" customHeight="1">
      <c r="A194" s="594"/>
      <c r="B194" s="590">
        <v>80123</v>
      </c>
      <c r="C194" s="569" t="s">
        <v>401</v>
      </c>
      <c r="D194" s="563"/>
      <c r="E194" s="564"/>
      <c r="F194" s="565">
        <v>850</v>
      </c>
      <c r="G194" s="564"/>
      <c r="H194" s="174"/>
      <c r="I194" s="674"/>
      <c r="J194" s="575"/>
      <c r="K194" s="566"/>
      <c r="L194" s="308"/>
      <c r="M194" s="308"/>
      <c r="N194" s="309"/>
      <c r="O194" s="309"/>
      <c r="P194" s="671"/>
      <c r="Q194" s="175"/>
      <c r="R194" s="175"/>
      <c r="S194" s="175"/>
      <c r="T194" s="175"/>
      <c r="U194" s="175"/>
      <c r="V194" s="175"/>
      <c r="W194" s="175"/>
    </row>
    <row r="195" spans="1:23" s="33" customFormat="1" ht="21" customHeight="1">
      <c r="A195" s="593">
        <v>852</v>
      </c>
      <c r="B195" s="624">
        <v>85202</v>
      </c>
      <c r="C195" s="311"/>
      <c r="D195" s="173"/>
      <c r="E195" s="312"/>
      <c r="F195" s="30">
        <f>SUM(F196:F200)</f>
        <v>50000</v>
      </c>
      <c r="G195" s="312"/>
      <c r="H195" s="174"/>
      <c r="I195" s="571"/>
      <c r="J195" s="575"/>
      <c r="K195" s="307"/>
      <c r="L195" s="308"/>
      <c r="M195" s="308"/>
      <c r="N195" s="309"/>
      <c r="O195" s="309"/>
      <c r="P195" s="671"/>
      <c r="Q195" s="175"/>
      <c r="R195" s="175"/>
      <c r="S195" s="175"/>
      <c r="T195" s="175"/>
      <c r="U195" s="175"/>
      <c r="V195" s="175"/>
      <c r="W195" s="175"/>
    </row>
    <row r="196" spans="1:23" s="33" customFormat="1" ht="21" customHeight="1">
      <c r="A196" s="562"/>
      <c r="B196" s="562"/>
      <c r="C196" s="569" t="s">
        <v>356</v>
      </c>
      <c r="D196" s="563"/>
      <c r="E196" s="564"/>
      <c r="F196" s="565">
        <v>5000</v>
      </c>
      <c r="G196" s="564"/>
      <c r="H196" s="174"/>
      <c r="I196" s="674"/>
      <c r="J196" s="575"/>
      <c r="K196" s="566"/>
      <c r="L196" s="308"/>
      <c r="M196" s="308"/>
      <c r="N196" s="309"/>
      <c r="O196" s="309"/>
      <c r="P196" s="671"/>
      <c r="Q196" s="175"/>
      <c r="R196" s="175"/>
      <c r="S196" s="175"/>
      <c r="T196" s="175"/>
      <c r="U196" s="175"/>
      <c r="V196" s="175"/>
      <c r="W196" s="175"/>
    </row>
    <row r="197" spans="1:23" s="33" customFormat="1" ht="21" customHeight="1">
      <c r="A197" s="594"/>
      <c r="B197" s="594"/>
      <c r="C197" s="569" t="s">
        <v>400</v>
      </c>
      <c r="D197" s="563"/>
      <c r="E197" s="564"/>
      <c r="F197" s="565">
        <v>15000</v>
      </c>
      <c r="G197" s="564"/>
      <c r="H197" s="174"/>
      <c r="I197" s="674"/>
      <c r="J197" s="575"/>
      <c r="K197" s="566"/>
      <c r="L197" s="308"/>
      <c r="M197" s="308"/>
      <c r="N197" s="309"/>
      <c r="O197" s="309"/>
      <c r="P197" s="671"/>
      <c r="Q197" s="175"/>
      <c r="R197" s="175"/>
      <c r="S197" s="175"/>
      <c r="T197" s="175"/>
      <c r="U197" s="175"/>
      <c r="V197" s="175"/>
      <c r="W197" s="175"/>
    </row>
    <row r="198" spans="1:23" s="33" customFormat="1" ht="21" customHeight="1">
      <c r="A198" s="594"/>
      <c r="B198" s="594"/>
      <c r="C198" s="569" t="s">
        <v>371</v>
      </c>
      <c r="D198" s="563"/>
      <c r="E198" s="564"/>
      <c r="F198" s="565">
        <v>15000</v>
      </c>
      <c r="G198" s="564"/>
      <c r="H198" s="174"/>
      <c r="I198" s="674"/>
      <c r="J198" s="575"/>
      <c r="K198" s="566"/>
      <c r="L198" s="308"/>
      <c r="M198" s="308"/>
      <c r="N198" s="309"/>
      <c r="O198" s="309"/>
      <c r="P198" s="671"/>
      <c r="Q198" s="175"/>
      <c r="R198" s="175"/>
      <c r="S198" s="175"/>
      <c r="T198" s="175"/>
      <c r="U198" s="175"/>
      <c r="V198" s="175"/>
      <c r="W198" s="175"/>
    </row>
    <row r="199" spans="1:23" s="33" customFormat="1" ht="21" customHeight="1">
      <c r="A199" s="594"/>
      <c r="B199" s="568"/>
      <c r="C199" s="569" t="s">
        <v>367</v>
      </c>
      <c r="D199" s="563"/>
      <c r="E199" s="564"/>
      <c r="F199" s="565">
        <v>5000</v>
      </c>
      <c r="G199" s="564"/>
      <c r="H199" s="174"/>
      <c r="I199" s="674"/>
      <c r="J199" s="575"/>
      <c r="K199" s="566"/>
      <c r="L199" s="308"/>
      <c r="M199" s="308"/>
      <c r="N199" s="309"/>
      <c r="O199" s="309"/>
      <c r="P199" s="671"/>
      <c r="Q199" s="175"/>
      <c r="R199" s="175"/>
      <c r="S199" s="175"/>
      <c r="T199" s="175"/>
      <c r="U199" s="175"/>
      <c r="V199" s="175"/>
      <c r="W199" s="175"/>
    </row>
    <row r="200" spans="1:23" s="33" customFormat="1" ht="21" customHeight="1">
      <c r="A200" s="568"/>
      <c r="B200" s="580"/>
      <c r="C200" s="79" t="s">
        <v>359</v>
      </c>
      <c r="D200" s="563"/>
      <c r="E200" s="564"/>
      <c r="F200" s="565">
        <v>10000</v>
      </c>
      <c r="G200" s="564"/>
      <c r="H200" s="174"/>
      <c r="I200" s="674"/>
      <c r="J200" s="575"/>
      <c r="K200" s="566"/>
      <c r="L200" s="308"/>
      <c r="M200" s="308"/>
      <c r="N200" s="309"/>
      <c r="O200" s="309"/>
      <c r="P200" s="671"/>
      <c r="Q200" s="175"/>
      <c r="R200" s="175"/>
      <c r="S200" s="175"/>
      <c r="T200" s="175"/>
      <c r="U200" s="175"/>
      <c r="V200" s="175"/>
      <c r="W200" s="175"/>
    </row>
    <row r="201" spans="1:23" s="260" customFormat="1" ht="21" customHeight="1">
      <c r="A201" s="559">
        <v>853</v>
      </c>
      <c r="B201" s="593">
        <v>85395</v>
      </c>
      <c r="C201" s="78" t="s">
        <v>383</v>
      </c>
      <c r="D201" s="30">
        <f>150000+4987+70000</f>
        <v>224987</v>
      </c>
      <c r="E201" s="312"/>
      <c r="F201" s="30"/>
      <c r="G201" s="312"/>
      <c r="H201" s="19"/>
      <c r="I201" s="571"/>
      <c r="J201" s="304"/>
      <c r="K201" s="307"/>
      <c r="L201" s="595"/>
      <c r="M201" s="595"/>
      <c r="N201" s="596"/>
      <c r="O201" s="596"/>
      <c r="P201" s="675"/>
      <c r="Q201" s="597"/>
      <c r="R201" s="597"/>
      <c r="S201" s="597"/>
      <c r="T201" s="597"/>
      <c r="U201" s="597"/>
      <c r="V201" s="597"/>
      <c r="W201" s="597"/>
    </row>
    <row r="202" spans="1:23" s="260" customFormat="1" ht="21" customHeight="1">
      <c r="A202" s="591">
        <v>854</v>
      </c>
      <c r="B202" s="172"/>
      <c r="C202" s="585"/>
      <c r="D202" s="30"/>
      <c r="E202" s="312"/>
      <c r="F202" s="30">
        <f>F203+F204</f>
        <v>46163</v>
      </c>
      <c r="G202" s="312"/>
      <c r="H202" s="19"/>
      <c r="I202" s="571"/>
      <c r="J202" s="304"/>
      <c r="K202" s="307"/>
      <c r="L202" s="595"/>
      <c r="M202" s="595"/>
      <c r="N202" s="596"/>
      <c r="O202" s="596"/>
      <c r="P202" s="675"/>
      <c r="Q202" s="597"/>
      <c r="R202" s="597"/>
      <c r="S202" s="597"/>
      <c r="T202" s="597"/>
      <c r="U202" s="597"/>
      <c r="V202" s="597"/>
      <c r="W202" s="597"/>
    </row>
    <row r="203" spans="1:23" s="33" customFormat="1" ht="21" customHeight="1">
      <c r="A203" s="562"/>
      <c r="B203" s="590">
        <v>85406</v>
      </c>
      <c r="C203" s="569" t="s">
        <v>366</v>
      </c>
      <c r="D203" s="565"/>
      <c r="E203" s="564"/>
      <c r="F203" s="565">
        <v>8163</v>
      </c>
      <c r="G203" s="564"/>
      <c r="H203" s="174"/>
      <c r="I203" s="674"/>
      <c r="J203" s="575"/>
      <c r="K203" s="566"/>
      <c r="L203" s="308"/>
      <c r="M203" s="308"/>
      <c r="N203" s="309"/>
      <c r="O203" s="309"/>
      <c r="P203" s="671"/>
      <c r="Q203" s="175"/>
      <c r="R203" s="175"/>
      <c r="S203" s="175"/>
      <c r="T203" s="175"/>
      <c r="U203" s="175"/>
      <c r="V203" s="175"/>
      <c r="W203" s="175"/>
    </row>
    <row r="204" spans="1:23" s="33" customFormat="1" ht="21" customHeight="1">
      <c r="A204" s="594"/>
      <c r="B204" s="590">
        <v>85410</v>
      </c>
      <c r="C204" s="569" t="s">
        <v>356</v>
      </c>
      <c r="D204" s="565"/>
      <c r="E204" s="564"/>
      <c r="F204" s="565">
        <v>38000</v>
      </c>
      <c r="G204" s="564"/>
      <c r="H204" s="174"/>
      <c r="I204" s="674"/>
      <c r="J204" s="575"/>
      <c r="K204" s="566"/>
      <c r="L204" s="308"/>
      <c r="M204" s="308"/>
      <c r="N204" s="309"/>
      <c r="O204" s="309"/>
      <c r="P204" s="671"/>
      <c r="Q204" s="175"/>
      <c r="R204" s="175"/>
      <c r="S204" s="175"/>
      <c r="T204" s="175"/>
      <c r="U204" s="175"/>
      <c r="V204" s="175"/>
      <c r="W204" s="175"/>
    </row>
    <row r="205" spans="1:23" s="3" customFormat="1" ht="19.5" customHeight="1">
      <c r="A205" s="623" t="s">
        <v>68</v>
      </c>
      <c r="B205" s="214"/>
      <c r="C205" s="80"/>
      <c r="D205" s="31">
        <f>D185+D188+D191+D192+D195+D201+D202</f>
        <v>416600.6</v>
      </c>
      <c r="E205" s="31">
        <f>E185+E188+E191+E192+E195+E201+E202</f>
        <v>0</v>
      </c>
      <c r="F205" s="31">
        <f>F185+F188+F191+F192+F195+F201+F202</f>
        <v>412776.6</v>
      </c>
      <c r="G205" s="31">
        <f>G185+G188+G191+G192+G195+G201+G202</f>
        <v>0</v>
      </c>
      <c r="H205" s="19"/>
      <c r="I205" s="571"/>
      <c r="J205" s="166"/>
      <c r="K205" s="166"/>
      <c r="L205" s="304"/>
      <c r="M205" s="304"/>
      <c r="N205" s="26"/>
      <c r="O205" s="26"/>
      <c r="P205" s="26"/>
      <c r="Q205" s="24"/>
      <c r="R205" s="24"/>
      <c r="S205" s="24"/>
      <c r="T205" s="24"/>
      <c r="U205" s="24"/>
      <c r="V205" s="24"/>
      <c r="W205" s="24"/>
    </row>
    <row r="206" spans="1:23" s="3" customFormat="1" ht="19.5" customHeight="1">
      <c r="A206" s="116"/>
      <c r="B206" s="117"/>
      <c r="C206" s="117"/>
      <c r="D206" s="26"/>
      <c r="E206" s="26"/>
      <c r="F206" s="26"/>
      <c r="G206" s="26"/>
      <c r="H206" s="19"/>
      <c r="I206" s="571"/>
      <c r="J206" s="166"/>
      <c r="K206" s="166"/>
      <c r="L206" s="304"/>
      <c r="M206" s="304"/>
      <c r="N206" s="26"/>
      <c r="O206" s="26"/>
      <c r="P206" s="26"/>
      <c r="Q206" s="24"/>
      <c r="R206" s="24"/>
      <c r="S206" s="24"/>
      <c r="T206" s="24"/>
      <c r="U206" s="24"/>
      <c r="V206" s="24"/>
      <c r="W206" s="24"/>
    </row>
    <row r="207" spans="1:23" s="3" customFormat="1" ht="19.5" customHeight="1">
      <c r="A207" s="116"/>
      <c r="B207" s="117"/>
      <c r="C207" s="117"/>
      <c r="D207" s="26"/>
      <c r="E207" s="26"/>
      <c r="F207" s="26"/>
      <c r="G207" s="26"/>
      <c r="H207" s="19"/>
      <c r="I207" s="571"/>
      <c r="J207" s="166"/>
      <c r="K207" s="166"/>
      <c r="L207" s="304"/>
      <c r="M207" s="304"/>
      <c r="N207" s="26"/>
      <c r="O207" s="26"/>
      <c r="P207" s="26"/>
      <c r="Q207" s="24"/>
      <c r="R207" s="24"/>
      <c r="S207" s="24"/>
      <c r="T207" s="24"/>
      <c r="U207" s="24"/>
      <c r="V207" s="24"/>
      <c r="W207" s="24"/>
    </row>
    <row r="208" spans="1:23" s="3" customFormat="1" ht="19.5" customHeight="1">
      <c r="A208" s="570" t="s">
        <v>446</v>
      </c>
      <c r="B208" s="95"/>
      <c r="C208" s="96"/>
      <c r="D208" s="15"/>
      <c r="E208" s="15"/>
      <c r="F208" s="26"/>
      <c r="G208" s="26"/>
      <c r="H208" s="19"/>
      <c r="I208" s="571"/>
      <c r="J208" s="304"/>
      <c r="K208" s="166"/>
      <c r="L208" s="304"/>
      <c r="M208" s="304"/>
      <c r="N208" s="26"/>
      <c r="O208" s="26"/>
      <c r="P208" s="26"/>
      <c r="Q208" s="24"/>
      <c r="R208" s="24"/>
      <c r="S208" s="24"/>
      <c r="T208" s="24"/>
      <c r="U208" s="24"/>
      <c r="V208" s="24"/>
      <c r="W208" s="24"/>
    </row>
    <row r="209" spans="1:23" s="3" customFormat="1" ht="19.5" customHeight="1">
      <c r="A209" s="572" t="s">
        <v>331</v>
      </c>
      <c r="B209" s="95"/>
      <c r="C209" s="129"/>
      <c r="D209" s="21"/>
      <c r="E209" s="15"/>
      <c r="F209" s="26"/>
      <c r="G209" s="26"/>
      <c r="H209" s="19"/>
      <c r="I209" s="571"/>
      <c r="J209" s="304"/>
      <c r="K209" s="166"/>
      <c r="L209" s="304"/>
      <c r="M209" s="304"/>
      <c r="N209" s="26"/>
      <c r="O209" s="26"/>
      <c r="P209" s="26"/>
      <c r="Q209" s="24"/>
      <c r="R209" s="24"/>
      <c r="S209" s="24"/>
      <c r="T209" s="24"/>
      <c r="U209" s="24"/>
      <c r="V209" s="24"/>
      <c r="W209" s="24"/>
    </row>
    <row r="210" spans="1:23" s="3" customFormat="1" ht="19.5" customHeight="1">
      <c r="A210" s="572"/>
      <c r="B210" s="95"/>
      <c r="C210" s="129"/>
      <c r="D210" s="21"/>
      <c r="E210" s="15"/>
      <c r="F210" s="26"/>
      <c r="G210" s="26"/>
      <c r="H210" s="19"/>
      <c r="I210" s="571"/>
      <c r="J210" s="304"/>
      <c r="K210" s="166"/>
      <c r="L210" s="304"/>
      <c r="M210" s="304"/>
      <c r="N210" s="26"/>
      <c r="O210" s="26"/>
      <c r="P210" s="26"/>
      <c r="Q210" s="24"/>
      <c r="R210" s="24"/>
      <c r="S210" s="24"/>
      <c r="T210" s="24"/>
      <c r="U210" s="24"/>
      <c r="V210" s="24"/>
      <c r="W210" s="24"/>
    </row>
    <row r="211" spans="1:23" s="3" customFormat="1" ht="19.5" customHeight="1">
      <c r="A211" s="573" t="s">
        <v>332</v>
      </c>
      <c r="B211" s="574"/>
      <c r="C211" s="117"/>
      <c r="D211" s="34"/>
      <c r="E211" s="34"/>
      <c r="F211" s="34"/>
      <c r="G211" s="34"/>
      <c r="H211" s="35"/>
      <c r="I211" s="571"/>
      <c r="J211" s="575"/>
      <c r="K211" s="166"/>
      <c r="L211" s="575"/>
      <c r="M211" s="575"/>
      <c r="N211" s="34"/>
      <c r="O211" s="34"/>
      <c r="P211" s="34"/>
      <c r="Q211" s="35"/>
      <c r="R211" s="35"/>
      <c r="S211" s="35"/>
      <c r="T211" s="35"/>
      <c r="U211" s="35"/>
      <c r="V211" s="35"/>
      <c r="W211" s="35"/>
    </row>
    <row r="212" spans="1:23" s="3" customFormat="1" ht="19.5" customHeight="1">
      <c r="A212" s="573"/>
      <c r="B212" s="574"/>
      <c r="C212" s="117"/>
      <c r="D212" s="34"/>
      <c r="E212" s="34"/>
      <c r="F212" s="34"/>
      <c r="G212" s="34"/>
      <c r="H212" s="35"/>
      <c r="I212" s="571"/>
      <c r="J212" s="575"/>
      <c r="K212" s="166"/>
      <c r="L212" s="575"/>
      <c r="M212" s="575"/>
      <c r="N212" s="34"/>
      <c r="O212" s="34"/>
      <c r="P212" s="34"/>
      <c r="Q212" s="35"/>
      <c r="R212" s="35"/>
      <c r="S212" s="35"/>
      <c r="T212" s="35"/>
      <c r="U212" s="35"/>
      <c r="V212" s="35"/>
      <c r="W212" s="35"/>
    </row>
    <row r="213" spans="1:23" s="3" customFormat="1" ht="19.5" customHeight="1">
      <c r="A213" s="573"/>
      <c r="B213" s="574"/>
      <c r="C213" s="117"/>
      <c r="D213" s="34"/>
      <c r="E213" s="34"/>
      <c r="F213" s="34"/>
      <c r="G213" s="34"/>
      <c r="H213" s="35"/>
      <c r="I213" s="571"/>
      <c r="J213" s="575"/>
      <c r="K213" s="166"/>
      <c r="L213" s="575"/>
      <c r="M213" s="575"/>
      <c r="N213" s="34"/>
      <c r="O213" s="34"/>
      <c r="P213" s="34"/>
      <c r="Q213" s="35"/>
      <c r="R213" s="35"/>
      <c r="S213" s="35"/>
      <c r="T213" s="35"/>
      <c r="U213" s="35"/>
      <c r="V213" s="35"/>
      <c r="W213" s="35"/>
    </row>
    <row r="214" spans="1:23" s="3" customFormat="1" ht="19.5" customHeight="1">
      <c r="A214" s="576" t="s">
        <v>333</v>
      </c>
      <c r="B214" s="574"/>
      <c r="C214" s="117"/>
      <c r="D214" s="34"/>
      <c r="E214" s="34"/>
      <c r="F214" s="34"/>
      <c r="G214" s="34"/>
      <c r="H214" s="24">
        <f>H216+H220+H224</f>
        <v>283200</v>
      </c>
      <c r="I214" s="571"/>
      <c r="J214" s="575"/>
      <c r="K214" s="166"/>
      <c r="L214" s="575"/>
      <c r="M214" s="575"/>
      <c r="N214" s="34"/>
      <c r="O214" s="34"/>
      <c r="P214" s="34"/>
      <c r="Q214" s="35"/>
      <c r="R214" s="35"/>
      <c r="S214" s="35"/>
      <c r="T214" s="35"/>
      <c r="U214" s="35"/>
      <c r="V214" s="35"/>
      <c r="W214" s="35"/>
    </row>
    <row r="215" spans="1:23" s="3" customFormat="1" ht="19.5" customHeight="1">
      <c r="A215" s="48" t="s">
        <v>61</v>
      </c>
      <c r="B215" s="574"/>
      <c r="C215" s="117"/>
      <c r="D215" s="34"/>
      <c r="E215" s="34"/>
      <c r="F215" s="34"/>
      <c r="G215" s="34"/>
      <c r="H215" s="35"/>
      <c r="I215" s="571"/>
      <c r="J215" s="575"/>
      <c r="K215" s="166"/>
      <c r="L215" s="575"/>
      <c r="M215" s="575"/>
      <c r="N215" s="34"/>
      <c r="O215" s="34"/>
      <c r="P215" s="34"/>
      <c r="Q215" s="35"/>
      <c r="R215" s="35"/>
      <c r="S215" s="35"/>
      <c r="T215" s="35"/>
      <c r="U215" s="35"/>
      <c r="V215" s="35"/>
      <c r="W215" s="35"/>
    </row>
    <row r="216" spans="1:23" s="3" customFormat="1" ht="19.5" customHeight="1">
      <c r="A216" s="98" t="s">
        <v>352</v>
      </c>
      <c r="B216" s="577"/>
      <c r="C216" s="117"/>
      <c r="D216" s="34"/>
      <c r="E216" s="34"/>
      <c r="F216" s="34"/>
      <c r="G216" s="34"/>
      <c r="H216" s="35">
        <f>H218</f>
        <v>105000</v>
      </c>
      <c r="I216" s="571"/>
      <c r="J216" s="575"/>
      <c r="K216" s="166"/>
      <c r="L216" s="575"/>
      <c r="M216" s="575"/>
      <c r="N216" s="34"/>
      <c r="O216" s="34"/>
      <c r="P216" s="34"/>
      <c r="Q216" s="35"/>
      <c r="R216" s="35"/>
      <c r="S216" s="35"/>
      <c r="T216" s="35"/>
      <c r="U216" s="35"/>
      <c r="V216" s="35"/>
      <c r="W216" s="35"/>
    </row>
    <row r="217" spans="1:23" s="3" customFormat="1" ht="19.5" customHeight="1">
      <c r="A217" s="48" t="s">
        <v>61</v>
      </c>
      <c r="B217" s="577"/>
      <c r="C217" s="117"/>
      <c r="D217" s="34"/>
      <c r="E217" s="34"/>
      <c r="F217" s="34"/>
      <c r="G217" s="34"/>
      <c r="H217" s="35"/>
      <c r="I217" s="571"/>
      <c r="J217" s="575"/>
      <c r="K217" s="166"/>
      <c r="L217" s="575"/>
      <c r="M217" s="575"/>
      <c r="N217" s="34"/>
      <c r="O217" s="34"/>
      <c r="P217" s="34"/>
      <c r="Q217" s="35"/>
      <c r="R217" s="35"/>
      <c r="S217" s="35"/>
      <c r="T217" s="35"/>
      <c r="U217" s="35"/>
      <c r="V217" s="35"/>
      <c r="W217" s="35"/>
    </row>
    <row r="218" spans="1:23" s="3" customFormat="1" ht="19.5" customHeight="1">
      <c r="A218" s="48"/>
      <c r="B218" s="577" t="s">
        <v>195</v>
      </c>
      <c r="C218" s="117"/>
      <c r="D218" s="34"/>
      <c r="E218" s="34"/>
      <c r="F218" s="34"/>
      <c r="G218" s="34"/>
      <c r="H218" s="35">
        <f>120000-15000</f>
        <v>105000</v>
      </c>
      <c r="I218" s="571"/>
      <c r="J218" s="575"/>
      <c r="K218" s="166"/>
      <c r="L218" s="575"/>
      <c r="M218" s="575"/>
      <c r="N218" s="34"/>
      <c r="O218" s="34"/>
      <c r="P218" s="34"/>
      <c r="Q218" s="35"/>
      <c r="R218" s="35"/>
      <c r="S218" s="35"/>
      <c r="T218" s="35"/>
      <c r="U218" s="35"/>
      <c r="V218" s="35"/>
      <c r="W218" s="35"/>
    </row>
    <row r="219" spans="1:23" s="3" customFormat="1" ht="19.5" customHeight="1">
      <c r="A219" s="48"/>
      <c r="B219" s="577"/>
      <c r="C219" s="117"/>
      <c r="D219" s="34"/>
      <c r="E219" s="34"/>
      <c r="F219" s="34"/>
      <c r="G219" s="34"/>
      <c r="H219" s="35"/>
      <c r="I219" s="571"/>
      <c r="J219" s="575"/>
      <c r="K219" s="166"/>
      <c r="L219" s="575"/>
      <c r="M219" s="575"/>
      <c r="N219" s="34"/>
      <c r="O219" s="34"/>
      <c r="P219" s="34"/>
      <c r="Q219" s="35"/>
      <c r="R219" s="35"/>
      <c r="S219" s="35"/>
      <c r="T219" s="35"/>
      <c r="U219" s="35"/>
      <c r="V219" s="35"/>
      <c r="W219" s="35"/>
    </row>
    <row r="220" spans="1:23" s="3" customFormat="1" ht="19.5" customHeight="1">
      <c r="A220" s="98" t="s">
        <v>334</v>
      </c>
      <c r="B220" s="574"/>
      <c r="C220" s="117"/>
      <c r="D220" s="34"/>
      <c r="E220" s="34"/>
      <c r="F220" s="34"/>
      <c r="G220" s="34"/>
      <c r="H220" s="24">
        <f>H222</f>
        <v>80000</v>
      </c>
      <c r="I220" s="571"/>
      <c r="J220" s="575"/>
      <c r="K220" s="166"/>
      <c r="L220" s="575"/>
      <c r="M220" s="575"/>
      <c r="N220" s="34"/>
      <c r="O220" s="34"/>
      <c r="P220" s="34"/>
      <c r="Q220" s="35"/>
      <c r="R220" s="35"/>
      <c r="S220" s="35"/>
      <c r="T220" s="35"/>
      <c r="U220" s="35"/>
      <c r="V220" s="35"/>
      <c r="W220" s="35"/>
    </row>
    <row r="221" spans="1:23" s="3" customFormat="1" ht="19.5" customHeight="1">
      <c r="A221" s="116" t="s">
        <v>61</v>
      </c>
      <c r="B221" s="117"/>
      <c r="C221" s="117"/>
      <c r="D221" s="26"/>
      <c r="E221" s="26"/>
      <c r="F221" s="26"/>
      <c r="G221" s="26"/>
      <c r="H221" s="19"/>
      <c r="I221" s="571"/>
      <c r="J221" s="166"/>
      <c r="K221" s="166"/>
      <c r="L221" s="304"/>
      <c r="M221" s="304"/>
      <c r="N221" s="26"/>
      <c r="O221" s="26"/>
      <c r="P221" s="26"/>
      <c r="Q221" s="24"/>
      <c r="R221" s="24"/>
      <c r="S221" s="24"/>
      <c r="T221" s="24"/>
      <c r="U221" s="24"/>
      <c r="V221" s="24"/>
      <c r="W221" s="24"/>
    </row>
    <row r="222" spans="1:23" s="3" customFormat="1" ht="19.5" customHeight="1">
      <c r="A222" s="116"/>
      <c r="B222" s="577" t="s">
        <v>214</v>
      </c>
      <c r="C222" s="578"/>
      <c r="D222" s="21"/>
      <c r="E222" s="15"/>
      <c r="F222" s="34"/>
      <c r="G222" s="26"/>
      <c r="H222" s="35">
        <f>55000+15000+10000</f>
        <v>80000</v>
      </c>
      <c r="I222" s="571"/>
      <c r="J222" s="166"/>
      <c r="K222" s="166"/>
      <c r="L222" s="304"/>
      <c r="M222" s="304"/>
      <c r="N222" s="26"/>
      <c r="O222" s="26"/>
      <c r="P222" s="26"/>
      <c r="Q222" s="24"/>
      <c r="R222" s="24"/>
      <c r="S222" s="24"/>
      <c r="T222" s="24"/>
      <c r="U222" s="24"/>
      <c r="V222" s="24"/>
      <c r="W222" s="24"/>
    </row>
    <row r="223" spans="1:23" s="3" customFormat="1" ht="19.5" customHeight="1">
      <c r="A223" s="116"/>
      <c r="B223" s="577"/>
      <c r="C223" s="578"/>
      <c r="D223" s="21"/>
      <c r="E223" s="15"/>
      <c r="F223" s="34"/>
      <c r="G223" s="26"/>
      <c r="H223" s="35"/>
      <c r="I223" s="571"/>
      <c r="J223" s="166"/>
      <c r="K223" s="166"/>
      <c r="L223" s="304"/>
      <c r="M223" s="304"/>
      <c r="N223" s="26"/>
      <c r="O223" s="26"/>
      <c r="P223" s="26"/>
      <c r="Q223" s="24"/>
      <c r="R223" s="24"/>
      <c r="S223" s="24"/>
      <c r="T223" s="24"/>
      <c r="U223" s="24"/>
      <c r="V223" s="24"/>
      <c r="W223" s="24"/>
    </row>
    <row r="224" spans="1:23" s="3" customFormat="1" ht="19.5" customHeight="1">
      <c r="A224" s="98" t="s">
        <v>403</v>
      </c>
      <c r="B224" s="577"/>
      <c r="C224" s="578"/>
      <c r="D224" s="21"/>
      <c r="E224" s="15"/>
      <c r="F224" s="34"/>
      <c r="G224" s="26"/>
      <c r="H224" s="24">
        <f>H226</f>
        <v>98200</v>
      </c>
      <c r="I224" s="571"/>
      <c r="J224" s="166"/>
      <c r="K224" s="166"/>
      <c r="L224" s="304"/>
      <c r="M224" s="304"/>
      <c r="N224" s="26"/>
      <c r="O224" s="26"/>
      <c r="P224" s="26"/>
      <c r="Q224" s="24"/>
      <c r="R224" s="24"/>
      <c r="S224" s="24"/>
      <c r="T224" s="24"/>
      <c r="U224" s="24"/>
      <c r="V224" s="24"/>
      <c r="W224" s="24"/>
    </row>
    <row r="225" spans="1:23" s="3" customFormat="1" ht="19.5" customHeight="1">
      <c r="A225" s="116" t="s">
        <v>61</v>
      </c>
      <c r="B225" s="577"/>
      <c r="C225" s="578"/>
      <c r="D225" s="21"/>
      <c r="E225" s="15"/>
      <c r="F225" s="34"/>
      <c r="G225" s="26"/>
      <c r="H225" s="35"/>
      <c r="I225" s="571"/>
      <c r="J225" s="166"/>
      <c r="K225" s="166"/>
      <c r="L225" s="304"/>
      <c r="M225" s="304"/>
      <c r="N225" s="26"/>
      <c r="O225" s="26"/>
      <c r="P225" s="26"/>
      <c r="Q225" s="24"/>
      <c r="R225" s="24"/>
      <c r="S225" s="24"/>
      <c r="T225" s="24"/>
      <c r="U225" s="24"/>
      <c r="V225" s="24"/>
      <c r="W225" s="24"/>
    </row>
    <row r="226" spans="1:23" s="3" customFormat="1" ht="19.5" customHeight="1">
      <c r="A226" s="116"/>
      <c r="B226" s="128" t="s">
        <v>290</v>
      </c>
      <c r="C226" s="117"/>
      <c r="D226" s="26"/>
      <c r="E226" s="26"/>
      <c r="F226" s="26"/>
      <c r="G226" s="26"/>
      <c r="H226" s="35">
        <v>98200</v>
      </c>
      <c r="I226" s="571"/>
      <c r="J226" s="166"/>
      <c r="K226" s="166"/>
      <c r="L226" s="304"/>
      <c r="M226" s="304"/>
      <c r="N226" s="26"/>
      <c r="O226" s="26"/>
      <c r="P226" s="26"/>
      <c r="Q226" s="24"/>
      <c r="R226" s="24"/>
      <c r="S226" s="24"/>
      <c r="T226" s="24"/>
      <c r="U226" s="24"/>
      <c r="V226" s="24"/>
      <c r="W226" s="24"/>
    </row>
    <row r="227" spans="1:23" s="3" customFormat="1" ht="19.5" customHeight="1">
      <c r="A227" s="116"/>
      <c r="B227" s="117"/>
      <c r="C227" s="117"/>
      <c r="D227" s="26"/>
      <c r="E227" s="26"/>
      <c r="F227" s="26"/>
      <c r="G227" s="26"/>
      <c r="H227" s="19"/>
      <c r="I227" s="571"/>
      <c r="J227" s="166"/>
      <c r="K227" s="166"/>
      <c r="L227" s="304"/>
      <c r="M227" s="304"/>
      <c r="N227" s="26"/>
      <c r="O227" s="26"/>
      <c r="P227" s="26"/>
      <c r="Q227" s="24"/>
      <c r="R227" s="24"/>
      <c r="S227" s="24"/>
      <c r="T227" s="24"/>
      <c r="U227" s="24"/>
      <c r="V227" s="24"/>
      <c r="W227" s="24"/>
    </row>
    <row r="228" spans="1:23" s="3" customFormat="1" ht="19.5" customHeight="1">
      <c r="A228" s="116"/>
      <c r="B228" s="117"/>
      <c r="C228" s="117"/>
      <c r="D228" s="26"/>
      <c r="E228" s="26"/>
      <c r="F228" s="26"/>
      <c r="G228" s="26"/>
      <c r="H228" s="19"/>
      <c r="I228" s="571"/>
      <c r="J228" s="166"/>
      <c r="K228" s="166"/>
      <c r="L228" s="304"/>
      <c r="M228" s="304"/>
      <c r="N228" s="26"/>
      <c r="O228" s="26"/>
      <c r="P228" s="26"/>
      <c r="Q228" s="24"/>
      <c r="R228" s="24"/>
      <c r="S228" s="24"/>
      <c r="T228" s="24"/>
      <c r="U228" s="24"/>
      <c r="V228" s="24"/>
      <c r="W228" s="24"/>
    </row>
    <row r="229" spans="1:23" s="3" customFormat="1" ht="19.5" customHeight="1">
      <c r="A229" s="576" t="s">
        <v>335</v>
      </c>
      <c r="B229" s="574"/>
      <c r="C229" s="117"/>
      <c r="D229" s="26"/>
      <c r="E229" s="26"/>
      <c r="F229" s="26"/>
      <c r="G229" s="26"/>
      <c r="H229" s="24">
        <f>H231+H240</f>
        <v>234600</v>
      </c>
      <c r="I229" s="571"/>
      <c r="J229" s="166"/>
      <c r="K229" s="166"/>
      <c r="L229" s="304"/>
      <c r="M229" s="304"/>
      <c r="N229" s="26"/>
      <c r="O229" s="26"/>
      <c r="P229" s="26"/>
      <c r="Q229" s="24"/>
      <c r="R229" s="24"/>
      <c r="S229" s="24"/>
      <c r="T229" s="24"/>
      <c r="U229" s="24"/>
      <c r="V229" s="24"/>
      <c r="W229" s="24"/>
    </row>
    <row r="230" spans="1:23" s="3" customFormat="1" ht="19.5" customHeight="1">
      <c r="A230" s="48" t="s">
        <v>61</v>
      </c>
      <c r="B230" s="577"/>
      <c r="C230" s="117"/>
      <c r="D230" s="26"/>
      <c r="E230" s="26"/>
      <c r="F230" s="26"/>
      <c r="G230" s="26"/>
      <c r="H230" s="24"/>
      <c r="I230" s="571"/>
      <c r="J230" s="166"/>
      <c r="K230" s="166"/>
      <c r="L230" s="304"/>
      <c r="M230" s="304"/>
      <c r="N230" s="26"/>
      <c r="O230" s="26"/>
      <c r="P230" s="26"/>
      <c r="Q230" s="24"/>
      <c r="R230" s="24"/>
      <c r="S230" s="24"/>
      <c r="T230" s="24"/>
      <c r="U230" s="24"/>
      <c r="V230" s="24"/>
      <c r="W230" s="24"/>
    </row>
    <row r="231" spans="1:23" s="3" customFormat="1" ht="19.5" customHeight="1">
      <c r="A231" s="98" t="s">
        <v>430</v>
      </c>
      <c r="B231" s="577"/>
      <c r="C231" s="117"/>
      <c r="D231" s="26"/>
      <c r="E231" s="26"/>
      <c r="F231" s="26"/>
      <c r="G231" s="26"/>
      <c r="H231" s="24">
        <f>H233+H237</f>
        <v>29600</v>
      </c>
      <c r="I231" s="571"/>
      <c r="J231" s="166"/>
      <c r="K231" s="166"/>
      <c r="L231" s="304"/>
      <c r="M231" s="304"/>
      <c r="N231" s="26"/>
      <c r="O231" s="26"/>
      <c r="P231" s="26"/>
      <c r="Q231" s="24"/>
      <c r="R231" s="24"/>
      <c r="S231" s="24"/>
      <c r="T231" s="24"/>
      <c r="U231" s="24"/>
      <c r="V231" s="24"/>
      <c r="W231" s="24"/>
    </row>
    <row r="232" spans="1:23" s="3" customFormat="1" ht="19.5" customHeight="1">
      <c r="A232" s="48" t="s">
        <v>61</v>
      </c>
      <c r="B232" s="577"/>
      <c r="C232" s="117"/>
      <c r="D232" s="26"/>
      <c r="E232" s="26"/>
      <c r="F232" s="26"/>
      <c r="G232" s="26"/>
      <c r="H232" s="24"/>
      <c r="I232" s="571"/>
      <c r="J232" s="166"/>
      <c r="K232" s="166"/>
      <c r="L232" s="304"/>
      <c r="M232" s="304"/>
      <c r="N232" s="26"/>
      <c r="O232" s="26"/>
      <c r="P232" s="26"/>
      <c r="Q232" s="24"/>
      <c r="R232" s="24"/>
      <c r="S232" s="24"/>
      <c r="T232" s="24"/>
      <c r="U232" s="24"/>
      <c r="V232" s="24"/>
      <c r="W232" s="24"/>
    </row>
    <row r="233" spans="1:23" s="3" customFormat="1" ht="19.5" customHeight="1">
      <c r="A233" s="48"/>
      <c r="B233" s="98" t="s">
        <v>429</v>
      </c>
      <c r="C233" s="117"/>
      <c r="D233" s="26"/>
      <c r="E233" s="26"/>
      <c r="F233" s="26"/>
      <c r="G233" s="26"/>
      <c r="H233" s="24">
        <f>H235</f>
        <v>13000</v>
      </c>
      <c r="I233" s="571"/>
      <c r="J233" s="166"/>
      <c r="K233" s="166"/>
      <c r="L233" s="304"/>
      <c r="M233" s="304"/>
      <c r="N233" s="26"/>
      <c r="O233" s="26"/>
      <c r="P233" s="26"/>
      <c r="Q233" s="24"/>
      <c r="R233" s="24"/>
      <c r="S233" s="24"/>
      <c r="T233" s="24"/>
      <c r="U233" s="24"/>
      <c r="V233" s="24"/>
      <c r="W233" s="24"/>
    </row>
    <row r="234" spans="1:23" s="3" customFormat="1" ht="19.5" customHeight="1">
      <c r="A234" s="48"/>
      <c r="B234" s="577" t="s">
        <v>431</v>
      </c>
      <c r="C234" s="117"/>
      <c r="D234" s="26"/>
      <c r="E234" s="26"/>
      <c r="F234" s="26"/>
      <c r="G234" s="26"/>
      <c r="H234" s="24"/>
      <c r="I234" s="571"/>
      <c r="J234" s="166"/>
      <c r="K234" s="166"/>
      <c r="L234" s="304"/>
      <c r="M234" s="304"/>
      <c r="N234" s="26"/>
      <c r="O234" s="26"/>
      <c r="P234" s="26"/>
      <c r="Q234" s="24"/>
      <c r="R234" s="24"/>
      <c r="S234" s="24"/>
      <c r="T234" s="24"/>
      <c r="U234" s="24"/>
      <c r="V234" s="24"/>
      <c r="W234" s="24"/>
    </row>
    <row r="235" spans="1:23" s="3" customFormat="1" ht="19.5" customHeight="1">
      <c r="A235" s="48"/>
      <c r="B235" s="577" t="s">
        <v>436</v>
      </c>
      <c r="C235" s="117"/>
      <c r="D235" s="26"/>
      <c r="E235" s="26"/>
      <c r="F235" s="26"/>
      <c r="G235" s="26"/>
      <c r="H235" s="35">
        <v>13000</v>
      </c>
      <c r="I235" s="571"/>
      <c r="J235" s="166"/>
      <c r="K235" s="166"/>
      <c r="L235" s="304"/>
      <c r="M235" s="304"/>
      <c r="N235" s="26"/>
      <c r="O235" s="26"/>
      <c r="P235" s="26"/>
      <c r="Q235" s="24"/>
      <c r="R235" s="24"/>
      <c r="S235" s="24"/>
      <c r="T235" s="24"/>
      <c r="U235" s="24"/>
      <c r="V235" s="24"/>
      <c r="W235" s="24"/>
    </row>
    <row r="236" spans="1:23" s="3" customFormat="1" ht="19.5" customHeight="1">
      <c r="A236" s="48"/>
      <c r="B236" s="577"/>
      <c r="C236" s="117"/>
      <c r="D236" s="26"/>
      <c r="E236" s="26"/>
      <c r="F236" s="26"/>
      <c r="G236" s="26"/>
      <c r="H236" s="24"/>
      <c r="I236" s="571"/>
      <c r="J236" s="166"/>
      <c r="K236" s="166"/>
      <c r="L236" s="304"/>
      <c r="M236" s="304"/>
      <c r="N236" s="26"/>
      <c r="O236" s="26"/>
      <c r="P236" s="26"/>
      <c r="Q236" s="24"/>
      <c r="R236" s="24"/>
      <c r="S236" s="24"/>
      <c r="T236" s="24"/>
      <c r="U236" s="24"/>
      <c r="V236" s="24"/>
      <c r="W236" s="24"/>
    </row>
    <row r="237" spans="1:23" s="3" customFormat="1" ht="19.5" customHeight="1">
      <c r="A237" s="48"/>
      <c r="B237" s="98" t="s">
        <v>428</v>
      </c>
      <c r="C237" s="117"/>
      <c r="D237" s="26"/>
      <c r="E237" s="26"/>
      <c r="F237" s="26"/>
      <c r="G237" s="26"/>
      <c r="H237" s="24">
        <f>H238</f>
        <v>16600</v>
      </c>
      <c r="I237" s="571"/>
      <c r="J237" s="166"/>
      <c r="K237" s="166"/>
      <c r="L237" s="304"/>
      <c r="M237" s="304"/>
      <c r="N237" s="26"/>
      <c r="O237" s="26"/>
      <c r="P237" s="26"/>
      <c r="Q237" s="24"/>
      <c r="R237" s="24"/>
      <c r="S237" s="24"/>
      <c r="T237" s="24"/>
      <c r="U237" s="24"/>
      <c r="V237" s="24"/>
      <c r="W237" s="24"/>
    </row>
    <row r="238" spans="1:23" s="3" customFormat="1" ht="19.5" customHeight="1">
      <c r="A238" s="48"/>
      <c r="B238" s="577" t="s">
        <v>405</v>
      </c>
      <c r="C238" s="117"/>
      <c r="D238" s="26"/>
      <c r="E238" s="26"/>
      <c r="F238" s="26"/>
      <c r="G238" s="26"/>
      <c r="H238" s="35">
        <v>16600</v>
      </c>
      <c r="I238" s="571"/>
      <c r="J238" s="166"/>
      <c r="K238" s="166"/>
      <c r="L238" s="304"/>
      <c r="M238" s="304"/>
      <c r="N238" s="26"/>
      <c r="O238" s="26"/>
      <c r="P238" s="26"/>
      <c r="Q238" s="24"/>
      <c r="R238" s="24"/>
      <c r="S238" s="24"/>
      <c r="T238" s="24"/>
      <c r="U238" s="24"/>
      <c r="V238" s="24"/>
      <c r="W238" s="24"/>
    </row>
    <row r="239" spans="1:23" s="3" customFormat="1" ht="19.5" customHeight="1">
      <c r="A239" s="48"/>
      <c r="B239" s="577"/>
      <c r="C239" s="117"/>
      <c r="D239" s="26"/>
      <c r="E239" s="26"/>
      <c r="F239" s="26"/>
      <c r="G239" s="26"/>
      <c r="H239" s="24"/>
      <c r="I239" s="571"/>
      <c r="J239" s="166"/>
      <c r="K239" s="166"/>
      <c r="L239" s="304"/>
      <c r="M239" s="304"/>
      <c r="N239" s="26"/>
      <c r="O239" s="26"/>
      <c r="P239" s="26"/>
      <c r="Q239" s="24"/>
      <c r="R239" s="24"/>
      <c r="S239" s="24"/>
      <c r="T239" s="24"/>
      <c r="U239" s="24"/>
      <c r="V239" s="24"/>
      <c r="W239" s="24"/>
    </row>
    <row r="240" spans="1:23" s="3" customFormat="1" ht="19.5" customHeight="1">
      <c r="A240" s="98" t="s">
        <v>425</v>
      </c>
      <c r="B240" s="574"/>
      <c r="C240" s="117"/>
      <c r="D240" s="26"/>
      <c r="E240" s="26"/>
      <c r="F240" s="26"/>
      <c r="G240" s="26"/>
      <c r="H240" s="24">
        <f>H242+H250</f>
        <v>205000</v>
      </c>
      <c r="I240" s="571"/>
      <c r="J240" s="166"/>
      <c r="K240" s="166"/>
      <c r="L240" s="304"/>
      <c r="M240" s="304"/>
      <c r="N240" s="26"/>
      <c r="O240" s="26"/>
      <c r="P240" s="26"/>
      <c r="Q240" s="24"/>
      <c r="R240" s="24"/>
      <c r="S240" s="24"/>
      <c r="T240" s="24"/>
      <c r="U240" s="24"/>
      <c r="V240" s="24"/>
      <c r="W240" s="24"/>
    </row>
    <row r="241" spans="1:23" s="3" customFormat="1" ht="19.5" customHeight="1">
      <c r="A241" s="48" t="s">
        <v>61</v>
      </c>
      <c r="B241" s="574"/>
      <c r="C241" s="117"/>
      <c r="D241" s="26"/>
      <c r="E241" s="26"/>
      <c r="F241" s="26"/>
      <c r="G241" s="26"/>
      <c r="H241" s="24"/>
      <c r="I241" s="571"/>
      <c r="J241" s="166"/>
      <c r="K241" s="166"/>
      <c r="L241" s="304"/>
      <c r="M241" s="304"/>
      <c r="N241" s="26"/>
      <c r="O241" s="26"/>
      <c r="P241" s="26"/>
      <c r="Q241" s="24"/>
      <c r="R241" s="24"/>
      <c r="S241" s="24"/>
      <c r="T241" s="24"/>
      <c r="U241" s="24"/>
      <c r="V241" s="24"/>
      <c r="W241" s="24"/>
    </row>
    <row r="242" spans="1:23" s="615" customFormat="1" ht="19.5" customHeight="1">
      <c r="A242" s="612"/>
      <c r="B242" s="613" t="s">
        <v>423</v>
      </c>
      <c r="C242" s="614"/>
      <c r="D242" s="171"/>
      <c r="E242" s="171"/>
      <c r="F242" s="171"/>
      <c r="G242" s="171"/>
      <c r="H242" s="611">
        <f>H245+H248</f>
        <v>85000</v>
      </c>
      <c r="I242" s="676"/>
      <c r="J242" s="677"/>
      <c r="K242" s="677"/>
      <c r="L242" s="678"/>
      <c r="M242" s="678"/>
      <c r="N242" s="171"/>
      <c r="O242" s="171"/>
      <c r="P242" s="171"/>
      <c r="Q242" s="611"/>
      <c r="R242" s="611"/>
      <c r="S242" s="611"/>
      <c r="T242" s="611"/>
      <c r="U242" s="611"/>
      <c r="V242" s="611"/>
      <c r="W242" s="611"/>
    </row>
    <row r="243" spans="1:23" s="3" customFormat="1" ht="19.5" customHeight="1">
      <c r="A243" s="48"/>
      <c r="B243" s="574" t="s">
        <v>406</v>
      </c>
      <c r="C243" s="117"/>
      <c r="D243" s="26"/>
      <c r="E243" s="26"/>
      <c r="F243" s="26"/>
      <c r="G243" s="26"/>
      <c r="H243" s="24"/>
      <c r="I243" s="571"/>
      <c r="J243" s="166"/>
      <c r="K243" s="166"/>
      <c r="L243" s="304"/>
      <c r="M243" s="304"/>
      <c r="N243" s="26"/>
      <c r="O243" s="26"/>
      <c r="P243" s="26"/>
      <c r="Q243" s="24"/>
      <c r="R243" s="24"/>
      <c r="S243" s="24"/>
      <c r="T243" s="24"/>
      <c r="U243" s="24"/>
      <c r="V243" s="24"/>
      <c r="W243" s="24"/>
    </row>
    <row r="244" spans="1:23" s="3" customFormat="1" ht="19.5" customHeight="1">
      <c r="A244" s="48"/>
      <c r="B244" s="574" t="s">
        <v>432</v>
      </c>
      <c r="C244" s="117"/>
      <c r="D244" s="26"/>
      <c r="E244" s="26"/>
      <c r="F244" s="26"/>
      <c r="G244" s="26"/>
      <c r="H244" s="24"/>
      <c r="I244" s="571"/>
      <c r="J244" s="166"/>
      <c r="K244" s="166"/>
      <c r="L244" s="304"/>
      <c r="M244" s="304"/>
      <c r="N244" s="26"/>
      <c r="O244" s="26"/>
      <c r="P244" s="26"/>
      <c r="Q244" s="24"/>
      <c r="R244" s="24"/>
      <c r="S244" s="24"/>
      <c r="T244" s="24"/>
      <c r="U244" s="24"/>
      <c r="V244" s="24"/>
      <c r="W244" s="24"/>
    </row>
    <row r="245" spans="1:23" s="3" customFormat="1" ht="19.5" customHeight="1">
      <c r="A245" s="48"/>
      <c r="B245" s="574" t="s">
        <v>437</v>
      </c>
      <c r="C245" s="117"/>
      <c r="D245" s="26"/>
      <c r="E245" s="26"/>
      <c r="F245" s="26"/>
      <c r="G245" s="26"/>
      <c r="H245" s="35">
        <v>30000</v>
      </c>
      <c r="I245" s="571"/>
      <c r="J245" s="166"/>
      <c r="K245" s="166"/>
      <c r="L245" s="304"/>
      <c r="M245" s="304"/>
      <c r="N245" s="26"/>
      <c r="O245" s="26"/>
      <c r="P245" s="26"/>
      <c r="Q245" s="24"/>
      <c r="R245" s="24"/>
      <c r="S245" s="24"/>
      <c r="T245" s="24"/>
      <c r="U245" s="24"/>
      <c r="V245" s="24"/>
      <c r="W245" s="24"/>
    </row>
    <row r="246" spans="1:23" s="3" customFormat="1" ht="19.5" customHeight="1">
      <c r="A246" s="116"/>
      <c r="B246" s="574" t="s">
        <v>407</v>
      </c>
      <c r="C246" s="117"/>
      <c r="D246" s="26"/>
      <c r="E246" s="26"/>
      <c r="F246" s="26"/>
      <c r="G246" s="26"/>
      <c r="H246" s="35"/>
      <c r="I246" s="571"/>
      <c r="J246" s="166"/>
      <c r="K246" s="166"/>
      <c r="L246" s="304"/>
      <c r="M246" s="304"/>
      <c r="N246" s="26"/>
      <c r="O246" s="26"/>
      <c r="P246" s="26"/>
      <c r="Q246" s="24"/>
      <c r="R246" s="24"/>
      <c r="S246" s="24"/>
      <c r="T246" s="24"/>
      <c r="U246" s="24"/>
      <c r="V246" s="24"/>
      <c r="W246" s="24"/>
    </row>
    <row r="247" spans="1:23" s="3" customFormat="1" ht="19.5" customHeight="1">
      <c r="A247" s="116"/>
      <c r="B247" s="128" t="s">
        <v>408</v>
      </c>
      <c r="C247" s="117"/>
      <c r="D247" s="26"/>
      <c r="E247" s="26"/>
      <c r="F247" s="26"/>
      <c r="G247" s="26"/>
      <c r="H247" s="35"/>
      <c r="I247" s="571"/>
      <c r="J247" s="166"/>
      <c r="K247" s="166"/>
      <c r="L247" s="304"/>
      <c r="M247" s="304"/>
      <c r="N247" s="26"/>
      <c r="O247" s="26"/>
      <c r="P247" s="26"/>
      <c r="Q247" s="24"/>
      <c r="R247" s="24"/>
      <c r="S247" s="24"/>
      <c r="T247" s="24"/>
      <c r="U247" s="24"/>
      <c r="V247" s="24"/>
      <c r="W247" s="24"/>
    </row>
    <row r="248" spans="1:23" s="3" customFormat="1" ht="19.5" customHeight="1">
      <c r="A248" s="116"/>
      <c r="B248" s="128" t="s">
        <v>409</v>
      </c>
      <c r="C248" s="117"/>
      <c r="D248" s="26"/>
      <c r="E248" s="26"/>
      <c r="F248" s="26"/>
      <c r="G248" s="26"/>
      <c r="H248" s="35">
        <v>55000</v>
      </c>
      <c r="I248" s="571"/>
      <c r="J248" s="166"/>
      <c r="K248" s="166"/>
      <c r="L248" s="304"/>
      <c r="M248" s="304"/>
      <c r="N248" s="26"/>
      <c r="O248" s="26"/>
      <c r="P248" s="26"/>
      <c r="Q248" s="24"/>
      <c r="R248" s="24"/>
      <c r="S248" s="24"/>
      <c r="T248" s="24"/>
      <c r="U248" s="24"/>
      <c r="V248" s="24"/>
      <c r="W248" s="24"/>
    </row>
    <row r="249" spans="1:23" s="3" customFormat="1" ht="19.5" customHeight="1">
      <c r="A249" s="116"/>
      <c r="B249" s="128"/>
      <c r="C249" s="117"/>
      <c r="D249" s="26"/>
      <c r="E249" s="26"/>
      <c r="F249" s="26"/>
      <c r="G249" s="26"/>
      <c r="H249" s="35"/>
      <c r="I249" s="571"/>
      <c r="J249" s="166"/>
      <c r="K249" s="166"/>
      <c r="L249" s="304"/>
      <c r="M249" s="304"/>
      <c r="N249" s="26"/>
      <c r="O249" s="26"/>
      <c r="P249" s="26"/>
      <c r="Q249" s="24"/>
      <c r="R249" s="24"/>
      <c r="S249" s="24"/>
      <c r="T249" s="24"/>
      <c r="U249" s="24"/>
      <c r="V249" s="24"/>
      <c r="W249" s="24"/>
    </row>
    <row r="250" spans="1:23" s="615" customFormat="1" ht="19.5" customHeight="1">
      <c r="A250" s="616"/>
      <c r="B250" s="613" t="s">
        <v>424</v>
      </c>
      <c r="C250" s="614"/>
      <c r="D250" s="171"/>
      <c r="E250" s="171"/>
      <c r="F250" s="171"/>
      <c r="G250" s="171"/>
      <c r="H250" s="611">
        <f>H251</f>
        <v>120000</v>
      </c>
      <c r="I250" s="676"/>
      <c r="J250" s="677"/>
      <c r="K250" s="677"/>
      <c r="L250" s="678"/>
      <c r="M250" s="678"/>
      <c r="N250" s="171"/>
      <c r="O250" s="171"/>
      <c r="P250" s="171"/>
      <c r="Q250" s="611"/>
      <c r="R250" s="611"/>
      <c r="S250" s="611"/>
      <c r="T250" s="611"/>
      <c r="U250" s="611"/>
      <c r="V250" s="611"/>
      <c r="W250" s="611"/>
    </row>
    <row r="251" spans="1:23" s="3" customFormat="1" ht="19.5" customHeight="1">
      <c r="A251" s="116"/>
      <c r="B251" s="574" t="s">
        <v>438</v>
      </c>
      <c r="C251" s="117"/>
      <c r="D251" s="26"/>
      <c r="E251" s="26"/>
      <c r="F251" s="26"/>
      <c r="G251" s="26"/>
      <c r="H251" s="35">
        <v>120000</v>
      </c>
      <c r="I251" s="571"/>
      <c r="J251" s="166"/>
      <c r="K251" s="166"/>
      <c r="L251" s="304"/>
      <c r="M251" s="304"/>
      <c r="N251" s="26"/>
      <c r="O251" s="26"/>
      <c r="P251" s="26"/>
      <c r="Q251" s="24"/>
      <c r="R251" s="24"/>
      <c r="S251" s="24"/>
      <c r="T251" s="24"/>
      <c r="U251" s="24"/>
      <c r="V251" s="24"/>
      <c r="W251" s="24"/>
    </row>
    <row r="252" spans="1:23" s="3" customFormat="1" ht="19.5" customHeight="1">
      <c r="A252" s="116"/>
      <c r="B252" s="574"/>
      <c r="C252" s="117"/>
      <c r="D252" s="26"/>
      <c r="E252" s="26"/>
      <c r="F252" s="26"/>
      <c r="G252" s="26"/>
      <c r="H252" s="35"/>
      <c r="I252" s="571"/>
      <c r="J252" s="166"/>
      <c r="K252" s="166"/>
      <c r="L252" s="304"/>
      <c r="M252" s="304"/>
      <c r="N252" s="26"/>
      <c r="O252" s="26"/>
      <c r="P252" s="26"/>
      <c r="Q252" s="24"/>
      <c r="R252" s="24"/>
      <c r="S252" s="24"/>
      <c r="T252" s="24"/>
      <c r="U252" s="24"/>
      <c r="V252" s="24"/>
      <c r="W252" s="24"/>
    </row>
    <row r="253" spans="1:23" s="3" customFormat="1" ht="19.5" customHeight="1">
      <c r="A253" s="116"/>
      <c r="B253" s="117"/>
      <c r="C253" s="117"/>
      <c r="D253" s="26"/>
      <c r="E253" s="26"/>
      <c r="F253" s="26"/>
      <c r="G253" s="26"/>
      <c r="H253" s="19"/>
      <c r="I253" s="571"/>
      <c r="J253" s="166"/>
      <c r="K253" s="166"/>
      <c r="L253" s="304"/>
      <c r="M253" s="304"/>
      <c r="N253" s="26"/>
      <c r="O253" s="26"/>
      <c r="P253" s="26"/>
      <c r="Q253" s="24"/>
      <c r="R253" s="24"/>
      <c r="S253" s="24"/>
      <c r="T253" s="24"/>
      <c r="U253" s="24"/>
      <c r="V253" s="24"/>
      <c r="W253" s="24"/>
    </row>
    <row r="254" spans="1:23" s="3" customFormat="1" ht="19.5" customHeight="1">
      <c r="A254" s="573" t="s">
        <v>336</v>
      </c>
      <c r="B254" s="128"/>
      <c r="C254" s="117"/>
      <c r="D254" s="34"/>
      <c r="E254" s="26"/>
      <c r="F254" s="26"/>
      <c r="G254" s="26"/>
      <c r="H254" s="19"/>
      <c r="I254" s="571"/>
      <c r="J254" s="166"/>
      <c r="K254" s="166"/>
      <c r="L254" s="304"/>
      <c r="M254" s="304"/>
      <c r="N254" s="26"/>
      <c r="O254" s="26"/>
      <c r="P254" s="26"/>
      <c r="Q254" s="24"/>
      <c r="R254" s="24"/>
      <c r="S254" s="24"/>
      <c r="T254" s="24"/>
      <c r="U254" s="24"/>
      <c r="V254" s="24"/>
      <c r="W254" s="24"/>
    </row>
    <row r="255" spans="1:23" s="3" customFormat="1" ht="19.5" customHeight="1">
      <c r="A255" s="573"/>
      <c r="B255" s="128"/>
      <c r="C255" s="117"/>
      <c r="D255" s="34"/>
      <c r="E255" s="26"/>
      <c r="F255" s="26"/>
      <c r="G255" s="26"/>
      <c r="H255" s="19"/>
      <c r="I255" s="571"/>
      <c r="J255" s="166"/>
      <c r="K255" s="166"/>
      <c r="L255" s="304"/>
      <c r="M255" s="304"/>
      <c r="N255" s="26"/>
      <c r="O255" s="26"/>
      <c r="P255" s="26"/>
      <c r="Q255" s="24"/>
      <c r="R255" s="24"/>
      <c r="S255" s="24"/>
      <c r="T255" s="24"/>
      <c r="U255" s="24"/>
      <c r="V255" s="24"/>
      <c r="W255" s="24"/>
    </row>
    <row r="256" spans="1:23" s="3" customFormat="1" ht="19.5" customHeight="1">
      <c r="A256" s="573"/>
      <c r="B256" s="128"/>
      <c r="C256" s="117"/>
      <c r="D256" s="34"/>
      <c r="E256" s="26"/>
      <c r="F256" s="26"/>
      <c r="G256" s="26"/>
      <c r="H256" s="19"/>
      <c r="I256" s="571"/>
      <c r="J256" s="166"/>
      <c r="K256" s="166"/>
      <c r="L256" s="304"/>
      <c r="M256" s="304"/>
      <c r="N256" s="26"/>
      <c r="O256" s="26"/>
      <c r="P256" s="26"/>
      <c r="Q256" s="24"/>
      <c r="R256" s="24"/>
      <c r="S256" s="24"/>
      <c r="T256" s="24"/>
      <c r="U256" s="24"/>
      <c r="V256" s="24"/>
      <c r="W256" s="24"/>
    </row>
    <row r="257" spans="1:23" s="3" customFormat="1" ht="19.5" customHeight="1">
      <c r="A257" s="576" t="s">
        <v>333</v>
      </c>
      <c r="B257" s="574"/>
      <c r="C257" s="117"/>
      <c r="D257" s="34"/>
      <c r="E257" s="34"/>
      <c r="F257" s="26"/>
      <c r="G257" s="26"/>
      <c r="H257" s="24">
        <f>H259+H264</f>
        <v>91613.6</v>
      </c>
      <c r="I257" s="571"/>
      <c r="J257" s="166"/>
      <c r="K257" s="166"/>
      <c r="L257" s="304"/>
      <c r="M257" s="304"/>
      <c r="N257" s="26"/>
      <c r="O257" s="26"/>
      <c r="P257" s="26"/>
      <c r="Q257" s="24"/>
      <c r="R257" s="24"/>
      <c r="S257" s="24"/>
      <c r="T257" s="24"/>
      <c r="U257" s="24"/>
      <c r="V257" s="24"/>
      <c r="W257" s="24"/>
    </row>
    <row r="258" spans="1:23" s="3" customFormat="1" ht="19.5" customHeight="1">
      <c r="A258" s="48" t="s">
        <v>61</v>
      </c>
      <c r="B258" s="574"/>
      <c r="C258" s="117"/>
      <c r="D258" s="34"/>
      <c r="E258" s="34"/>
      <c r="F258" s="26"/>
      <c r="G258" s="26"/>
      <c r="H258" s="24"/>
      <c r="I258" s="571"/>
      <c r="J258" s="166"/>
      <c r="K258" s="166"/>
      <c r="L258" s="304"/>
      <c r="M258" s="304"/>
      <c r="N258" s="26"/>
      <c r="O258" s="26"/>
      <c r="P258" s="26"/>
      <c r="Q258" s="24"/>
      <c r="R258" s="24"/>
      <c r="S258" s="24"/>
      <c r="T258" s="24"/>
      <c r="U258" s="24"/>
      <c r="V258" s="24"/>
      <c r="W258" s="24"/>
    </row>
    <row r="259" spans="1:23" s="3" customFormat="1" ht="19.5" customHeight="1">
      <c r="A259" s="98" t="s">
        <v>389</v>
      </c>
      <c r="B259" s="574"/>
      <c r="C259" s="117"/>
      <c r="D259" s="34"/>
      <c r="E259" s="34"/>
      <c r="F259" s="26"/>
      <c r="G259" s="26"/>
      <c r="H259" s="24">
        <f>H262</f>
        <v>50000</v>
      </c>
      <c r="I259" s="571"/>
      <c r="J259" s="166"/>
      <c r="K259" s="166"/>
      <c r="L259" s="304"/>
      <c r="M259" s="304"/>
      <c r="N259" s="26"/>
      <c r="O259" s="26"/>
      <c r="P259" s="26"/>
      <c r="Q259" s="24"/>
      <c r="R259" s="24"/>
      <c r="S259" s="24"/>
      <c r="T259" s="24"/>
      <c r="U259" s="24"/>
      <c r="V259" s="24"/>
      <c r="W259" s="24"/>
    </row>
    <row r="260" spans="1:23" s="3" customFormat="1" ht="19.5" customHeight="1">
      <c r="A260" s="116" t="s">
        <v>61</v>
      </c>
      <c r="B260" s="574"/>
      <c r="C260" s="117"/>
      <c r="D260" s="34"/>
      <c r="E260" s="34"/>
      <c r="F260" s="26"/>
      <c r="G260" s="26"/>
      <c r="H260" s="24"/>
      <c r="I260" s="571"/>
      <c r="J260" s="166"/>
      <c r="K260" s="166"/>
      <c r="L260" s="304"/>
      <c r="M260" s="304"/>
      <c r="N260" s="26"/>
      <c r="O260" s="26"/>
      <c r="P260" s="26"/>
      <c r="Q260" s="24"/>
      <c r="R260" s="24"/>
      <c r="S260" s="24"/>
      <c r="T260" s="24"/>
      <c r="U260" s="24"/>
      <c r="V260" s="24"/>
      <c r="W260" s="24"/>
    </row>
    <row r="261" spans="1:23" s="3" customFormat="1" ht="19.5" customHeight="1">
      <c r="A261" s="48"/>
      <c r="B261" s="574" t="s">
        <v>390</v>
      </c>
      <c r="C261" s="117"/>
      <c r="D261" s="34"/>
      <c r="E261" s="34"/>
      <c r="F261" s="26"/>
      <c r="G261" s="26"/>
      <c r="H261" s="24"/>
      <c r="I261" s="571"/>
      <c r="J261" s="166"/>
      <c r="K261" s="166"/>
      <c r="L261" s="304"/>
      <c r="M261" s="304"/>
      <c r="N261" s="26"/>
      <c r="O261" s="26"/>
      <c r="P261" s="26"/>
      <c r="Q261" s="24"/>
      <c r="R261" s="24"/>
      <c r="S261" s="24"/>
      <c r="T261" s="24"/>
      <c r="U261" s="24"/>
      <c r="V261" s="24"/>
      <c r="W261" s="24"/>
    </row>
    <row r="262" spans="1:23" s="3" customFormat="1" ht="19.5" customHeight="1">
      <c r="A262" s="48"/>
      <c r="B262" s="574" t="s">
        <v>391</v>
      </c>
      <c r="C262" s="117"/>
      <c r="D262" s="34"/>
      <c r="E262" s="34"/>
      <c r="F262" s="26"/>
      <c r="G262" s="26"/>
      <c r="H262" s="35">
        <v>50000</v>
      </c>
      <c r="I262" s="571"/>
      <c r="J262" s="166"/>
      <c r="K262" s="166"/>
      <c r="L262" s="304"/>
      <c r="M262" s="304"/>
      <c r="N262" s="26"/>
      <c r="O262" s="26"/>
      <c r="P262" s="26"/>
      <c r="Q262" s="24"/>
      <c r="R262" s="24"/>
      <c r="S262" s="24"/>
      <c r="T262" s="24"/>
      <c r="U262" s="24"/>
      <c r="V262" s="24"/>
      <c r="W262" s="24"/>
    </row>
    <row r="263" spans="1:23" s="3" customFormat="1" ht="19.5" customHeight="1">
      <c r="A263" s="48"/>
      <c r="B263" s="574"/>
      <c r="C263" s="117"/>
      <c r="D263" s="34"/>
      <c r="E263" s="34"/>
      <c r="F263" s="26"/>
      <c r="G263" s="26"/>
      <c r="H263" s="24"/>
      <c r="I263" s="571"/>
      <c r="J263" s="166"/>
      <c r="K263" s="166"/>
      <c r="L263" s="304"/>
      <c r="M263" s="304"/>
      <c r="N263" s="26"/>
      <c r="O263" s="26"/>
      <c r="P263" s="26"/>
      <c r="Q263" s="24"/>
      <c r="R263" s="24"/>
      <c r="S263" s="24"/>
      <c r="T263" s="24"/>
      <c r="U263" s="24"/>
      <c r="V263" s="24"/>
      <c r="W263" s="24"/>
    </row>
    <row r="264" spans="1:23" s="3" customFormat="1" ht="19.5" customHeight="1">
      <c r="A264" s="98" t="s">
        <v>334</v>
      </c>
      <c r="B264" s="574"/>
      <c r="C264" s="117"/>
      <c r="D264" s="34"/>
      <c r="E264" s="34"/>
      <c r="F264" s="34"/>
      <c r="G264" s="26"/>
      <c r="H264" s="24">
        <f>H266</f>
        <v>41613.6</v>
      </c>
      <c r="I264" s="571"/>
      <c r="J264" s="166"/>
      <c r="K264" s="166"/>
      <c r="L264" s="304"/>
      <c r="M264" s="304"/>
      <c r="N264" s="26"/>
      <c r="O264" s="26"/>
      <c r="P264" s="26"/>
      <c r="Q264" s="24"/>
      <c r="R264" s="24"/>
      <c r="S264" s="24"/>
      <c r="T264" s="24"/>
      <c r="U264" s="24"/>
      <c r="V264" s="24"/>
      <c r="W264" s="24"/>
    </row>
    <row r="265" spans="1:23" s="3" customFormat="1" ht="19.5" customHeight="1">
      <c r="A265" s="116" t="s">
        <v>61</v>
      </c>
      <c r="B265" s="117"/>
      <c r="C265" s="117"/>
      <c r="D265" s="26"/>
      <c r="E265" s="26"/>
      <c r="F265" s="26"/>
      <c r="G265" s="26"/>
      <c r="H265" s="24"/>
      <c r="I265" s="571"/>
      <c r="J265" s="166"/>
      <c r="K265" s="166"/>
      <c r="L265" s="304"/>
      <c r="M265" s="304"/>
      <c r="N265" s="26"/>
      <c r="O265" s="26"/>
      <c r="P265" s="26"/>
      <c r="Q265" s="24"/>
      <c r="R265" s="24"/>
      <c r="S265" s="24"/>
      <c r="T265" s="24"/>
      <c r="U265" s="24"/>
      <c r="V265" s="24"/>
      <c r="W265" s="24"/>
    </row>
    <row r="266" spans="1:23" s="3" customFormat="1" ht="19.5" customHeight="1">
      <c r="A266" s="116"/>
      <c r="B266" s="577" t="s">
        <v>214</v>
      </c>
      <c r="C266" s="578"/>
      <c r="D266" s="21"/>
      <c r="E266" s="15"/>
      <c r="F266" s="34"/>
      <c r="G266" s="26"/>
      <c r="H266" s="35">
        <v>41613.6</v>
      </c>
      <c r="I266" s="571"/>
      <c r="J266" s="166"/>
      <c r="K266" s="166"/>
      <c r="L266" s="304"/>
      <c r="M266" s="304"/>
      <c r="N266" s="26"/>
      <c r="O266" s="26"/>
      <c r="P266" s="26"/>
      <c r="Q266" s="24"/>
      <c r="R266" s="24"/>
      <c r="S266" s="24"/>
      <c r="T266" s="24"/>
      <c r="U266" s="24"/>
      <c r="V266" s="24"/>
      <c r="W266" s="24"/>
    </row>
    <row r="267" spans="1:23" s="3" customFormat="1" ht="19.5" customHeight="1">
      <c r="A267" s="116"/>
      <c r="B267" s="577"/>
      <c r="C267" s="578"/>
      <c r="D267" s="21"/>
      <c r="E267" s="15"/>
      <c r="F267" s="26"/>
      <c r="G267" s="26"/>
      <c r="H267" s="35"/>
      <c r="I267" s="571"/>
      <c r="J267" s="166"/>
      <c r="K267" s="166"/>
      <c r="L267" s="304"/>
      <c r="M267" s="304"/>
      <c r="N267" s="26"/>
      <c r="O267" s="26"/>
      <c r="P267" s="26"/>
      <c r="Q267" s="24"/>
      <c r="R267" s="24"/>
      <c r="S267" s="24"/>
      <c r="T267" s="24"/>
      <c r="U267" s="24"/>
      <c r="V267" s="24"/>
      <c r="W267" s="24"/>
    </row>
    <row r="268" spans="1:23" s="3" customFormat="1" ht="19.5" customHeight="1">
      <c r="A268" s="116"/>
      <c r="B268" s="577"/>
      <c r="C268" s="578"/>
      <c r="D268" s="21"/>
      <c r="E268" s="15"/>
      <c r="F268" s="26"/>
      <c r="G268" s="26"/>
      <c r="H268" s="35"/>
      <c r="I268" s="571"/>
      <c r="J268" s="166"/>
      <c r="K268" s="166"/>
      <c r="L268" s="304"/>
      <c r="M268" s="304"/>
      <c r="N268" s="26"/>
      <c r="O268" s="26"/>
      <c r="P268" s="26"/>
      <c r="Q268" s="24"/>
      <c r="R268" s="24"/>
      <c r="S268" s="24"/>
      <c r="T268" s="24"/>
      <c r="U268" s="24"/>
      <c r="V268" s="24"/>
      <c r="W268" s="24"/>
    </row>
    <row r="269" spans="1:23" s="3" customFormat="1" ht="19.5" customHeight="1">
      <c r="A269" s="576" t="s">
        <v>335</v>
      </c>
      <c r="B269" s="577"/>
      <c r="C269" s="578"/>
      <c r="D269" s="21"/>
      <c r="E269" s="15"/>
      <c r="F269" s="26"/>
      <c r="G269" s="26"/>
      <c r="H269" s="24">
        <f>H271+H278</f>
        <v>270000</v>
      </c>
      <c r="I269" s="571"/>
      <c r="J269" s="166"/>
      <c r="K269" s="166"/>
      <c r="L269" s="304"/>
      <c r="M269" s="304"/>
      <c r="N269" s="26"/>
      <c r="O269" s="26"/>
      <c r="P269" s="26"/>
      <c r="Q269" s="24"/>
      <c r="R269" s="24"/>
      <c r="S269" s="24"/>
      <c r="T269" s="24"/>
      <c r="U269" s="24"/>
      <c r="V269" s="24"/>
      <c r="W269" s="24"/>
    </row>
    <row r="270" spans="1:23" s="3" customFormat="1" ht="19.5" customHeight="1">
      <c r="A270" s="48" t="s">
        <v>61</v>
      </c>
      <c r="B270" s="577"/>
      <c r="C270" s="578"/>
      <c r="D270" s="21"/>
      <c r="E270" s="15"/>
      <c r="F270" s="26"/>
      <c r="G270" s="26"/>
      <c r="H270" s="35"/>
      <c r="I270" s="571"/>
      <c r="J270" s="166"/>
      <c r="K270" s="166"/>
      <c r="L270" s="304"/>
      <c r="M270" s="304"/>
      <c r="N270" s="26"/>
      <c r="O270" s="26"/>
      <c r="P270" s="26"/>
      <c r="Q270" s="24"/>
      <c r="R270" s="24"/>
      <c r="S270" s="24"/>
      <c r="T270" s="24"/>
      <c r="U270" s="24"/>
      <c r="V270" s="24"/>
      <c r="W270" s="24"/>
    </row>
    <row r="271" spans="1:23" s="3" customFormat="1" ht="19.5" customHeight="1">
      <c r="A271" s="98" t="s">
        <v>392</v>
      </c>
      <c r="B271" s="577"/>
      <c r="C271" s="578"/>
      <c r="D271" s="21"/>
      <c r="E271" s="15"/>
      <c r="F271" s="26"/>
      <c r="G271" s="26"/>
      <c r="H271" s="24">
        <f>H274+H276</f>
        <v>120000</v>
      </c>
      <c r="I271" s="571"/>
      <c r="J271" s="166"/>
      <c r="K271" s="166"/>
      <c r="L271" s="304"/>
      <c r="M271" s="304"/>
      <c r="N271" s="26"/>
      <c r="O271" s="26"/>
      <c r="P271" s="26"/>
      <c r="Q271" s="24"/>
      <c r="R271" s="24"/>
      <c r="S271" s="24"/>
      <c r="T271" s="24"/>
      <c r="U271" s="24"/>
      <c r="V271" s="24"/>
      <c r="W271" s="24"/>
    </row>
    <row r="272" spans="1:23" s="3" customFormat="1" ht="19.5" customHeight="1">
      <c r="A272" s="48" t="s">
        <v>61</v>
      </c>
      <c r="B272" s="577"/>
      <c r="C272" s="578"/>
      <c r="D272" s="21"/>
      <c r="E272" s="15"/>
      <c r="F272" s="26"/>
      <c r="G272" s="26"/>
      <c r="H272" s="35"/>
      <c r="I272" s="571"/>
      <c r="J272" s="166"/>
      <c r="K272" s="166"/>
      <c r="L272" s="304"/>
      <c r="M272" s="304"/>
      <c r="N272" s="26"/>
      <c r="O272" s="26"/>
      <c r="P272" s="26"/>
      <c r="Q272" s="24"/>
      <c r="R272" s="24"/>
      <c r="S272" s="24"/>
      <c r="T272" s="24"/>
      <c r="U272" s="24"/>
      <c r="V272" s="24"/>
      <c r="W272" s="24"/>
    </row>
    <row r="273" spans="1:23" s="3" customFormat="1" ht="19.5" customHeight="1">
      <c r="A273" s="116"/>
      <c r="B273" s="577" t="s">
        <v>393</v>
      </c>
      <c r="C273" s="578"/>
      <c r="D273" s="21"/>
      <c r="E273" s="15"/>
      <c r="F273" s="26"/>
      <c r="G273" s="26"/>
      <c r="H273" s="35"/>
      <c r="I273" s="571"/>
      <c r="J273" s="166"/>
      <c r="K273" s="166"/>
      <c r="L273" s="304"/>
      <c r="M273" s="304"/>
      <c r="N273" s="26"/>
      <c r="O273" s="26"/>
      <c r="P273" s="26"/>
      <c r="Q273" s="24"/>
      <c r="R273" s="24"/>
      <c r="S273" s="24"/>
      <c r="T273" s="24"/>
      <c r="U273" s="24"/>
      <c r="V273" s="24"/>
      <c r="W273" s="24"/>
    </row>
    <row r="274" spans="1:23" s="3" customFormat="1" ht="19.5" customHeight="1">
      <c r="A274" s="116"/>
      <c r="B274" s="577" t="s">
        <v>394</v>
      </c>
      <c r="C274" s="578"/>
      <c r="D274" s="21"/>
      <c r="E274" s="15"/>
      <c r="F274" s="26"/>
      <c r="G274" s="26"/>
      <c r="H274" s="35">
        <v>50000</v>
      </c>
      <c r="I274" s="571"/>
      <c r="J274" s="166"/>
      <c r="K274" s="166"/>
      <c r="L274" s="304"/>
      <c r="M274" s="304"/>
      <c r="N274" s="26"/>
      <c r="O274" s="26"/>
      <c r="P274" s="26"/>
      <c r="Q274" s="24"/>
      <c r="R274" s="24"/>
      <c r="S274" s="24"/>
      <c r="T274" s="24"/>
      <c r="U274" s="24"/>
      <c r="V274" s="24"/>
      <c r="W274" s="24"/>
    </row>
    <row r="275" spans="1:23" s="3" customFormat="1" ht="19.5" customHeight="1">
      <c r="A275" s="116"/>
      <c r="B275" s="577"/>
      <c r="C275" s="578"/>
      <c r="D275" s="21"/>
      <c r="E275" s="15"/>
      <c r="F275" s="26"/>
      <c r="G275" s="26"/>
      <c r="H275" s="35"/>
      <c r="I275" s="571"/>
      <c r="J275" s="166"/>
      <c r="K275" s="166"/>
      <c r="L275" s="304"/>
      <c r="M275" s="304"/>
      <c r="N275" s="26"/>
      <c r="O275" s="26"/>
      <c r="P275" s="26"/>
      <c r="Q275" s="24"/>
      <c r="R275" s="24"/>
      <c r="S275" s="24"/>
      <c r="T275" s="24"/>
      <c r="U275" s="24"/>
      <c r="V275" s="24"/>
      <c r="W275" s="24"/>
    </row>
    <row r="276" spans="1:23" s="3" customFormat="1" ht="19.5" customHeight="1">
      <c r="A276" s="116"/>
      <c r="B276" s="577" t="s">
        <v>404</v>
      </c>
      <c r="C276" s="578"/>
      <c r="D276" s="21"/>
      <c r="E276" s="15"/>
      <c r="F276" s="26"/>
      <c r="G276" s="26"/>
      <c r="H276" s="35">
        <v>70000</v>
      </c>
      <c r="I276" s="571"/>
      <c r="J276" s="166"/>
      <c r="K276" s="166"/>
      <c r="L276" s="304"/>
      <c r="M276" s="304"/>
      <c r="N276" s="26"/>
      <c r="O276" s="26"/>
      <c r="P276" s="26"/>
      <c r="Q276" s="24"/>
      <c r="R276" s="24"/>
      <c r="S276" s="24"/>
      <c r="T276" s="24"/>
      <c r="U276" s="24"/>
      <c r="V276" s="24"/>
      <c r="W276" s="24"/>
    </row>
    <row r="277" spans="1:23" s="3" customFormat="1" ht="19.5" customHeight="1">
      <c r="A277" s="116"/>
      <c r="B277" s="577"/>
      <c r="C277" s="578"/>
      <c r="D277" s="21"/>
      <c r="E277" s="15"/>
      <c r="F277" s="26"/>
      <c r="G277" s="26"/>
      <c r="H277" s="35"/>
      <c r="I277" s="571"/>
      <c r="J277" s="166"/>
      <c r="K277" s="166"/>
      <c r="L277" s="304"/>
      <c r="M277" s="304"/>
      <c r="N277" s="26"/>
      <c r="O277" s="26"/>
      <c r="P277" s="26"/>
      <c r="Q277" s="24"/>
      <c r="R277" s="24"/>
      <c r="S277" s="24"/>
      <c r="T277" s="24"/>
      <c r="U277" s="24"/>
      <c r="V277" s="24"/>
      <c r="W277" s="24"/>
    </row>
    <row r="278" spans="1:23" s="3" customFormat="1" ht="19.5" customHeight="1">
      <c r="A278" s="98" t="s">
        <v>397</v>
      </c>
      <c r="B278" s="577"/>
      <c r="C278" s="578"/>
      <c r="D278" s="21"/>
      <c r="E278" s="15"/>
      <c r="F278" s="26"/>
      <c r="G278" s="26"/>
      <c r="H278" s="24">
        <f>H280</f>
        <v>150000</v>
      </c>
      <c r="I278" s="571"/>
      <c r="J278" s="166"/>
      <c r="K278" s="166"/>
      <c r="L278" s="304"/>
      <c r="M278" s="304"/>
      <c r="N278" s="26"/>
      <c r="O278" s="26"/>
      <c r="P278" s="26"/>
      <c r="Q278" s="24"/>
      <c r="R278" s="24"/>
      <c r="S278" s="24"/>
      <c r="T278" s="24"/>
      <c r="U278" s="24"/>
      <c r="V278" s="24"/>
      <c r="W278" s="24"/>
    </row>
    <row r="279" spans="1:23" s="3" customFormat="1" ht="19.5" customHeight="1">
      <c r="A279" s="48" t="s">
        <v>61</v>
      </c>
      <c r="B279" s="577"/>
      <c r="C279" s="578"/>
      <c r="D279" s="21"/>
      <c r="E279" s="15"/>
      <c r="F279" s="26"/>
      <c r="G279" s="26"/>
      <c r="H279" s="35"/>
      <c r="I279" s="571"/>
      <c r="J279" s="166"/>
      <c r="K279" s="166"/>
      <c r="L279" s="304"/>
      <c r="M279" s="304"/>
      <c r="N279" s="26"/>
      <c r="O279" s="26"/>
      <c r="P279" s="26"/>
      <c r="Q279" s="24"/>
      <c r="R279" s="24"/>
      <c r="S279" s="24"/>
      <c r="T279" s="24"/>
      <c r="U279" s="24"/>
      <c r="V279" s="24"/>
      <c r="W279" s="24"/>
    </row>
    <row r="280" spans="1:23" s="3" customFormat="1" ht="19.5" customHeight="1">
      <c r="A280" s="116"/>
      <c r="B280" s="577" t="s">
        <v>439</v>
      </c>
      <c r="C280" s="578"/>
      <c r="D280" s="21"/>
      <c r="E280" s="15"/>
      <c r="F280" s="26"/>
      <c r="G280" s="26"/>
      <c r="H280" s="35">
        <v>150000</v>
      </c>
      <c r="I280" s="571"/>
      <c r="J280" s="166"/>
      <c r="K280" s="166"/>
      <c r="L280" s="304"/>
      <c r="M280" s="304"/>
      <c r="N280" s="26"/>
      <c r="O280" s="26"/>
      <c r="P280" s="26"/>
      <c r="Q280" s="24"/>
      <c r="R280" s="24"/>
      <c r="S280" s="24"/>
      <c r="T280" s="24"/>
      <c r="U280" s="24"/>
      <c r="V280" s="24"/>
      <c r="W280" s="24"/>
    </row>
    <row r="281" spans="1:23" s="3" customFormat="1" ht="19.5" customHeight="1">
      <c r="A281" s="130"/>
      <c r="B281" s="130"/>
      <c r="C281" s="129"/>
      <c r="D281" s="21"/>
      <c r="E281" s="15"/>
      <c r="F281" s="34"/>
      <c r="G281" s="34"/>
      <c r="H281" s="35"/>
      <c r="I281" s="571"/>
      <c r="J281" s="575"/>
      <c r="K281" s="166"/>
      <c r="L281" s="575"/>
      <c r="M281" s="575"/>
      <c r="N281" s="34"/>
      <c r="O281" s="34"/>
      <c r="P281" s="34"/>
      <c r="Q281" s="35"/>
      <c r="R281" s="35"/>
      <c r="S281" s="35"/>
      <c r="T281" s="35"/>
      <c r="U281" s="35"/>
      <c r="V281" s="35"/>
      <c r="W281" s="35"/>
    </row>
    <row r="282" spans="1:23" s="3" customFormat="1" ht="19.5" customHeight="1">
      <c r="A282" s="130" t="s">
        <v>337</v>
      </c>
      <c r="B282" s="130"/>
      <c r="C282" s="129"/>
      <c r="D282" s="21"/>
      <c r="E282" s="15"/>
      <c r="F282" s="34"/>
      <c r="G282" s="34"/>
      <c r="H282" s="35"/>
      <c r="I282" s="571"/>
      <c r="J282" s="575"/>
      <c r="K282" s="166"/>
      <c r="L282" s="575"/>
      <c r="M282" s="575"/>
      <c r="N282" s="34"/>
      <c r="O282" s="34"/>
      <c r="P282" s="34"/>
      <c r="Q282" s="35"/>
      <c r="R282" s="35"/>
      <c r="S282" s="35"/>
      <c r="T282" s="35"/>
      <c r="U282" s="35"/>
      <c r="V282" s="35"/>
      <c r="W282" s="35"/>
    </row>
    <row r="283" spans="1:23" s="3" customFormat="1" ht="19.5" customHeight="1">
      <c r="A283" s="130" t="s">
        <v>155</v>
      </c>
      <c r="B283" s="130"/>
      <c r="C283" s="129"/>
      <c r="D283" s="21"/>
      <c r="E283" s="15"/>
      <c r="F283" s="34"/>
      <c r="G283" s="34"/>
      <c r="H283" s="35"/>
      <c r="I283" s="571"/>
      <c r="J283" s="575"/>
      <c r="K283" s="166"/>
      <c r="L283" s="575"/>
      <c r="M283" s="575"/>
      <c r="N283" s="34"/>
      <c r="O283" s="34"/>
      <c r="P283" s="34"/>
      <c r="Q283" s="35"/>
      <c r="R283" s="35"/>
      <c r="S283" s="35"/>
      <c r="T283" s="35"/>
      <c r="U283" s="35"/>
      <c r="V283" s="35"/>
      <c r="W283" s="35"/>
    </row>
    <row r="284" spans="1:23" s="3" customFormat="1" ht="19.5" customHeight="1">
      <c r="A284" s="130"/>
      <c r="B284" s="130"/>
      <c r="C284" s="129"/>
      <c r="D284" s="21"/>
      <c r="E284" s="15"/>
      <c r="F284" s="34"/>
      <c r="G284" s="34"/>
      <c r="H284" s="35"/>
      <c r="I284" s="571"/>
      <c r="J284" s="575"/>
      <c r="K284" s="166"/>
      <c r="L284" s="575"/>
      <c r="M284" s="575"/>
      <c r="N284" s="34"/>
      <c r="O284" s="34"/>
      <c r="P284" s="34"/>
      <c r="Q284" s="35"/>
      <c r="R284" s="35"/>
      <c r="S284" s="35"/>
      <c r="T284" s="35"/>
      <c r="U284" s="35"/>
      <c r="V284" s="35"/>
      <c r="W284" s="35"/>
    </row>
    <row r="285" spans="1:23" s="3" customFormat="1" ht="19.5" customHeight="1">
      <c r="A285" s="130"/>
      <c r="B285" s="130"/>
      <c r="C285" s="129"/>
      <c r="D285" s="21"/>
      <c r="E285" s="15"/>
      <c r="F285" s="34"/>
      <c r="G285" s="34"/>
      <c r="H285" s="35"/>
      <c r="I285" s="571"/>
      <c r="J285" s="575"/>
      <c r="K285" s="166"/>
      <c r="L285" s="575"/>
      <c r="M285" s="575"/>
      <c r="N285" s="34"/>
      <c r="O285" s="34"/>
      <c r="P285" s="34"/>
      <c r="Q285" s="35"/>
      <c r="R285" s="35"/>
      <c r="S285" s="35"/>
      <c r="T285" s="35"/>
      <c r="U285" s="35"/>
      <c r="V285" s="35"/>
      <c r="W285" s="35"/>
    </row>
    <row r="286" spans="1:23" s="3" customFormat="1" ht="19.5" customHeight="1">
      <c r="A286" s="177" t="s">
        <v>447</v>
      </c>
      <c r="B286" s="154"/>
      <c r="C286" s="154"/>
      <c r="D286" s="131"/>
      <c r="E286" s="131"/>
      <c r="F286" s="34"/>
      <c r="G286" s="34"/>
      <c r="H286" s="35"/>
      <c r="I286" s="571"/>
      <c r="J286" s="575"/>
      <c r="K286" s="166"/>
      <c r="L286" s="575"/>
      <c r="M286" s="575"/>
      <c r="N286" s="34"/>
      <c r="O286" s="34"/>
      <c r="P286" s="34"/>
      <c r="Q286" s="35"/>
      <c r="R286" s="35"/>
      <c r="S286" s="35"/>
      <c r="T286" s="35"/>
      <c r="U286" s="35"/>
      <c r="V286" s="35"/>
      <c r="W286" s="35"/>
    </row>
    <row r="287" spans="1:23" s="3" customFormat="1" ht="19.5" customHeight="1">
      <c r="A287" s="178" t="s">
        <v>53</v>
      </c>
      <c r="B287" s="154"/>
      <c r="C287" s="154"/>
      <c r="D287" s="131"/>
      <c r="E287" s="131"/>
      <c r="F287" s="34"/>
      <c r="G287" s="34"/>
      <c r="H287" s="35"/>
      <c r="I287" s="571"/>
      <c r="J287" s="575"/>
      <c r="K287" s="166"/>
      <c r="L287" s="575"/>
      <c r="M287" s="575"/>
      <c r="N287" s="34"/>
      <c r="O287" s="34"/>
      <c r="P287" s="34"/>
      <c r="Q287" s="35"/>
      <c r="R287" s="35"/>
      <c r="S287" s="35"/>
      <c r="T287" s="35"/>
      <c r="U287" s="35"/>
      <c r="V287" s="35"/>
      <c r="W287" s="35"/>
    </row>
    <row r="288" spans="1:23" s="3" customFormat="1" ht="19.5" customHeight="1">
      <c r="A288" s="178" t="s">
        <v>339</v>
      </c>
      <c r="B288" s="94"/>
      <c r="C288" s="45"/>
      <c r="D288" s="15"/>
      <c r="E288" s="15"/>
      <c r="F288" s="34"/>
      <c r="G288" s="34"/>
      <c r="H288" s="35"/>
      <c r="I288" s="571"/>
      <c r="J288" s="575"/>
      <c r="K288" s="166"/>
      <c r="L288" s="575"/>
      <c r="M288" s="575"/>
      <c r="N288" s="34"/>
      <c r="O288" s="34"/>
      <c r="P288" s="34"/>
      <c r="Q288" s="35"/>
      <c r="R288" s="35"/>
      <c r="S288" s="35"/>
      <c r="T288" s="35"/>
      <c r="U288" s="35"/>
      <c r="V288" s="35"/>
      <c r="W288" s="35"/>
    </row>
    <row r="289" spans="1:23" s="3" customFormat="1" ht="19.5" customHeight="1">
      <c r="A289" s="177"/>
      <c r="B289" s="45"/>
      <c r="C289" s="45"/>
      <c r="D289" s="15"/>
      <c r="E289" s="15"/>
      <c r="F289" s="34"/>
      <c r="G289" s="34"/>
      <c r="H289" s="35"/>
      <c r="I289" s="571"/>
      <c r="J289" s="575"/>
      <c r="K289" s="166"/>
      <c r="L289" s="575"/>
      <c r="M289" s="575"/>
      <c r="N289" s="34"/>
      <c r="O289" s="34"/>
      <c r="P289" s="34"/>
      <c r="Q289" s="35"/>
      <c r="R289" s="35"/>
      <c r="S289" s="35"/>
      <c r="T289" s="35"/>
      <c r="U289" s="35"/>
      <c r="V289" s="35"/>
      <c r="W289" s="35"/>
    </row>
    <row r="290" spans="1:23" s="3" customFormat="1" ht="19.5" customHeight="1">
      <c r="A290" s="177"/>
      <c r="B290" s="45"/>
      <c r="C290" s="45"/>
      <c r="D290" s="15"/>
      <c r="E290" s="15"/>
      <c r="F290" s="34"/>
      <c r="G290" s="34"/>
      <c r="H290" s="35"/>
      <c r="I290" s="571"/>
      <c r="J290" s="575"/>
      <c r="K290" s="166"/>
      <c r="L290" s="575"/>
      <c r="M290" s="575"/>
      <c r="N290" s="34"/>
      <c r="O290" s="34"/>
      <c r="P290" s="34"/>
      <c r="Q290" s="35"/>
      <c r="R290" s="35"/>
      <c r="S290" s="35"/>
      <c r="T290" s="35"/>
      <c r="U290" s="35"/>
      <c r="V290" s="35"/>
      <c r="W290" s="35"/>
    </row>
    <row r="291" spans="1:23" s="3" customFormat="1" ht="19.5" customHeight="1">
      <c r="A291" s="177" t="s">
        <v>448</v>
      </c>
      <c r="B291" s="154"/>
      <c r="C291" s="154"/>
      <c r="D291" s="131"/>
      <c r="E291" s="131"/>
      <c r="F291" s="131"/>
      <c r="G291" s="131"/>
      <c r="H291" s="35"/>
      <c r="I291" s="571"/>
      <c r="J291" s="575"/>
      <c r="K291" s="166"/>
      <c r="L291" s="575"/>
      <c r="M291" s="575"/>
      <c r="N291" s="34"/>
      <c r="O291" s="34"/>
      <c r="P291" s="34"/>
      <c r="Q291" s="35"/>
      <c r="R291" s="35"/>
      <c r="S291" s="35"/>
      <c r="T291" s="35"/>
      <c r="U291" s="35"/>
      <c r="V291" s="35"/>
      <c r="W291" s="35"/>
    </row>
    <row r="292" spans="1:23" s="3" customFormat="1" ht="19.5" customHeight="1">
      <c r="A292" s="178" t="s">
        <v>132</v>
      </c>
      <c r="B292" s="154"/>
      <c r="C292" s="154"/>
      <c r="D292" s="131"/>
      <c r="E292" s="131"/>
      <c r="F292" s="131"/>
      <c r="G292" s="131"/>
      <c r="H292" s="35"/>
      <c r="I292" s="571"/>
      <c r="J292" s="575"/>
      <c r="K292" s="166"/>
      <c r="L292" s="575"/>
      <c r="M292" s="575"/>
      <c r="N292" s="34"/>
      <c r="O292" s="34"/>
      <c r="P292" s="34"/>
      <c r="Q292" s="35"/>
      <c r="R292" s="35"/>
      <c r="S292" s="35"/>
      <c r="T292" s="35"/>
      <c r="U292" s="35"/>
      <c r="V292" s="35"/>
      <c r="W292" s="35"/>
    </row>
    <row r="293" spans="1:23" s="3" customFormat="1" ht="19.5" customHeight="1">
      <c r="A293" s="177" t="s">
        <v>340</v>
      </c>
      <c r="B293" s="94"/>
      <c r="C293" s="45"/>
      <c r="D293" s="131"/>
      <c r="E293" s="131"/>
      <c r="F293" s="131"/>
      <c r="G293" s="131"/>
      <c r="H293" s="35"/>
      <c r="I293" s="571"/>
      <c r="J293" s="575"/>
      <c r="K293" s="166"/>
      <c r="L293" s="575"/>
      <c r="M293" s="575"/>
      <c r="N293" s="34"/>
      <c r="O293" s="34"/>
      <c r="P293" s="34"/>
      <c r="Q293" s="35"/>
      <c r="R293" s="35"/>
      <c r="S293" s="35"/>
      <c r="T293" s="35"/>
      <c r="U293" s="35"/>
      <c r="V293" s="35"/>
      <c r="W293" s="35"/>
    </row>
    <row r="294" spans="1:23" s="3" customFormat="1" ht="19.5" customHeight="1">
      <c r="A294" s="177"/>
      <c r="B294" s="45"/>
      <c r="C294" s="45"/>
      <c r="D294" s="15"/>
      <c r="E294" s="15"/>
      <c r="F294" s="34"/>
      <c r="G294" s="34"/>
      <c r="H294" s="35"/>
      <c r="I294" s="571"/>
      <c r="J294" s="575"/>
      <c r="K294" s="166"/>
      <c r="L294" s="575"/>
      <c r="M294" s="575"/>
      <c r="N294" s="34"/>
      <c r="O294" s="34"/>
      <c r="P294" s="34"/>
      <c r="Q294" s="35"/>
      <c r="R294" s="35"/>
      <c r="S294" s="35"/>
      <c r="T294" s="35"/>
      <c r="U294" s="35"/>
      <c r="V294" s="35"/>
      <c r="W294" s="35"/>
    </row>
    <row r="295" spans="1:23" s="3" customFormat="1" ht="19.5" customHeight="1">
      <c r="A295" s="130"/>
      <c r="B295" s="130"/>
      <c r="C295" s="129"/>
      <c r="D295" s="21"/>
      <c r="E295" s="15"/>
      <c r="F295" s="34"/>
      <c r="G295" s="34"/>
      <c r="H295" s="35"/>
      <c r="I295" s="571"/>
      <c r="J295" s="575"/>
      <c r="K295" s="166"/>
      <c r="L295" s="575"/>
      <c r="M295" s="575"/>
      <c r="N295" s="34"/>
      <c r="O295" s="34"/>
      <c r="P295" s="34"/>
      <c r="Q295" s="35"/>
      <c r="R295" s="35"/>
      <c r="S295" s="35"/>
      <c r="T295" s="35"/>
      <c r="U295" s="35"/>
      <c r="V295" s="35"/>
      <c r="W295" s="35"/>
    </row>
    <row r="296" spans="1:23" ht="19.5" customHeight="1">
      <c r="A296" s="155" t="s">
        <v>338</v>
      </c>
      <c r="B296" s="45"/>
      <c r="C296" s="45"/>
      <c r="D296" s="15"/>
      <c r="E296" s="15"/>
      <c r="F296" s="15"/>
      <c r="G296" s="108"/>
      <c r="H296" s="16"/>
      <c r="I296" s="669"/>
      <c r="J296" s="176"/>
      <c r="K296" s="182"/>
      <c r="L296" s="293"/>
      <c r="M296" s="293"/>
      <c r="N296" s="294"/>
      <c r="O296" s="294"/>
      <c r="P296" s="11"/>
      <c r="Q296" s="97"/>
      <c r="R296" s="97"/>
      <c r="S296" s="97"/>
      <c r="T296" s="97"/>
      <c r="U296" s="97"/>
      <c r="V296" s="97"/>
      <c r="W296" s="97"/>
    </row>
    <row r="297" spans="1:23" ht="19.5" customHeight="1">
      <c r="A297" s="155"/>
      <c r="B297" s="45"/>
      <c r="C297" s="45"/>
      <c r="D297" s="15"/>
      <c r="E297" s="15"/>
      <c r="F297" s="15"/>
      <c r="G297" s="108"/>
      <c r="H297" s="102"/>
      <c r="I297" s="669"/>
      <c r="J297" s="176"/>
      <c r="K297" s="182"/>
      <c r="L297" s="293"/>
      <c r="M297" s="293"/>
      <c r="N297" s="294"/>
      <c r="O297" s="294"/>
      <c r="P297" s="11"/>
      <c r="Q297" s="97"/>
      <c r="R297" s="97"/>
      <c r="S297" s="97"/>
      <c r="T297" s="97"/>
      <c r="U297" s="97"/>
      <c r="V297" s="97"/>
      <c r="W297" s="97"/>
    </row>
    <row r="298" spans="1:23" ht="19.5" customHeight="1">
      <c r="A298" s="158" t="s">
        <v>97</v>
      </c>
      <c r="B298" s="112"/>
      <c r="C298" s="159"/>
      <c r="D298" s="160"/>
      <c r="E298" s="15"/>
      <c r="F298" s="15"/>
      <c r="G298" s="102"/>
      <c r="H298" s="102">
        <f>71772.82+641175.6</f>
        <v>712948.4199999999</v>
      </c>
      <c r="I298" s="669"/>
      <c r="J298" s="303"/>
      <c r="K298" s="182"/>
      <c r="L298" s="293"/>
      <c r="M298" s="293"/>
      <c r="N298" s="294"/>
      <c r="O298" s="294"/>
      <c r="P298" s="11"/>
      <c r="Q298" s="97"/>
      <c r="R298" s="97"/>
      <c r="S298" s="97"/>
      <c r="T298" s="97"/>
      <c r="U298" s="97"/>
      <c r="V298" s="97"/>
      <c r="W298" s="97"/>
    </row>
    <row r="299" spans="1:23" ht="19.5" customHeight="1">
      <c r="A299" s="158" t="s">
        <v>94</v>
      </c>
      <c r="B299" s="112"/>
      <c r="C299" s="159"/>
      <c r="D299" s="160"/>
      <c r="E299" s="15"/>
      <c r="F299" s="15"/>
      <c r="G299" s="102"/>
      <c r="H299" s="102">
        <f>H298-42600</f>
        <v>670348.4199999999</v>
      </c>
      <c r="I299" s="669"/>
      <c r="J299" s="303"/>
      <c r="K299" s="182"/>
      <c r="L299" s="293"/>
      <c r="M299" s="293"/>
      <c r="N299" s="294"/>
      <c r="O299" s="294"/>
      <c r="P299" s="11"/>
      <c r="Q299" s="97"/>
      <c r="R299" s="97"/>
      <c r="S299" s="97"/>
      <c r="T299" s="97"/>
      <c r="U299" s="97"/>
      <c r="V299" s="97"/>
      <c r="W299" s="97"/>
    </row>
    <row r="300" spans="1:23" ht="19.5" customHeight="1">
      <c r="A300" s="112" t="s">
        <v>95</v>
      </c>
      <c r="B300" s="112"/>
      <c r="C300" s="159"/>
      <c r="D300" s="160"/>
      <c r="E300" s="15"/>
      <c r="F300" s="15"/>
      <c r="G300" s="102"/>
      <c r="H300" s="102"/>
      <c r="I300" s="669"/>
      <c r="J300" s="176"/>
      <c r="K300" s="182"/>
      <c r="L300" s="293"/>
      <c r="M300" s="293"/>
      <c r="N300" s="294"/>
      <c r="O300" s="294"/>
      <c r="P300" s="11"/>
      <c r="Q300" s="97"/>
      <c r="R300" s="97"/>
      <c r="S300" s="97"/>
      <c r="T300" s="97"/>
      <c r="U300" s="97"/>
      <c r="V300" s="97"/>
      <c r="W300" s="97"/>
    </row>
    <row r="301" spans="1:23" ht="19.5" customHeight="1">
      <c r="A301" s="112"/>
      <c r="B301" s="112" t="s">
        <v>329</v>
      </c>
      <c r="C301" s="159"/>
      <c r="D301" s="160"/>
      <c r="E301" s="15"/>
      <c r="F301" s="15"/>
      <c r="G301" s="102"/>
      <c r="H301" s="102">
        <v>71772.82</v>
      </c>
      <c r="I301" s="669"/>
      <c r="J301" s="176"/>
      <c r="K301" s="182"/>
      <c r="L301" s="293"/>
      <c r="M301" s="293"/>
      <c r="N301" s="294"/>
      <c r="O301" s="294"/>
      <c r="P301" s="11"/>
      <c r="Q301" s="97"/>
      <c r="R301" s="97"/>
      <c r="S301" s="97"/>
      <c r="T301" s="97"/>
      <c r="U301" s="97"/>
      <c r="V301" s="97"/>
      <c r="W301" s="97"/>
    </row>
    <row r="302" spans="1:23" ht="19.5" customHeight="1">
      <c r="A302" s="112"/>
      <c r="B302" s="112" t="s">
        <v>96</v>
      </c>
      <c r="C302" s="159"/>
      <c r="D302" s="160"/>
      <c r="E302" s="15"/>
      <c r="F302" s="15"/>
      <c r="G302" s="102"/>
      <c r="H302" s="102">
        <f>H301-42600</f>
        <v>29172.820000000007</v>
      </c>
      <c r="I302" s="669"/>
      <c r="J302" s="176"/>
      <c r="K302" s="182"/>
      <c r="L302" s="293"/>
      <c r="M302" s="293"/>
      <c r="N302" s="294"/>
      <c r="O302" s="294"/>
      <c r="P302" s="11"/>
      <c r="Q302" s="97"/>
      <c r="R302" s="97"/>
      <c r="S302" s="97"/>
      <c r="T302" s="97"/>
      <c r="U302" s="97"/>
      <c r="V302" s="97"/>
      <c r="W302" s="97"/>
    </row>
    <row r="303" spans="1:23" ht="19.5" customHeight="1">
      <c r="A303" s="112"/>
      <c r="B303" s="112"/>
      <c r="C303" s="159"/>
      <c r="D303" s="160"/>
      <c r="E303" s="15"/>
      <c r="F303" s="15"/>
      <c r="G303" s="102"/>
      <c r="H303" s="102"/>
      <c r="I303" s="669"/>
      <c r="J303" s="176"/>
      <c r="K303" s="182"/>
      <c r="L303" s="293"/>
      <c r="M303" s="293"/>
      <c r="N303" s="294"/>
      <c r="O303" s="294"/>
      <c r="P303" s="11"/>
      <c r="Q303" s="97"/>
      <c r="R303" s="97"/>
      <c r="S303" s="97"/>
      <c r="T303" s="97"/>
      <c r="U303" s="97"/>
      <c r="V303" s="97"/>
      <c r="W303" s="97"/>
    </row>
    <row r="304" spans="1:23" ht="19.5" customHeight="1">
      <c r="A304" s="112"/>
      <c r="B304" s="112"/>
      <c r="C304" s="159"/>
      <c r="D304" s="132"/>
      <c r="E304" s="15"/>
      <c r="F304" s="15"/>
      <c r="G304" s="102"/>
      <c r="H304" s="102"/>
      <c r="I304" s="669"/>
      <c r="J304" s="176"/>
      <c r="K304" s="182"/>
      <c r="L304" s="293"/>
      <c r="M304" s="293"/>
      <c r="N304" s="294"/>
      <c r="O304" s="294"/>
      <c r="P304" s="11"/>
      <c r="Q304" s="97"/>
      <c r="R304" s="97"/>
      <c r="S304" s="97"/>
      <c r="T304" s="97"/>
      <c r="U304" s="97"/>
      <c r="V304" s="97"/>
      <c r="W304" s="97"/>
    </row>
    <row r="305" spans="1:23" ht="19.5" customHeight="1">
      <c r="A305" s="158" t="s">
        <v>328</v>
      </c>
      <c r="B305" s="112"/>
      <c r="C305" s="159"/>
      <c r="D305" s="18"/>
      <c r="E305" s="18"/>
      <c r="F305" s="18"/>
      <c r="G305" s="102"/>
      <c r="H305" s="102">
        <f>H308+H311</f>
        <v>352547</v>
      </c>
      <c r="I305" s="669"/>
      <c r="J305" s="176"/>
      <c r="K305" s="182"/>
      <c r="L305" s="293"/>
      <c r="M305" s="293"/>
      <c r="N305" s="294"/>
      <c r="O305" s="294"/>
      <c r="P305" s="11"/>
      <c r="Q305" s="97"/>
      <c r="R305" s="97"/>
      <c r="S305" s="97"/>
      <c r="T305" s="97"/>
      <c r="U305" s="97"/>
      <c r="V305" s="97"/>
      <c r="W305" s="97"/>
    </row>
    <row r="306" spans="1:23" ht="19.5" customHeight="1">
      <c r="A306" s="112" t="s">
        <v>94</v>
      </c>
      <c r="B306" s="112"/>
      <c r="C306" s="159"/>
      <c r="D306" s="18"/>
      <c r="E306" s="15"/>
      <c r="F306" s="15"/>
      <c r="G306" s="102"/>
      <c r="H306" s="102">
        <f>H309+H312</f>
        <v>230933.4</v>
      </c>
      <c r="I306" s="669"/>
      <c r="J306" s="176"/>
      <c r="K306" s="182"/>
      <c r="L306" s="293"/>
      <c r="M306" s="293"/>
      <c r="N306" s="294"/>
      <c r="O306" s="294"/>
      <c r="P306" s="11"/>
      <c r="Q306" s="97"/>
      <c r="R306" s="97"/>
      <c r="S306" s="97"/>
      <c r="T306" s="97"/>
      <c r="U306" s="97"/>
      <c r="V306" s="97"/>
      <c r="W306" s="97"/>
    </row>
    <row r="307" spans="1:23" ht="19.5" customHeight="1">
      <c r="A307" s="112"/>
      <c r="B307" s="112" t="s">
        <v>61</v>
      </c>
      <c r="C307" s="159"/>
      <c r="D307" s="18"/>
      <c r="E307" s="15"/>
      <c r="F307" s="15"/>
      <c r="G307" s="102"/>
      <c r="H307" s="102"/>
      <c r="I307" s="669"/>
      <c r="J307" s="176"/>
      <c r="K307" s="182"/>
      <c r="L307" s="293"/>
      <c r="M307" s="293"/>
      <c r="N307" s="294"/>
      <c r="O307" s="294"/>
      <c r="P307" s="11"/>
      <c r="Q307" s="97"/>
      <c r="R307" s="97"/>
      <c r="S307" s="97"/>
      <c r="T307" s="97"/>
      <c r="U307" s="97"/>
      <c r="V307" s="97"/>
      <c r="W307" s="97"/>
    </row>
    <row r="308" spans="1:23" ht="19.5" customHeight="1">
      <c r="A308" s="112"/>
      <c r="B308" s="112" t="s">
        <v>329</v>
      </c>
      <c r="C308" s="159"/>
      <c r="D308" s="160"/>
      <c r="E308" s="15"/>
      <c r="F308" s="15"/>
      <c r="G308" s="102"/>
      <c r="H308" s="102">
        <v>165347</v>
      </c>
      <c r="I308" s="669"/>
      <c r="J308" s="176"/>
      <c r="K308" s="182"/>
      <c r="L308" s="293"/>
      <c r="M308" s="293"/>
      <c r="N308" s="294"/>
      <c r="O308" s="294"/>
      <c r="P308" s="11"/>
      <c r="Q308" s="97"/>
      <c r="R308" s="97"/>
      <c r="S308" s="97"/>
      <c r="T308" s="97"/>
      <c r="U308" s="97"/>
      <c r="V308" s="97"/>
      <c r="W308" s="97"/>
    </row>
    <row r="309" spans="1:23" ht="19.5" customHeight="1">
      <c r="A309" s="112"/>
      <c r="B309" s="112" t="s">
        <v>96</v>
      </c>
      <c r="C309" s="159"/>
      <c r="D309" s="160"/>
      <c r="E309" s="15"/>
      <c r="F309" s="15"/>
      <c r="G309" s="102"/>
      <c r="H309" s="102">
        <f>H308-80000</f>
        <v>85347</v>
      </c>
      <c r="I309" s="669"/>
      <c r="J309" s="176"/>
      <c r="K309" s="182"/>
      <c r="L309" s="293"/>
      <c r="M309" s="293"/>
      <c r="N309" s="294"/>
      <c r="O309" s="294"/>
      <c r="P309" s="11"/>
      <c r="Q309" s="97"/>
      <c r="R309" s="97"/>
      <c r="S309" s="97"/>
      <c r="T309" s="97"/>
      <c r="U309" s="97"/>
      <c r="V309" s="97"/>
      <c r="W309" s="97"/>
    </row>
    <row r="310" spans="1:23" ht="19.5" customHeight="1">
      <c r="A310" s="112"/>
      <c r="B310" s="112"/>
      <c r="C310" s="113"/>
      <c r="D310" s="18"/>
      <c r="E310" s="15"/>
      <c r="F310" s="15"/>
      <c r="G310" s="102"/>
      <c r="H310" s="102"/>
      <c r="I310" s="669"/>
      <c r="J310" s="176"/>
      <c r="K310" s="182"/>
      <c r="L310" s="293"/>
      <c r="M310" s="293"/>
      <c r="N310" s="294"/>
      <c r="O310" s="294"/>
      <c r="P310" s="11"/>
      <c r="Q310" s="97"/>
      <c r="R310" s="97"/>
      <c r="S310" s="97"/>
      <c r="T310" s="97"/>
      <c r="U310" s="97"/>
      <c r="V310" s="97"/>
      <c r="W310" s="97"/>
    </row>
    <row r="311" spans="1:23" ht="19.5" customHeight="1">
      <c r="A311" s="112"/>
      <c r="B311" s="112" t="s">
        <v>115</v>
      </c>
      <c r="C311" s="159"/>
      <c r="D311" s="18"/>
      <c r="E311" s="15"/>
      <c r="F311" s="15"/>
      <c r="G311" s="102"/>
      <c r="H311" s="102">
        <v>187200</v>
      </c>
      <c r="I311" s="669"/>
      <c r="J311" s="176"/>
      <c r="K311" s="182"/>
      <c r="L311" s="293"/>
      <c r="M311" s="293"/>
      <c r="N311" s="294"/>
      <c r="O311" s="294"/>
      <c r="P311" s="11"/>
      <c r="Q311" s="97"/>
      <c r="R311" s="97"/>
      <c r="S311" s="97"/>
      <c r="T311" s="97"/>
      <c r="U311" s="97"/>
      <c r="V311" s="97"/>
      <c r="W311" s="97"/>
    </row>
    <row r="312" spans="1:23" ht="19.5" customHeight="1">
      <c r="A312" s="112"/>
      <c r="B312" s="112" t="s">
        <v>96</v>
      </c>
      <c r="C312" s="159"/>
      <c r="D312" s="18"/>
      <c r="E312" s="15"/>
      <c r="F312" s="15"/>
      <c r="G312" s="102"/>
      <c r="H312" s="102">
        <f>H311-41613.6</f>
        <v>145586.4</v>
      </c>
      <c r="I312" s="669"/>
      <c r="J312" s="176"/>
      <c r="K312" s="182"/>
      <c r="L312" s="293"/>
      <c r="M312" s="293"/>
      <c r="N312" s="294"/>
      <c r="O312" s="294"/>
      <c r="P312" s="11"/>
      <c r="Q312" s="97"/>
      <c r="R312" s="97"/>
      <c r="S312" s="97"/>
      <c r="T312" s="97"/>
      <c r="U312" s="97"/>
      <c r="V312" s="97"/>
      <c r="W312" s="97"/>
    </row>
    <row r="313" spans="1:23" ht="19.5" customHeight="1">
      <c r="A313" s="112"/>
      <c r="B313" s="112"/>
      <c r="C313" s="159"/>
      <c r="D313" s="132"/>
      <c r="E313" s="15"/>
      <c r="F313" s="15"/>
      <c r="G313" s="102"/>
      <c r="H313" s="102"/>
      <c r="I313" s="669"/>
      <c r="J313" s="176"/>
      <c r="K313" s="182"/>
      <c r="L313" s="293"/>
      <c r="M313" s="293"/>
      <c r="N313" s="294"/>
      <c r="O313" s="294"/>
      <c r="P313" s="11"/>
      <c r="Q313" s="97"/>
      <c r="R313" s="97"/>
      <c r="S313" s="97"/>
      <c r="T313" s="97"/>
      <c r="U313" s="97"/>
      <c r="V313" s="97"/>
      <c r="W313" s="97"/>
    </row>
    <row r="314" spans="1:23" ht="19.5" customHeight="1">
      <c r="A314" s="112"/>
      <c r="B314" s="112"/>
      <c r="C314" s="159"/>
      <c r="D314" s="132"/>
      <c r="E314" s="15"/>
      <c r="F314" s="15"/>
      <c r="G314" s="102"/>
      <c r="H314" s="102"/>
      <c r="I314" s="669"/>
      <c r="J314" s="176"/>
      <c r="K314" s="182"/>
      <c r="L314" s="293"/>
      <c r="M314" s="293"/>
      <c r="N314" s="294"/>
      <c r="O314" s="294"/>
      <c r="P314" s="11"/>
      <c r="Q314" s="97"/>
      <c r="R314" s="97"/>
      <c r="S314" s="97"/>
      <c r="T314" s="97"/>
      <c r="U314" s="97"/>
      <c r="V314" s="97"/>
      <c r="W314" s="97"/>
    </row>
    <row r="315" spans="1:23" ht="19.5" customHeight="1">
      <c r="A315" s="112"/>
      <c r="B315" s="112"/>
      <c r="C315" s="159"/>
      <c r="D315" s="132"/>
      <c r="E315" s="15"/>
      <c r="F315" s="15"/>
      <c r="G315" s="102"/>
      <c r="H315" s="102"/>
      <c r="I315" s="669"/>
      <c r="J315" s="176"/>
      <c r="K315" s="182"/>
      <c r="L315" s="293"/>
      <c r="M315" s="293"/>
      <c r="N315" s="294"/>
      <c r="O315" s="294"/>
      <c r="P315" s="11"/>
      <c r="Q315" s="97"/>
      <c r="R315" s="97"/>
      <c r="S315" s="97"/>
      <c r="T315" s="97"/>
      <c r="U315" s="97"/>
      <c r="V315" s="97"/>
      <c r="W315" s="97"/>
    </row>
    <row r="316" spans="1:23" ht="19.5" customHeight="1">
      <c r="A316" s="68" t="s">
        <v>98</v>
      </c>
      <c r="B316" s="112"/>
      <c r="C316" s="113"/>
      <c r="D316" s="18"/>
      <c r="E316" s="15"/>
      <c r="F316" s="15"/>
      <c r="G316" s="102"/>
      <c r="H316" s="102"/>
      <c r="I316" s="669"/>
      <c r="J316" s="176"/>
      <c r="K316" s="182"/>
      <c r="L316" s="293"/>
      <c r="M316" s="293"/>
      <c r="N316" s="294"/>
      <c r="O316" s="294"/>
      <c r="P316" s="11"/>
      <c r="Q316" s="97"/>
      <c r="R316" s="97"/>
      <c r="S316" s="97"/>
      <c r="T316" s="97"/>
      <c r="U316" s="97"/>
      <c r="V316" s="97"/>
      <c r="W316" s="97"/>
    </row>
    <row r="317" spans="1:13" ht="19.5" customHeight="1">
      <c r="A317" s="68"/>
      <c r="B317" s="68"/>
      <c r="C317" s="133"/>
      <c r="D317" s="134"/>
      <c r="E317" s="134"/>
      <c r="F317" s="135"/>
      <c r="G317" s="134"/>
      <c r="H317" s="102"/>
      <c r="I317" s="644"/>
      <c r="J317" s="638"/>
      <c r="K317" s="679"/>
      <c r="L317" s="627"/>
      <c r="M317" s="627"/>
    </row>
    <row r="318" spans="1:13" ht="19.5" customHeight="1">
      <c r="A318" s="136" t="s">
        <v>99</v>
      </c>
      <c r="B318" s="136"/>
      <c r="C318" s="137"/>
      <c r="D318" s="138"/>
      <c r="E318" s="138"/>
      <c r="F318" s="139"/>
      <c r="G318" s="138"/>
      <c r="H318" s="16"/>
      <c r="I318" s="644"/>
      <c r="J318" s="638"/>
      <c r="K318" s="679"/>
      <c r="L318" s="627"/>
      <c r="M318" s="627"/>
    </row>
    <row r="319" spans="1:13" ht="19.5" customHeight="1">
      <c r="A319" s="136"/>
      <c r="B319" s="136"/>
      <c r="C319" s="137"/>
      <c r="D319" s="138"/>
      <c r="E319" s="138"/>
      <c r="F319" s="139"/>
      <c r="G319" s="138"/>
      <c r="H319" s="16"/>
      <c r="I319" s="644"/>
      <c r="J319" s="638"/>
      <c r="K319" s="679"/>
      <c r="L319" s="627"/>
      <c r="M319" s="627"/>
    </row>
    <row r="320" spans="1:13" ht="19.5" customHeight="1">
      <c r="A320" s="136"/>
      <c r="B320" s="136"/>
      <c r="C320" s="137"/>
      <c r="D320" s="138"/>
      <c r="E320" s="138"/>
      <c r="F320" s="139"/>
      <c r="G320" s="138"/>
      <c r="H320" s="16"/>
      <c r="I320" s="644"/>
      <c r="J320" s="638"/>
      <c r="K320" s="679"/>
      <c r="L320" s="627"/>
      <c r="M320" s="627"/>
    </row>
    <row r="321" spans="1:13" ht="19.5" customHeight="1">
      <c r="A321" s="68" t="s">
        <v>34</v>
      </c>
      <c r="B321" s="68"/>
      <c r="C321" s="133"/>
      <c r="D321" s="134"/>
      <c r="E321" s="134"/>
      <c r="F321" s="135"/>
      <c r="G321" s="134"/>
      <c r="H321" s="102"/>
      <c r="I321" s="644"/>
      <c r="J321" s="638"/>
      <c r="K321" s="679"/>
      <c r="L321" s="627"/>
      <c r="M321" s="627"/>
    </row>
    <row r="322" spans="1:13" ht="19.5" customHeight="1">
      <c r="A322" s="68"/>
      <c r="B322" s="68"/>
      <c r="C322" s="133"/>
      <c r="D322" s="134"/>
      <c r="E322" s="134"/>
      <c r="F322" s="135"/>
      <c r="G322" s="134"/>
      <c r="H322" s="102"/>
      <c r="I322" s="644"/>
      <c r="J322" s="638"/>
      <c r="K322" s="679"/>
      <c r="L322" s="627"/>
      <c r="M322" s="627"/>
    </row>
    <row r="323" spans="1:13" ht="19.5" customHeight="1">
      <c r="A323" s="136" t="s">
        <v>100</v>
      </c>
      <c r="B323" s="136"/>
      <c r="C323" s="137"/>
      <c r="D323" s="138"/>
      <c r="E323" s="138"/>
      <c r="F323" s="139"/>
      <c r="G323" s="138"/>
      <c r="I323" s="680"/>
      <c r="J323" s="638"/>
      <c r="K323" s="679"/>
      <c r="L323" s="628"/>
      <c r="M323" s="627"/>
    </row>
    <row r="324" spans="1:13" ht="19.5" customHeight="1">
      <c r="A324" s="136"/>
      <c r="B324" s="136"/>
      <c r="C324" s="137"/>
      <c r="D324" s="138"/>
      <c r="E324" s="138"/>
      <c r="F324" s="139"/>
      <c r="G324" s="138"/>
      <c r="I324" s="680"/>
      <c r="J324" s="638"/>
      <c r="K324" s="679"/>
      <c r="L324" s="628"/>
      <c r="M324" s="627"/>
    </row>
    <row r="325" spans="1:13" ht="19.5" customHeight="1">
      <c r="A325" s="136"/>
      <c r="B325" s="136"/>
      <c r="C325" s="137"/>
      <c r="D325" s="138"/>
      <c r="E325" s="138"/>
      <c r="F325" s="139"/>
      <c r="G325" s="138"/>
      <c r="I325" s="680"/>
      <c r="J325" s="638"/>
      <c r="K325" s="679"/>
      <c r="L325" s="628"/>
      <c r="M325" s="627"/>
    </row>
    <row r="326" spans="1:11" ht="19.5" customHeight="1">
      <c r="A326" s="65"/>
      <c r="B326" s="65"/>
      <c r="C326" s="66"/>
      <c r="D326" s="140"/>
      <c r="E326" s="140"/>
      <c r="F326" s="141" t="s">
        <v>101</v>
      </c>
      <c r="G326" s="140"/>
      <c r="I326" s="644"/>
      <c r="K326" s="643"/>
    </row>
    <row r="327" spans="1:11" ht="19.5" customHeight="1">
      <c r="A327" s="65"/>
      <c r="B327" s="65"/>
      <c r="C327" s="66"/>
      <c r="D327" s="140"/>
      <c r="E327" s="140"/>
      <c r="F327" s="141" t="s">
        <v>102</v>
      </c>
      <c r="G327" s="140"/>
      <c r="I327" s="644"/>
      <c r="K327" s="643"/>
    </row>
    <row r="328" spans="1:11" ht="19.5" customHeight="1">
      <c r="A328" s="65"/>
      <c r="B328" s="65"/>
      <c r="C328" s="66"/>
      <c r="D328" s="140"/>
      <c r="E328" s="140"/>
      <c r="F328" s="141"/>
      <c r="G328" s="140"/>
      <c r="I328" s="644"/>
      <c r="K328" s="643"/>
    </row>
    <row r="329" spans="1:11" ht="19.5" customHeight="1">
      <c r="A329" s="65"/>
      <c r="B329" s="65"/>
      <c r="C329" s="66"/>
      <c r="D329" s="140"/>
      <c r="E329" s="140"/>
      <c r="F329" s="142" t="s">
        <v>103</v>
      </c>
      <c r="G329" s="140"/>
      <c r="I329" s="644"/>
      <c r="K329" s="643"/>
    </row>
    <row r="330" spans="1:11" ht="19.5" customHeight="1">
      <c r="A330" s="45"/>
      <c r="B330" s="45"/>
      <c r="C330" s="45"/>
      <c r="I330" s="644"/>
      <c r="K330" s="643"/>
    </row>
    <row r="331" spans="1:11" ht="19.5" customHeight="1">
      <c r="A331" s="45"/>
      <c r="B331" s="45"/>
      <c r="C331" s="45"/>
      <c r="I331" s="644"/>
      <c r="K331" s="643"/>
    </row>
    <row r="332" spans="1:11" ht="19.5" customHeight="1">
      <c r="A332" s="45"/>
      <c r="B332" s="45"/>
      <c r="C332" s="45"/>
      <c r="H332" s="134"/>
      <c r="I332" s="644"/>
      <c r="K332" s="643"/>
    </row>
  </sheetData>
  <sheetProtection/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30"/>
  <sheetViews>
    <sheetView zoomScalePageLayoutView="0" workbookViewId="0" topLeftCell="A71">
      <selection activeCell="E77" sqref="E77"/>
    </sheetView>
  </sheetViews>
  <sheetFormatPr defaultColWidth="9.140625" defaultRowHeight="12.75"/>
  <cols>
    <col min="1" max="1" width="4.57421875" style="553" customWidth="1"/>
    <col min="2" max="2" width="5.140625" style="40" customWidth="1"/>
    <col min="3" max="3" width="6.57421875" style="40" customWidth="1"/>
    <col min="4" max="4" width="5.28125" style="554" customWidth="1"/>
    <col min="5" max="5" width="50.421875" style="441" customWidth="1"/>
    <col min="6" max="6" width="14.8515625" style="553" customWidth="1"/>
    <col min="7" max="7" width="13.421875" style="553" customWidth="1"/>
    <col min="8" max="8" width="7.421875" style="40" customWidth="1"/>
    <col min="9" max="9" width="20.8515625" style="40" customWidth="1"/>
    <col min="10" max="10" width="14.7109375" style="368" customWidth="1"/>
    <col min="11" max="11" width="11.7109375" style="368" bestFit="1" customWidth="1"/>
    <col min="12" max="13" width="9.140625" style="368" customWidth="1"/>
    <col min="14" max="16384" width="9.140625" style="40" customWidth="1"/>
  </cols>
  <sheetData>
    <row r="1" spans="1:7" ht="20.25">
      <c r="A1" s="366"/>
      <c r="B1" s="365"/>
      <c r="C1" s="365"/>
      <c r="D1" s="366"/>
      <c r="E1" s="217"/>
      <c r="F1" s="367" t="s">
        <v>157</v>
      </c>
      <c r="G1" s="220"/>
    </row>
    <row r="2" spans="1:7" ht="18.75">
      <c r="A2" s="366"/>
      <c r="B2" s="365"/>
      <c r="C2" s="365"/>
      <c r="D2" s="366"/>
      <c r="E2" s="217"/>
      <c r="F2" s="64" t="s">
        <v>415</v>
      </c>
      <c r="G2" s="220"/>
    </row>
    <row r="3" spans="1:7" ht="18.75">
      <c r="A3" s="366"/>
      <c r="B3" s="365"/>
      <c r="C3" s="365"/>
      <c r="D3" s="366"/>
      <c r="E3" s="217"/>
      <c r="F3" s="64" t="s">
        <v>416</v>
      </c>
      <c r="G3" s="220"/>
    </row>
    <row r="4" spans="1:7" ht="15.75">
      <c r="A4" s="366"/>
      <c r="B4" s="365"/>
      <c r="C4" s="365"/>
      <c r="D4" s="366"/>
      <c r="E4" s="217"/>
      <c r="F4" s="1" t="s">
        <v>417</v>
      </c>
      <c r="G4" s="220"/>
    </row>
    <row r="5" spans="1:7" ht="12.75">
      <c r="A5" s="366"/>
      <c r="B5" s="365"/>
      <c r="C5" s="365"/>
      <c r="D5" s="366"/>
      <c r="E5" s="217"/>
      <c r="F5" s="220"/>
      <c r="G5" s="220"/>
    </row>
    <row r="6" spans="1:7" ht="12.75">
      <c r="A6" s="366"/>
      <c r="B6" s="365"/>
      <c r="C6" s="365"/>
      <c r="D6" s="366"/>
      <c r="E6" s="217"/>
      <c r="F6" s="220"/>
      <c r="G6" s="220"/>
    </row>
    <row r="7" spans="1:7" ht="19.5">
      <c r="A7" s="366"/>
      <c r="B7" s="369"/>
      <c r="C7" s="370" t="s">
        <v>158</v>
      </c>
      <c r="D7" s="371"/>
      <c r="E7" s="372"/>
      <c r="F7" s="373"/>
      <c r="G7" s="373"/>
    </row>
    <row r="8" spans="1:7" ht="19.5">
      <c r="A8" s="366"/>
      <c r="B8" s="369"/>
      <c r="C8" s="370" t="s">
        <v>159</v>
      </c>
      <c r="D8" s="371"/>
      <c r="E8" s="372"/>
      <c r="F8" s="373"/>
      <c r="G8" s="374"/>
    </row>
    <row r="9" spans="1:7" ht="18.75">
      <c r="A9" s="366"/>
      <c r="B9" s="369"/>
      <c r="C9" s="375"/>
      <c r="D9" s="371"/>
      <c r="E9" s="372"/>
      <c r="F9" s="373"/>
      <c r="G9" s="373"/>
    </row>
    <row r="10" spans="1:7" ht="12.75">
      <c r="A10" s="366"/>
      <c r="B10" s="369" t="s">
        <v>62</v>
      </c>
      <c r="C10" s="376"/>
      <c r="D10" s="377"/>
      <c r="E10" s="372"/>
      <c r="F10" s="378" t="s">
        <v>72</v>
      </c>
      <c r="G10" s="378"/>
    </row>
    <row r="11" spans="1:7" ht="18.75" customHeight="1">
      <c r="A11" s="379"/>
      <c r="B11" s="380"/>
      <c r="C11" s="381"/>
      <c r="D11" s="382"/>
      <c r="E11" s="383"/>
      <c r="F11" s="384" t="s">
        <v>160</v>
      </c>
      <c r="G11" s="385"/>
    </row>
    <row r="12" spans="1:7" ht="16.5" customHeight="1">
      <c r="A12" s="386" t="s">
        <v>161</v>
      </c>
      <c r="B12" s="387" t="s">
        <v>73</v>
      </c>
      <c r="C12" s="388" t="s">
        <v>70</v>
      </c>
      <c r="D12" s="388" t="s">
        <v>65</v>
      </c>
      <c r="E12" s="389" t="s">
        <v>162</v>
      </c>
      <c r="F12" s="390"/>
      <c r="G12" s="249" t="s">
        <v>61</v>
      </c>
    </row>
    <row r="13" spans="1:10" ht="46.5" customHeight="1">
      <c r="A13" s="391"/>
      <c r="B13" s="392"/>
      <c r="C13" s="393"/>
      <c r="D13" s="394"/>
      <c r="E13" s="395"/>
      <c r="F13" s="396" t="s">
        <v>163</v>
      </c>
      <c r="G13" s="397" t="s">
        <v>164</v>
      </c>
      <c r="I13" s="398"/>
      <c r="J13" s="399"/>
    </row>
    <row r="14" spans="1:10" ht="21" customHeight="1">
      <c r="A14" s="379"/>
      <c r="B14" s="400" t="s">
        <v>165</v>
      </c>
      <c r="C14" s="401"/>
      <c r="D14" s="402"/>
      <c r="E14" s="403"/>
      <c r="F14" s="404">
        <f>F15+F42+F52+F60+F65+F68+F107+F110+F114+F123+F154+F159</f>
        <v>50674037.23</v>
      </c>
      <c r="G14" s="404">
        <f>G15+G42+G52+G60+G65+G68+G107+G110+G114+G123+G154+G159</f>
        <v>8868191.52</v>
      </c>
      <c r="I14" s="399"/>
      <c r="J14" s="399"/>
    </row>
    <row r="15" spans="1:10" ht="19.5" customHeight="1">
      <c r="A15" s="152"/>
      <c r="B15" s="197">
        <v>600</v>
      </c>
      <c r="C15" s="197"/>
      <c r="D15" s="337"/>
      <c r="E15" s="405" t="s">
        <v>141</v>
      </c>
      <c r="F15" s="406">
        <f>F16+F18</f>
        <v>14019692.569999998</v>
      </c>
      <c r="G15" s="407">
        <f>G16+G18</f>
        <v>2500000</v>
      </c>
      <c r="I15" s="408"/>
      <c r="J15" s="408"/>
    </row>
    <row r="16" spans="1:13" s="415" customFormat="1" ht="19.5" customHeight="1">
      <c r="A16" s="391"/>
      <c r="B16" s="409"/>
      <c r="C16" s="410">
        <v>60004</v>
      </c>
      <c r="D16" s="411"/>
      <c r="E16" s="412" t="s">
        <v>166</v>
      </c>
      <c r="F16" s="413">
        <f>F17</f>
        <v>20000</v>
      </c>
      <c r="G16" s="414"/>
      <c r="I16" s="416"/>
      <c r="J16" s="416"/>
      <c r="K16" s="417"/>
      <c r="L16" s="417"/>
      <c r="M16" s="417"/>
    </row>
    <row r="17" spans="1:13" s="415" customFormat="1" ht="19.5" customHeight="1">
      <c r="A17" s="391">
        <v>1</v>
      </c>
      <c r="B17" s="409"/>
      <c r="C17" s="410"/>
      <c r="D17" s="411">
        <v>6050</v>
      </c>
      <c r="E17" s="412" t="s">
        <v>167</v>
      </c>
      <c r="F17" s="413">
        <v>20000</v>
      </c>
      <c r="G17" s="414"/>
      <c r="I17" s="416"/>
      <c r="J17" s="416"/>
      <c r="K17" s="417"/>
      <c r="L17" s="417"/>
      <c r="M17" s="417"/>
    </row>
    <row r="18" spans="1:7" ht="18" customHeight="1">
      <c r="A18" s="391"/>
      <c r="B18" s="418"/>
      <c r="C18" s="419">
        <v>60016</v>
      </c>
      <c r="D18" s="420"/>
      <c r="E18" s="421" t="s">
        <v>168</v>
      </c>
      <c r="F18" s="422">
        <f>SUM(F19:F41)</f>
        <v>13999692.569999998</v>
      </c>
      <c r="G18" s="423">
        <f>SUM(G19:G41)</f>
        <v>2500000</v>
      </c>
    </row>
    <row r="19" spans="1:13" s="426" customFormat="1" ht="22.5" customHeight="1">
      <c r="A19" s="152">
        <v>2</v>
      </c>
      <c r="B19" s="424"/>
      <c r="C19" s="508"/>
      <c r="D19" s="411">
        <v>6050</v>
      </c>
      <c r="E19" s="151" t="s">
        <v>169</v>
      </c>
      <c r="F19" s="414">
        <f>3013000-46563.41+1702980.52</f>
        <v>4669417.109999999</v>
      </c>
      <c r="G19" s="414">
        <v>2000000</v>
      </c>
      <c r="H19" s="425"/>
      <c r="I19" s="425"/>
      <c r="J19" s="425"/>
      <c r="K19" s="425"/>
      <c r="L19" s="425"/>
      <c r="M19" s="425"/>
    </row>
    <row r="20" spans="1:13" s="426" customFormat="1" ht="38.25" customHeight="1">
      <c r="A20" s="152">
        <v>3</v>
      </c>
      <c r="B20" s="424"/>
      <c r="C20" s="508"/>
      <c r="D20" s="411">
        <v>6050</v>
      </c>
      <c r="E20" s="427" t="s">
        <v>170</v>
      </c>
      <c r="F20" s="413">
        <v>1857.05</v>
      </c>
      <c r="G20" s="414">
        <v>0</v>
      </c>
      <c r="H20" s="425"/>
      <c r="J20" s="425"/>
      <c r="K20" s="425"/>
      <c r="L20" s="425"/>
      <c r="M20" s="425"/>
    </row>
    <row r="21" spans="1:13" s="426" customFormat="1" ht="29.25" customHeight="1">
      <c r="A21" s="152">
        <v>4</v>
      </c>
      <c r="B21" s="428"/>
      <c r="C21" s="386"/>
      <c r="D21" s="411">
        <v>6050</v>
      </c>
      <c r="E21" s="429" t="s">
        <v>171</v>
      </c>
      <c r="F21" s="413">
        <f>1500000-15444.76-5872.57-700000</f>
        <v>778682.6699999999</v>
      </c>
      <c r="G21" s="414">
        <v>0</v>
      </c>
      <c r="I21" s="425"/>
      <c r="J21" s="425"/>
      <c r="K21" s="425"/>
      <c r="L21" s="425"/>
      <c r="M21" s="425"/>
    </row>
    <row r="22" spans="1:13" s="426" customFormat="1" ht="31.5" customHeight="1">
      <c r="A22" s="152">
        <v>5</v>
      </c>
      <c r="B22" s="428"/>
      <c r="C22" s="386"/>
      <c r="D22" s="411">
        <v>6050</v>
      </c>
      <c r="E22" s="429" t="s">
        <v>172</v>
      </c>
      <c r="F22" s="413">
        <f>90000-7000</f>
        <v>83000</v>
      </c>
      <c r="G22" s="414">
        <v>0</v>
      </c>
      <c r="J22" s="425"/>
      <c r="K22" s="425"/>
      <c r="L22" s="425"/>
      <c r="M22" s="425"/>
    </row>
    <row r="23" spans="1:13" s="426" customFormat="1" ht="22.5" customHeight="1">
      <c r="A23" s="152">
        <v>6</v>
      </c>
      <c r="B23" s="428"/>
      <c r="C23" s="386"/>
      <c r="D23" s="411">
        <v>6050</v>
      </c>
      <c r="E23" s="429" t="s">
        <v>173</v>
      </c>
      <c r="F23" s="413">
        <f>2000000-78000</f>
        <v>1922000</v>
      </c>
      <c r="G23" s="414">
        <f>104918.45+100000</f>
        <v>204918.45</v>
      </c>
      <c r="J23" s="425"/>
      <c r="K23" s="425"/>
      <c r="L23" s="425"/>
      <c r="M23" s="425"/>
    </row>
    <row r="24" spans="1:13" s="426" customFormat="1" ht="23.25" customHeight="1">
      <c r="A24" s="152">
        <v>7</v>
      </c>
      <c r="B24" s="428"/>
      <c r="C24" s="386"/>
      <c r="D24" s="411">
        <v>6050</v>
      </c>
      <c r="E24" s="429" t="s">
        <v>174</v>
      </c>
      <c r="F24" s="413">
        <f>1200000+52435.98</f>
        <v>1252435.98</v>
      </c>
      <c r="G24" s="414">
        <f>400000-104918.45</f>
        <v>295081.55</v>
      </c>
      <c r="J24" s="425"/>
      <c r="K24" s="425"/>
      <c r="L24" s="425"/>
      <c r="M24" s="425"/>
    </row>
    <row r="25" spans="1:13" s="426" customFormat="1" ht="43.5" customHeight="1">
      <c r="A25" s="152">
        <v>8</v>
      </c>
      <c r="B25" s="428"/>
      <c r="C25" s="386"/>
      <c r="D25" s="411">
        <v>6050</v>
      </c>
      <c r="E25" s="429" t="s">
        <v>175</v>
      </c>
      <c r="F25" s="413">
        <f>148000-8000-41000</f>
        <v>99000</v>
      </c>
      <c r="G25" s="414">
        <v>0</v>
      </c>
      <c r="J25" s="425"/>
      <c r="K25" s="425"/>
      <c r="L25" s="425"/>
      <c r="M25" s="425"/>
    </row>
    <row r="26" spans="1:13" s="426" customFormat="1" ht="24.75" customHeight="1">
      <c r="A26" s="152">
        <v>9</v>
      </c>
      <c r="B26" s="428"/>
      <c r="C26" s="386"/>
      <c r="D26" s="411">
        <v>6050</v>
      </c>
      <c r="E26" s="429" t="s">
        <v>176</v>
      </c>
      <c r="F26" s="413">
        <f>45000+32121</f>
        <v>77121</v>
      </c>
      <c r="G26" s="414">
        <v>0</v>
      </c>
      <c r="J26" s="425"/>
      <c r="K26" s="425"/>
      <c r="L26" s="425"/>
      <c r="M26" s="425"/>
    </row>
    <row r="27" spans="1:13" s="426" customFormat="1" ht="28.5" customHeight="1">
      <c r="A27" s="391">
        <v>10</v>
      </c>
      <c r="B27" s="428"/>
      <c r="C27" s="386"/>
      <c r="D27" s="411">
        <v>6050</v>
      </c>
      <c r="E27" s="429" t="s">
        <v>177</v>
      </c>
      <c r="F27" s="413">
        <f>500+41000-41350</f>
        <v>150</v>
      </c>
      <c r="G27" s="414">
        <v>0</v>
      </c>
      <c r="J27" s="425"/>
      <c r="K27" s="425"/>
      <c r="L27" s="425"/>
      <c r="M27" s="425"/>
    </row>
    <row r="28" spans="1:13" s="426" customFormat="1" ht="25.5" customHeight="1">
      <c r="A28" s="391">
        <v>11</v>
      </c>
      <c r="B28" s="428"/>
      <c r="C28" s="386"/>
      <c r="D28" s="411">
        <v>6050</v>
      </c>
      <c r="E28" s="429" t="s">
        <v>178</v>
      </c>
      <c r="F28" s="413">
        <f>21000-5095.24</f>
        <v>15904.76</v>
      </c>
      <c r="G28" s="414">
        <v>0</v>
      </c>
      <c r="J28" s="425"/>
      <c r="K28" s="425"/>
      <c r="L28" s="425"/>
      <c r="M28" s="425"/>
    </row>
    <row r="29" spans="1:13" s="426" customFormat="1" ht="30.75" customHeight="1">
      <c r="A29" s="391">
        <v>12</v>
      </c>
      <c r="B29" s="428"/>
      <c r="C29" s="386"/>
      <c r="D29" s="411">
        <v>6050</v>
      </c>
      <c r="E29" s="429" t="s">
        <v>179</v>
      </c>
      <c r="F29" s="413">
        <v>30000</v>
      </c>
      <c r="G29" s="414">
        <v>0</v>
      </c>
      <c r="J29" s="425"/>
      <c r="K29" s="425"/>
      <c r="L29" s="425"/>
      <c r="M29" s="425"/>
    </row>
    <row r="30" spans="1:13" s="426" customFormat="1" ht="24.75" customHeight="1">
      <c r="A30" s="391">
        <v>13</v>
      </c>
      <c r="B30" s="428"/>
      <c r="C30" s="386"/>
      <c r="D30" s="411">
        <v>6050</v>
      </c>
      <c r="E30" s="429" t="s">
        <v>180</v>
      </c>
      <c r="F30" s="413">
        <f>3000+2500000+1693000</f>
        <v>4196000</v>
      </c>
      <c r="G30" s="414">
        <v>0</v>
      </c>
      <c r="J30" s="425"/>
      <c r="K30" s="425"/>
      <c r="L30" s="425"/>
      <c r="M30" s="425"/>
    </row>
    <row r="31" spans="1:13" s="426" customFormat="1" ht="21" customHeight="1">
      <c r="A31" s="391">
        <v>14</v>
      </c>
      <c r="B31" s="428"/>
      <c r="C31" s="386"/>
      <c r="D31" s="411">
        <v>6050</v>
      </c>
      <c r="E31" s="429" t="s">
        <v>181</v>
      </c>
      <c r="F31" s="413">
        <v>64000</v>
      </c>
      <c r="G31" s="414"/>
      <c r="J31" s="425"/>
      <c r="K31" s="425"/>
      <c r="L31" s="425"/>
      <c r="M31" s="425"/>
    </row>
    <row r="32" spans="1:13" s="426" customFormat="1" ht="24" customHeight="1">
      <c r="A32" s="391">
        <v>15</v>
      </c>
      <c r="B32" s="428"/>
      <c r="C32" s="386"/>
      <c r="D32" s="411">
        <v>6050</v>
      </c>
      <c r="E32" s="429" t="s">
        <v>182</v>
      </c>
      <c r="F32" s="413">
        <f>18995+23450-18995</f>
        <v>23450</v>
      </c>
      <c r="G32" s="414"/>
      <c r="J32" s="425"/>
      <c r="K32" s="425"/>
      <c r="L32" s="425"/>
      <c r="M32" s="425"/>
    </row>
    <row r="33" spans="1:13" s="426" customFormat="1" ht="22.5" customHeight="1">
      <c r="A33" s="391">
        <v>16</v>
      </c>
      <c r="B33" s="428"/>
      <c r="C33" s="386"/>
      <c r="D33" s="411">
        <v>6050</v>
      </c>
      <c r="E33" s="429" t="s">
        <v>183</v>
      </c>
      <c r="F33" s="413">
        <f>105000+300000</f>
        <v>405000</v>
      </c>
      <c r="G33" s="414"/>
      <c r="J33" s="425"/>
      <c r="K33" s="425"/>
      <c r="L33" s="425"/>
      <c r="M33" s="425"/>
    </row>
    <row r="34" spans="1:13" s="426" customFormat="1" ht="30.75" customHeight="1">
      <c r="A34" s="391">
        <v>17</v>
      </c>
      <c r="B34" s="428"/>
      <c r="C34" s="386"/>
      <c r="D34" s="411">
        <v>6050</v>
      </c>
      <c r="E34" s="429" t="s">
        <v>184</v>
      </c>
      <c r="F34" s="413">
        <f>70000-24490</f>
        <v>45510</v>
      </c>
      <c r="G34" s="414"/>
      <c r="J34" s="425"/>
      <c r="K34" s="425"/>
      <c r="L34" s="425"/>
      <c r="M34" s="425"/>
    </row>
    <row r="35" spans="1:13" s="426" customFormat="1" ht="30.75" customHeight="1">
      <c r="A35" s="391">
        <v>18</v>
      </c>
      <c r="B35" s="428"/>
      <c r="C35" s="386"/>
      <c r="D35" s="411">
        <v>6050</v>
      </c>
      <c r="E35" s="429" t="s">
        <v>185</v>
      </c>
      <c r="F35" s="413">
        <v>60000</v>
      </c>
      <c r="G35" s="414"/>
      <c r="J35" s="425"/>
      <c r="K35" s="425"/>
      <c r="L35" s="425"/>
      <c r="M35" s="425"/>
    </row>
    <row r="36" spans="1:13" s="426" customFormat="1" ht="30.75" customHeight="1">
      <c r="A36" s="391">
        <v>19</v>
      </c>
      <c r="B36" s="428"/>
      <c r="C36" s="386"/>
      <c r="D36" s="411">
        <v>6050</v>
      </c>
      <c r="E36" s="429" t="s">
        <v>186</v>
      </c>
      <c r="F36" s="413">
        <v>20000</v>
      </c>
      <c r="G36" s="414"/>
      <c r="J36" s="425"/>
      <c r="K36" s="425"/>
      <c r="L36" s="425"/>
      <c r="M36" s="425"/>
    </row>
    <row r="37" spans="1:13" s="426" customFormat="1" ht="30.75" customHeight="1">
      <c r="A37" s="391">
        <v>20</v>
      </c>
      <c r="B37" s="428"/>
      <c r="C37" s="386"/>
      <c r="D37" s="411">
        <v>6050</v>
      </c>
      <c r="E37" s="429" t="s">
        <v>187</v>
      </c>
      <c r="F37" s="413">
        <f>220000-187036</f>
        <v>32964</v>
      </c>
      <c r="G37" s="414"/>
      <c r="J37" s="425"/>
      <c r="K37" s="425"/>
      <c r="L37" s="425"/>
      <c r="M37" s="425"/>
    </row>
    <row r="38" spans="1:13" s="426" customFormat="1" ht="24" customHeight="1">
      <c r="A38" s="391">
        <v>21</v>
      </c>
      <c r="B38" s="428"/>
      <c r="C38" s="386"/>
      <c r="D38" s="411">
        <v>6050</v>
      </c>
      <c r="E38" s="429" t="s">
        <v>188</v>
      </c>
      <c r="F38" s="413">
        <v>51660</v>
      </c>
      <c r="G38" s="414"/>
      <c r="J38" s="425"/>
      <c r="K38" s="425"/>
      <c r="L38" s="425"/>
      <c r="M38" s="425"/>
    </row>
    <row r="39" spans="1:13" s="426" customFormat="1" ht="21.75" customHeight="1">
      <c r="A39" s="391">
        <v>22</v>
      </c>
      <c r="B39" s="428"/>
      <c r="C39" s="386"/>
      <c r="D39" s="411">
        <v>6050</v>
      </c>
      <c r="E39" s="429" t="s">
        <v>189</v>
      </c>
      <c r="F39" s="413">
        <v>1000</v>
      </c>
      <c r="G39" s="414"/>
      <c r="J39" s="425"/>
      <c r="K39" s="425"/>
      <c r="L39" s="425"/>
      <c r="M39" s="425"/>
    </row>
    <row r="40" spans="1:13" s="426" customFormat="1" ht="24" customHeight="1">
      <c r="A40" s="391">
        <v>23</v>
      </c>
      <c r="B40" s="428"/>
      <c r="C40" s="386"/>
      <c r="D40" s="411">
        <v>6050</v>
      </c>
      <c r="E40" s="429" t="s">
        <v>190</v>
      </c>
      <c r="F40" s="413">
        <v>50000</v>
      </c>
      <c r="G40" s="414"/>
      <c r="J40" s="425"/>
      <c r="K40" s="425"/>
      <c r="L40" s="425"/>
      <c r="M40" s="425"/>
    </row>
    <row r="41" spans="1:13" s="426" customFormat="1" ht="28.5" customHeight="1">
      <c r="A41" s="391">
        <v>24</v>
      </c>
      <c r="B41" s="428"/>
      <c r="C41" s="386"/>
      <c r="D41" s="411">
        <v>6050</v>
      </c>
      <c r="E41" s="429" t="s">
        <v>191</v>
      </c>
      <c r="F41" s="413">
        <f>100000+20540</f>
        <v>120540</v>
      </c>
      <c r="G41" s="414">
        <v>0</v>
      </c>
      <c r="J41" s="425"/>
      <c r="K41" s="425"/>
      <c r="L41" s="425"/>
      <c r="M41" s="425"/>
    </row>
    <row r="42" spans="1:7" ht="21" customHeight="1">
      <c r="A42" s="430"/>
      <c r="B42" s="197">
        <v>700</v>
      </c>
      <c r="C42" s="197"/>
      <c r="D42" s="337"/>
      <c r="E42" s="431" t="s">
        <v>192</v>
      </c>
      <c r="F42" s="432">
        <f>F43+F46</f>
        <v>1732516</v>
      </c>
      <c r="G42" s="433">
        <f>G43+G46</f>
        <v>0</v>
      </c>
    </row>
    <row r="43" spans="1:7" ht="23.25" customHeight="1">
      <c r="A43" s="152"/>
      <c r="B43" s="434"/>
      <c r="C43" s="435">
        <v>70005</v>
      </c>
      <c r="D43" s="420"/>
      <c r="E43" s="421" t="s">
        <v>193</v>
      </c>
      <c r="F43" s="422">
        <f>SUM(F44:F45)</f>
        <v>842910</v>
      </c>
      <c r="G43" s="423">
        <f>SUM(G45:G45)</f>
        <v>0</v>
      </c>
    </row>
    <row r="44" spans="1:13" s="415" customFormat="1" ht="27" customHeight="1">
      <c r="A44" s="152">
        <v>25</v>
      </c>
      <c r="B44" s="269"/>
      <c r="C44" s="409"/>
      <c r="D44" s="411">
        <v>6050</v>
      </c>
      <c r="E44" s="429" t="s">
        <v>194</v>
      </c>
      <c r="F44" s="436">
        <v>17600</v>
      </c>
      <c r="G44" s="437"/>
      <c r="J44" s="417"/>
      <c r="K44" s="417"/>
      <c r="L44" s="417"/>
      <c r="M44" s="417"/>
    </row>
    <row r="45" spans="1:7" ht="24" customHeight="1">
      <c r="A45" s="152">
        <v>26</v>
      </c>
      <c r="B45" s="269"/>
      <c r="C45" s="409"/>
      <c r="D45" s="411">
        <v>6060</v>
      </c>
      <c r="E45" s="429" t="s">
        <v>195</v>
      </c>
      <c r="F45" s="600">
        <f>866460+45000+2500+7500-1150+10000+15000-120000</f>
        <v>825310</v>
      </c>
      <c r="G45" s="437">
        <v>0</v>
      </c>
    </row>
    <row r="46" spans="1:7" ht="24.75" customHeight="1">
      <c r="A46" s="152"/>
      <c r="B46" s="438"/>
      <c r="C46" s="439">
        <v>70095</v>
      </c>
      <c r="D46" s="440"/>
      <c r="E46" s="421" t="s">
        <v>196</v>
      </c>
      <c r="F46" s="422">
        <f>SUM(F47:F51)</f>
        <v>889606</v>
      </c>
      <c r="G46" s="423">
        <f>SUM(G47:G51)</f>
        <v>0</v>
      </c>
    </row>
    <row r="47" spans="1:7" ht="34.5" customHeight="1">
      <c r="A47" s="152">
        <v>27</v>
      </c>
      <c r="B47" s="438"/>
      <c r="C47" s="418"/>
      <c r="D47" s="152">
        <v>6050</v>
      </c>
      <c r="E47" s="151" t="s">
        <v>197</v>
      </c>
      <c r="F47" s="437">
        <f>574383+10000+156073+7000+1150</f>
        <v>748606</v>
      </c>
      <c r="G47" s="437">
        <v>0</v>
      </c>
    </row>
    <row r="48" spans="1:7" ht="34.5" customHeight="1">
      <c r="A48" s="152">
        <v>28</v>
      </c>
      <c r="B48" s="438"/>
      <c r="C48" s="418"/>
      <c r="D48" s="152">
        <v>6050</v>
      </c>
      <c r="E48" s="151" t="s">
        <v>198</v>
      </c>
      <c r="F48" s="437">
        <v>75000</v>
      </c>
      <c r="G48" s="437"/>
    </row>
    <row r="49" spans="1:7" ht="28.5" customHeight="1">
      <c r="A49" s="152">
        <v>29</v>
      </c>
      <c r="B49" s="438"/>
      <c r="C49" s="418"/>
      <c r="D49" s="152">
        <v>6050</v>
      </c>
      <c r="E49" s="151" t="s">
        <v>199</v>
      </c>
      <c r="F49" s="437">
        <v>60000</v>
      </c>
      <c r="G49" s="437"/>
    </row>
    <row r="50" spans="1:7" ht="41.25" customHeight="1">
      <c r="A50" s="152">
        <v>30</v>
      </c>
      <c r="B50" s="438"/>
      <c r="C50" s="418"/>
      <c r="D50" s="152">
        <v>6050</v>
      </c>
      <c r="E50" s="151" t="s">
        <v>200</v>
      </c>
      <c r="F50" s="437">
        <v>5000</v>
      </c>
      <c r="G50" s="437"/>
    </row>
    <row r="51" spans="1:13" s="441" customFormat="1" ht="33" customHeight="1">
      <c r="A51" s="152">
        <v>31</v>
      </c>
      <c r="B51" s="269"/>
      <c r="C51" s="409"/>
      <c r="D51" s="152">
        <v>6050</v>
      </c>
      <c r="E51" s="151" t="s">
        <v>201</v>
      </c>
      <c r="F51" s="437">
        <f>11000-10000</f>
        <v>1000</v>
      </c>
      <c r="G51" s="437">
        <v>0</v>
      </c>
      <c r="J51" s="442"/>
      <c r="K51" s="442"/>
      <c r="L51" s="442"/>
      <c r="M51" s="442"/>
    </row>
    <row r="52" spans="1:7" ht="21" customHeight="1">
      <c r="A52" s="341"/>
      <c r="B52" s="197">
        <v>750</v>
      </c>
      <c r="C52" s="197"/>
      <c r="D52" s="337"/>
      <c r="E52" s="342" t="s">
        <v>143</v>
      </c>
      <c r="F52" s="443">
        <f>F53+F56+F58</f>
        <v>861100</v>
      </c>
      <c r="G52" s="444">
        <f>G53+G58</f>
        <v>0</v>
      </c>
    </row>
    <row r="53" spans="1:7" ht="24.75" customHeight="1">
      <c r="A53" s="152"/>
      <c r="B53" s="445"/>
      <c r="C53" s="434">
        <v>75023</v>
      </c>
      <c r="D53" s="440"/>
      <c r="E53" s="446" t="s">
        <v>202</v>
      </c>
      <c r="F53" s="447">
        <f>SUM(F54:F55)</f>
        <v>258000</v>
      </c>
      <c r="G53" s="448">
        <f>SUM(G55:G55)</f>
        <v>0</v>
      </c>
    </row>
    <row r="54" spans="1:13" s="415" customFormat="1" ht="24.75" customHeight="1">
      <c r="A54" s="152">
        <v>32</v>
      </c>
      <c r="B54" s="257"/>
      <c r="C54" s="266"/>
      <c r="D54" s="152">
        <v>6050</v>
      </c>
      <c r="E54" s="449" t="s">
        <v>203</v>
      </c>
      <c r="F54" s="437">
        <v>18000</v>
      </c>
      <c r="G54" s="450"/>
      <c r="J54" s="417"/>
      <c r="K54" s="417"/>
      <c r="L54" s="417"/>
      <c r="M54" s="417"/>
    </row>
    <row r="55" spans="1:7" ht="21" customHeight="1">
      <c r="A55" s="152">
        <v>33</v>
      </c>
      <c r="B55" s="451"/>
      <c r="C55" s="452"/>
      <c r="D55" s="453">
        <v>6060</v>
      </c>
      <c r="E55" s="454" t="s">
        <v>204</v>
      </c>
      <c r="F55" s="455">
        <f>250000+300000-310000</f>
        <v>240000</v>
      </c>
      <c r="G55" s="456">
        <v>0</v>
      </c>
    </row>
    <row r="56" spans="1:7" ht="28.5" customHeight="1">
      <c r="A56" s="152"/>
      <c r="B56" s="451"/>
      <c r="C56" s="452">
        <v>75075</v>
      </c>
      <c r="D56" s="457"/>
      <c r="E56" s="458" t="s">
        <v>205</v>
      </c>
      <c r="F56" s="455">
        <f>F57</f>
        <v>8100</v>
      </c>
      <c r="G56" s="450"/>
    </row>
    <row r="57" spans="1:7" ht="23.25" customHeight="1">
      <c r="A57" s="152">
        <v>34</v>
      </c>
      <c r="B57" s="451"/>
      <c r="C57" s="452"/>
      <c r="D57" s="411">
        <v>6060</v>
      </c>
      <c r="E57" s="459" t="s">
        <v>206</v>
      </c>
      <c r="F57" s="460">
        <v>8100</v>
      </c>
      <c r="G57" s="450"/>
    </row>
    <row r="58" spans="1:7" ht="21.75" customHeight="1">
      <c r="A58" s="152"/>
      <c r="B58" s="461"/>
      <c r="C58" s="419">
        <v>75095</v>
      </c>
      <c r="D58" s="440"/>
      <c r="E58" s="446" t="s">
        <v>196</v>
      </c>
      <c r="F58" s="447">
        <f>SUM(F59:F59)</f>
        <v>595000</v>
      </c>
      <c r="G58" s="448">
        <f>SUM(G59:G59)</f>
        <v>0</v>
      </c>
    </row>
    <row r="59" spans="1:7" ht="33" customHeight="1">
      <c r="A59" s="152">
        <v>35</v>
      </c>
      <c r="B59" s="461"/>
      <c r="C59" s="418"/>
      <c r="D59" s="457">
        <v>6050</v>
      </c>
      <c r="E59" s="151" t="s">
        <v>207</v>
      </c>
      <c r="F59" s="437">
        <f>950000-300000-55000</f>
        <v>595000</v>
      </c>
      <c r="G59" s="437">
        <v>0</v>
      </c>
    </row>
    <row r="60" spans="1:7" ht="26.25" customHeight="1">
      <c r="A60" s="341"/>
      <c r="B60" s="197">
        <v>754</v>
      </c>
      <c r="C60" s="197"/>
      <c r="D60" s="341"/>
      <c r="E60" s="462" t="s">
        <v>208</v>
      </c>
      <c r="F60" s="433">
        <f>F61+F63</f>
        <v>21318</v>
      </c>
      <c r="G60" s="433">
        <f>G61+G63</f>
        <v>0</v>
      </c>
    </row>
    <row r="61" spans="1:7" ht="21.75" customHeight="1">
      <c r="A61" s="152"/>
      <c r="B61" s="278"/>
      <c r="C61" s="434">
        <v>75412</v>
      </c>
      <c r="D61" s="463"/>
      <c r="E61" s="464" t="s">
        <v>209</v>
      </c>
      <c r="F61" s="423">
        <f>F62</f>
        <v>4318</v>
      </c>
      <c r="G61" s="423">
        <f>G62</f>
        <v>0</v>
      </c>
    </row>
    <row r="62" spans="1:7" ht="21" customHeight="1">
      <c r="A62" s="152">
        <v>36</v>
      </c>
      <c r="B62" s="250"/>
      <c r="C62" s="266"/>
      <c r="D62" s="411">
        <v>6060</v>
      </c>
      <c r="E62" s="429" t="s">
        <v>210</v>
      </c>
      <c r="F62" s="437">
        <f>6000-1682</f>
        <v>4318</v>
      </c>
      <c r="G62" s="437"/>
    </row>
    <row r="63" spans="1:7" ht="22.5" customHeight="1">
      <c r="A63" s="152"/>
      <c r="B63" s="278"/>
      <c r="C63" s="439">
        <v>75414</v>
      </c>
      <c r="D63" s="463"/>
      <c r="E63" s="464" t="s">
        <v>211</v>
      </c>
      <c r="F63" s="447">
        <f>SUM(F64)</f>
        <v>17000</v>
      </c>
      <c r="G63" s="448">
        <f>SUM(G64)</f>
        <v>0</v>
      </c>
    </row>
    <row r="64" spans="1:7" ht="26.25" customHeight="1">
      <c r="A64" s="152">
        <v>37</v>
      </c>
      <c r="B64" s="269"/>
      <c r="C64" s="465"/>
      <c r="D64" s="457">
        <v>6060</v>
      </c>
      <c r="E64" s="429" t="s">
        <v>210</v>
      </c>
      <c r="F64" s="414">
        <v>17000</v>
      </c>
      <c r="G64" s="414">
        <v>0</v>
      </c>
    </row>
    <row r="65" spans="1:7" ht="21.75" customHeight="1">
      <c r="A65" s="350"/>
      <c r="B65" s="197">
        <v>758</v>
      </c>
      <c r="C65" s="197"/>
      <c r="D65" s="337"/>
      <c r="E65" s="431" t="s">
        <v>212</v>
      </c>
      <c r="F65" s="432">
        <f>F66</f>
        <v>85347</v>
      </c>
      <c r="G65" s="433">
        <f>G66</f>
        <v>0</v>
      </c>
    </row>
    <row r="66" spans="1:7" ht="22.5" customHeight="1">
      <c r="A66" s="386"/>
      <c r="B66" s="466"/>
      <c r="C66" s="467">
        <v>75818</v>
      </c>
      <c r="D66" s="440"/>
      <c r="E66" s="446" t="s">
        <v>213</v>
      </c>
      <c r="F66" s="447">
        <f>F67</f>
        <v>85347</v>
      </c>
      <c r="G66" s="448">
        <f>G67</f>
        <v>0</v>
      </c>
    </row>
    <row r="67" spans="1:7" ht="23.25" customHeight="1">
      <c r="A67" s="386"/>
      <c r="B67" s="243"/>
      <c r="C67" s="465"/>
      <c r="D67" s="457">
        <v>6800</v>
      </c>
      <c r="E67" s="468" t="s">
        <v>214</v>
      </c>
      <c r="F67" s="602">
        <f>400000-200000+24500-10000+174688-2498-40000-6000-101073-30478-5492+739700-35000+55000-18000-25000-730000-25000-15000-55000-10000</f>
        <v>85347</v>
      </c>
      <c r="G67" s="414">
        <f>500000-500000</f>
        <v>0</v>
      </c>
    </row>
    <row r="68" spans="1:7" ht="24.75" customHeight="1">
      <c r="A68" s="391"/>
      <c r="B68" s="193">
        <v>801</v>
      </c>
      <c r="C68" s="465"/>
      <c r="D68" s="457"/>
      <c r="E68" s="469" t="s">
        <v>74</v>
      </c>
      <c r="F68" s="443">
        <f>F69+F80+F95+F98+F105</f>
        <v>1638178.7</v>
      </c>
      <c r="G68" s="444">
        <f>G69+G80+G95+G98</f>
        <v>0</v>
      </c>
    </row>
    <row r="69" spans="1:7" ht="24" customHeight="1">
      <c r="A69" s="457"/>
      <c r="B69" s="466"/>
      <c r="C69" s="418">
        <v>80101</v>
      </c>
      <c r="D69" s="440"/>
      <c r="E69" s="446" t="s">
        <v>215</v>
      </c>
      <c r="F69" s="447">
        <f>SUM(F70:F79)</f>
        <v>1053478</v>
      </c>
      <c r="G69" s="448">
        <f>SUM(G70:G79)</f>
        <v>0</v>
      </c>
    </row>
    <row r="70" spans="1:7" ht="30.75" customHeight="1">
      <c r="A70" s="457">
        <v>38</v>
      </c>
      <c r="B70" s="278"/>
      <c r="C70" s="470"/>
      <c r="D70" s="411">
        <v>6050</v>
      </c>
      <c r="E70" s="151" t="s">
        <v>216</v>
      </c>
      <c r="F70" s="436">
        <f>40000+30000</f>
        <v>70000</v>
      </c>
      <c r="G70" s="414">
        <v>0</v>
      </c>
    </row>
    <row r="71" spans="1:9" ht="23.25" customHeight="1">
      <c r="A71" s="457">
        <v>39</v>
      </c>
      <c r="B71" s="278"/>
      <c r="C71" s="418"/>
      <c r="D71" s="411">
        <v>6050</v>
      </c>
      <c r="E71" s="429" t="s">
        <v>217</v>
      </c>
      <c r="F71" s="436">
        <f>600000-89889</f>
        <v>510111</v>
      </c>
      <c r="G71" s="414">
        <v>0</v>
      </c>
      <c r="I71" s="471"/>
    </row>
    <row r="72" spans="1:9" ht="27.75" customHeight="1">
      <c r="A72" s="457">
        <v>40</v>
      </c>
      <c r="B72" s="278"/>
      <c r="C72" s="418"/>
      <c r="D72" s="411">
        <v>6050</v>
      </c>
      <c r="E72" s="429" t="s">
        <v>218</v>
      </c>
      <c r="F72" s="436">
        <v>89889</v>
      </c>
      <c r="G72" s="414"/>
      <c r="I72" s="471"/>
    </row>
    <row r="73" spans="1:7" ht="23.25" customHeight="1">
      <c r="A73" s="457">
        <v>41</v>
      </c>
      <c r="B73" s="278"/>
      <c r="C73" s="418"/>
      <c r="D73" s="472">
        <v>6050</v>
      </c>
      <c r="E73" s="150" t="s">
        <v>219</v>
      </c>
      <c r="F73" s="437">
        <v>9000</v>
      </c>
      <c r="G73" s="414">
        <v>0</v>
      </c>
    </row>
    <row r="74" spans="1:7" ht="32.25" customHeight="1">
      <c r="A74" s="457">
        <v>42</v>
      </c>
      <c r="B74" s="243"/>
      <c r="C74" s="418"/>
      <c r="D74" s="472">
        <v>6050</v>
      </c>
      <c r="E74" s="150" t="s">
        <v>220</v>
      </c>
      <c r="F74" s="437">
        <v>50000</v>
      </c>
      <c r="G74" s="414">
        <v>0</v>
      </c>
    </row>
    <row r="75" spans="1:7" ht="34.5" customHeight="1">
      <c r="A75" s="457">
        <v>43</v>
      </c>
      <c r="B75" s="243"/>
      <c r="C75" s="418"/>
      <c r="D75" s="472">
        <v>6050</v>
      </c>
      <c r="E75" s="150" t="s">
        <v>221</v>
      </c>
      <c r="F75" s="437">
        <f>30478+200000</f>
        <v>230478</v>
      </c>
      <c r="G75" s="414">
        <v>0</v>
      </c>
    </row>
    <row r="76" spans="1:7" ht="23.25" customHeight="1">
      <c r="A76" s="457">
        <v>44</v>
      </c>
      <c r="B76" s="243"/>
      <c r="C76" s="418"/>
      <c r="D76" s="472">
        <v>6050</v>
      </c>
      <c r="E76" s="150" t="s">
        <v>222</v>
      </c>
      <c r="F76" s="437">
        <v>60000</v>
      </c>
      <c r="G76" s="414"/>
    </row>
    <row r="77" spans="1:7" ht="42" customHeight="1">
      <c r="A77" s="457">
        <v>45</v>
      </c>
      <c r="B77" s="243"/>
      <c r="C77" s="418"/>
      <c r="D77" s="603">
        <v>6050</v>
      </c>
      <c r="E77" s="620" t="s">
        <v>450</v>
      </c>
      <c r="F77" s="600">
        <v>13000</v>
      </c>
      <c r="G77" s="602"/>
    </row>
    <row r="78" spans="1:7" ht="21.75" customHeight="1">
      <c r="A78" s="457">
        <v>46</v>
      </c>
      <c r="B78" s="243"/>
      <c r="C78" s="409"/>
      <c r="D78" s="472">
        <v>6060</v>
      </c>
      <c r="E78" s="151" t="s">
        <v>223</v>
      </c>
      <c r="F78" s="437">
        <v>15000</v>
      </c>
      <c r="G78" s="414">
        <v>0</v>
      </c>
    </row>
    <row r="79" spans="1:7" ht="27" customHeight="1">
      <c r="A79" s="457">
        <v>47</v>
      </c>
      <c r="B79" s="243"/>
      <c r="C79" s="465"/>
      <c r="D79" s="472">
        <v>6060</v>
      </c>
      <c r="E79" s="151" t="s">
        <v>224</v>
      </c>
      <c r="F79" s="437">
        <v>6000</v>
      </c>
      <c r="G79" s="414">
        <v>0</v>
      </c>
    </row>
    <row r="80" spans="1:7" ht="24" customHeight="1">
      <c r="A80" s="457"/>
      <c r="B80" s="278"/>
      <c r="C80" s="435">
        <v>80104</v>
      </c>
      <c r="D80" s="420"/>
      <c r="E80" s="421" t="s">
        <v>225</v>
      </c>
      <c r="F80" s="422">
        <f>SUM(F81:F94)</f>
        <v>262493</v>
      </c>
      <c r="G80" s="423">
        <f>SUM(G81:G94)</f>
        <v>0</v>
      </c>
    </row>
    <row r="81" spans="1:13" s="415" customFormat="1" ht="21.75" customHeight="1">
      <c r="A81" s="457">
        <v>48</v>
      </c>
      <c r="B81" s="243"/>
      <c r="C81" s="409"/>
      <c r="D81" s="472">
        <v>6050</v>
      </c>
      <c r="E81" s="429" t="s">
        <v>226</v>
      </c>
      <c r="F81" s="436">
        <f>26000+78000-13000</f>
        <v>91000</v>
      </c>
      <c r="G81" s="437">
        <v>0</v>
      </c>
      <c r="J81" s="417"/>
      <c r="K81" s="417"/>
      <c r="L81" s="417"/>
      <c r="M81" s="417"/>
    </row>
    <row r="82" spans="1:13" s="415" customFormat="1" ht="25.5" customHeight="1">
      <c r="A82" s="457">
        <v>49</v>
      </c>
      <c r="B82" s="243"/>
      <c r="C82" s="409"/>
      <c r="D82" s="472">
        <v>6050</v>
      </c>
      <c r="E82" s="429" t="s">
        <v>227</v>
      </c>
      <c r="F82" s="436">
        <v>40000</v>
      </c>
      <c r="G82" s="437"/>
      <c r="J82" s="417"/>
      <c r="K82" s="417"/>
      <c r="L82" s="417"/>
      <c r="M82" s="417"/>
    </row>
    <row r="83" spans="1:13" s="415" customFormat="1" ht="20.25" customHeight="1">
      <c r="A83" s="457">
        <v>50</v>
      </c>
      <c r="B83" s="243"/>
      <c r="C83" s="409"/>
      <c r="D83" s="472">
        <v>6050</v>
      </c>
      <c r="E83" s="429" t="s">
        <v>228</v>
      </c>
      <c r="F83" s="436">
        <v>11600</v>
      </c>
      <c r="G83" s="437"/>
      <c r="J83" s="417"/>
      <c r="K83" s="417"/>
      <c r="L83" s="417"/>
      <c r="M83" s="417"/>
    </row>
    <row r="84" spans="1:13" s="415" customFormat="1" ht="21" customHeight="1">
      <c r="A84" s="457">
        <v>51</v>
      </c>
      <c r="B84" s="243"/>
      <c r="C84" s="409"/>
      <c r="D84" s="472">
        <v>6050</v>
      </c>
      <c r="E84" s="429" t="s">
        <v>229</v>
      </c>
      <c r="F84" s="436">
        <v>8000</v>
      </c>
      <c r="G84" s="437"/>
      <c r="J84" s="417"/>
      <c r="K84" s="417"/>
      <c r="L84" s="417"/>
      <c r="M84" s="417"/>
    </row>
    <row r="85" spans="1:13" s="415" customFormat="1" ht="31.5" customHeight="1">
      <c r="A85" s="457">
        <v>52</v>
      </c>
      <c r="B85" s="243"/>
      <c r="C85" s="409"/>
      <c r="D85" s="603">
        <v>6050</v>
      </c>
      <c r="E85" s="604" t="s">
        <v>405</v>
      </c>
      <c r="F85" s="605">
        <v>16600</v>
      </c>
      <c r="G85" s="600"/>
      <c r="J85" s="417"/>
      <c r="K85" s="417"/>
      <c r="L85" s="417"/>
      <c r="M85" s="417"/>
    </row>
    <row r="86" spans="1:13" s="415" customFormat="1" ht="25.5" customHeight="1">
      <c r="A86" s="457">
        <v>53</v>
      </c>
      <c r="B86" s="243"/>
      <c r="C86" s="409"/>
      <c r="D86" s="472">
        <v>6060</v>
      </c>
      <c r="E86" s="429" t="s">
        <v>230</v>
      </c>
      <c r="F86" s="436">
        <f>7500-827</f>
        <v>6673</v>
      </c>
      <c r="G86" s="437"/>
      <c r="J86" s="417"/>
      <c r="K86" s="417"/>
      <c r="L86" s="417"/>
      <c r="M86" s="417"/>
    </row>
    <row r="87" spans="1:13" s="415" customFormat="1" ht="23.25" customHeight="1">
      <c r="A87" s="457">
        <v>54</v>
      </c>
      <c r="B87" s="243"/>
      <c r="C87" s="409"/>
      <c r="D87" s="472">
        <v>6060</v>
      </c>
      <c r="E87" s="429" t="s">
        <v>231</v>
      </c>
      <c r="F87" s="436">
        <v>20000</v>
      </c>
      <c r="G87" s="437"/>
      <c r="J87" s="417"/>
      <c r="K87" s="417"/>
      <c r="L87" s="417"/>
      <c r="M87" s="417"/>
    </row>
    <row r="88" spans="1:13" s="415" customFormat="1" ht="21" customHeight="1">
      <c r="A88" s="457">
        <v>55</v>
      </c>
      <c r="B88" s="243"/>
      <c r="C88" s="409"/>
      <c r="D88" s="472">
        <v>6060</v>
      </c>
      <c r="E88" s="429" t="s">
        <v>232</v>
      </c>
      <c r="F88" s="436">
        <v>20000</v>
      </c>
      <c r="G88" s="437"/>
      <c r="J88" s="417"/>
      <c r="K88" s="417"/>
      <c r="L88" s="417"/>
      <c r="M88" s="417"/>
    </row>
    <row r="89" spans="1:13" s="415" customFormat="1" ht="21.75" customHeight="1">
      <c r="A89" s="457">
        <v>56</v>
      </c>
      <c r="B89" s="243"/>
      <c r="C89" s="409"/>
      <c r="D89" s="472">
        <v>6060</v>
      </c>
      <c r="E89" s="429" t="s">
        <v>233</v>
      </c>
      <c r="F89" s="436">
        <v>5000</v>
      </c>
      <c r="G89" s="437"/>
      <c r="J89" s="417"/>
      <c r="K89" s="417"/>
      <c r="L89" s="417"/>
      <c r="M89" s="417"/>
    </row>
    <row r="90" spans="1:13" s="415" customFormat="1" ht="21.75" customHeight="1">
      <c r="A90" s="457">
        <v>57</v>
      </c>
      <c r="B90" s="243"/>
      <c r="C90" s="409"/>
      <c r="D90" s="472">
        <v>6060</v>
      </c>
      <c r="E90" s="429" t="s">
        <v>234</v>
      </c>
      <c r="F90" s="436">
        <v>7300</v>
      </c>
      <c r="G90" s="437"/>
      <c r="J90" s="417"/>
      <c r="K90" s="417"/>
      <c r="L90" s="417"/>
      <c r="M90" s="417"/>
    </row>
    <row r="91" spans="1:13" s="415" customFormat="1" ht="20.25" customHeight="1">
      <c r="A91" s="457">
        <v>58</v>
      </c>
      <c r="B91" s="243"/>
      <c r="C91" s="409"/>
      <c r="D91" s="472">
        <v>6060</v>
      </c>
      <c r="E91" s="429" t="s">
        <v>235</v>
      </c>
      <c r="F91" s="436">
        <v>10320</v>
      </c>
      <c r="G91" s="437"/>
      <c r="J91" s="417"/>
      <c r="K91" s="417"/>
      <c r="L91" s="417"/>
      <c r="M91" s="417"/>
    </row>
    <row r="92" spans="1:7" ht="30" customHeight="1">
      <c r="A92" s="457">
        <v>59</v>
      </c>
      <c r="B92" s="243"/>
      <c r="C92" s="409"/>
      <c r="D92" s="152">
        <v>6060</v>
      </c>
      <c r="E92" s="151" t="s">
        <v>236</v>
      </c>
      <c r="F92" s="437">
        <v>11000</v>
      </c>
      <c r="G92" s="414">
        <v>0</v>
      </c>
    </row>
    <row r="93" spans="1:7" ht="21.75" customHeight="1">
      <c r="A93" s="457">
        <v>60</v>
      </c>
      <c r="B93" s="243"/>
      <c r="C93" s="409"/>
      <c r="D93" s="152">
        <v>6060</v>
      </c>
      <c r="E93" s="151" t="s">
        <v>237</v>
      </c>
      <c r="F93" s="437">
        <v>7000</v>
      </c>
      <c r="G93" s="414">
        <v>0</v>
      </c>
    </row>
    <row r="94" spans="1:7" ht="30" customHeight="1">
      <c r="A94" s="457">
        <v>61</v>
      </c>
      <c r="B94" s="243"/>
      <c r="C94" s="409"/>
      <c r="D94" s="152">
        <v>6060</v>
      </c>
      <c r="E94" s="151" t="s">
        <v>238</v>
      </c>
      <c r="F94" s="437">
        <v>8000</v>
      </c>
      <c r="G94" s="414">
        <v>0</v>
      </c>
    </row>
    <row r="95" spans="1:7" ht="19.5" customHeight="1">
      <c r="A95" s="457"/>
      <c r="B95" s="243"/>
      <c r="C95" s="435">
        <v>80110</v>
      </c>
      <c r="D95" s="420"/>
      <c r="E95" s="421" t="s">
        <v>239</v>
      </c>
      <c r="F95" s="422">
        <f>F96+F97</f>
        <v>250000</v>
      </c>
      <c r="G95" s="423">
        <f>G97</f>
        <v>0</v>
      </c>
    </row>
    <row r="96" spans="1:13" s="415" customFormat="1" ht="23.25" customHeight="1">
      <c r="A96" s="457">
        <v>62</v>
      </c>
      <c r="B96" s="243"/>
      <c r="C96" s="409"/>
      <c r="D96" s="473">
        <v>6050</v>
      </c>
      <c r="E96" s="429" t="s">
        <v>240</v>
      </c>
      <c r="F96" s="436">
        <v>220000</v>
      </c>
      <c r="G96" s="437">
        <v>0</v>
      </c>
      <c r="J96" s="417"/>
      <c r="K96" s="417"/>
      <c r="L96" s="417"/>
      <c r="M96" s="417"/>
    </row>
    <row r="97" spans="1:7" ht="31.5" customHeight="1">
      <c r="A97" s="457">
        <v>63</v>
      </c>
      <c r="B97" s="243"/>
      <c r="C97" s="418"/>
      <c r="D97" s="474">
        <v>6050</v>
      </c>
      <c r="E97" s="151" t="s">
        <v>241</v>
      </c>
      <c r="F97" s="436">
        <v>30000</v>
      </c>
      <c r="G97" s="437">
        <v>0</v>
      </c>
    </row>
    <row r="98" spans="1:13" s="475" customFormat="1" ht="22.5" customHeight="1">
      <c r="A98" s="440"/>
      <c r="B98" s="278"/>
      <c r="C98" s="435">
        <v>80148</v>
      </c>
      <c r="D98" s="420"/>
      <c r="E98" s="421" t="s">
        <v>242</v>
      </c>
      <c r="F98" s="422">
        <f>SUM(F99:F104)</f>
        <v>42208</v>
      </c>
      <c r="G98" s="423">
        <f>SUM(G99:G104)</f>
        <v>0</v>
      </c>
      <c r="J98" s="476"/>
      <c r="K98" s="476"/>
      <c r="L98" s="476"/>
      <c r="M98" s="476"/>
    </row>
    <row r="99" spans="1:7" ht="27" customHeight="1">
      <c r="A99" s="457">
        <v>64</v>
      </c>
      <c r="B99" s="243"/>
      <c r="C99" s="418"/>
      <c r="D99" s="152">
        <v>6060</v>
      </c>
      <c r="E99" s="151" t="s">
        <v>243</v>
      </c>
      <c r="F99" s="436">
        <f>12000-5400</f>
        <v>6600</v>
      </c>
      <c r="G99" s="437">
        <v>0</v>
      </c>
    </row>
    <row r="100" spans="1:7" ht="22.5" customHeight="1">
      <c r="A100" s="457">
        <v>65</v>
      </c>
      <c r="B100" s="243"/>
      <c r="C100" s="418"/>
      <c r="D100" s="152">
        <v>6060</v>
      </c>
      <c r="E100" s="151" t="s">
        <v>244</v>
      </c>
      <c r="F100" s="436">
        <v>5400</v>
      </c>
      <c r="G100" s="437">
        <v>0</v>
      </c>
    </row>
    <row r="101" spans="1:7" ht="21.75" customHeight="1">
      <c r="A101" s="457">
        <v>66</v>
      </c>
      <c r="B101" s="243"/>
      <c r="C101" s="418"/>
      <c r="D101" s="152">
        <v>6060</v>
      </c>
      <c r="E101" s="151" t="s">
        <v>245</v>
      </c>
      <c r="F101" s="436">
        <f>12000-2442</f>
        <v>9558</v>
      </c>
      <c r="G101" s="437">
        <v>0</v>
      </c>
    </row>
    <row r="102" spans="1:7" ht="21.75" customHeight="1">
      <c r="A102" s="457">
        <v>67</v>
      </c>
      <c r="B102" s="243"/>
      <c r="C102" s="418"/>
      <c r="D102" s="152">
        <v>6060</v>
      </c>
      <c r="E102" s="151" t="s">
        <v>246</v>
      </c>
      <c r="F102" s="436">
        <v>7000</v>
      </c>
      <c r="G102" s="437">
        <v>0</v>
      </c>
    </row>
    <row r="103" spans="1:7" ht="21.75" customHeight="1">
      <c r="A103" s="457">
        <v>68</v>
      </c>
      <c r="B103" s="243"/>
      <c r="C103" s="409"/>
      <c r="D103" s="152">
        <v>6060</v>
      </c>
      <c r="E103" s="151" t="s">
        <v>247</v>
      </c>
      <c r="F103" s="436">
        <f>6200-550</f>
        <v>5650</v>
      </c>
      <c r="G103" s="414">
        <v>0</v>
      </c>
    </row>
    <row r="104" spans="1:7" ht="19.5" customHeight="1">
      <c r="A104" s="457">
        <v>69</v>
      </c>
      <c r="B104" s="238"/>
      <c r="C104" s="409"/>
      <c r="D104" s="152">
        <v>6060</v>
      </c>
      <c r="E104" s="151" t="s">
        <v>248</v>
      </c>
      <c r="F104" s="436">
        <v>8000</v>
      </c>
      <c r="G104" s="414">
        <v>0</v>
      </c>
    </row>
    <row r="105" spans="1:13" s="475" customFormat="1" ht="21.75" customHeight="1">
      <c r="A105" s="440"/>
      <c r="B105" s="477"/>
      <c r="C105" s="439">
        <v>80195</v>
      </c>
      <c r="D105" s="478"/>
      <c r="E105" s="479" t="s">
        <v>196</v>
      </c>
      <c r="F105" s="422">
        <f>F106</f>
        <v>29999.7</v>
      </c>
      <c r="G105" s="422">
        <f>G106</f>
        <v>0</v>
      </c>
      <c r="J105" s="476"/>
      <c r="K105" s="476"/>
      <c r="L105" s="476"/>
      <c r="M105" s="476"/>
    </row>
    <row r="106" spans="1:7" ht="21.75" customHeight="1">
      <c r="A106" s="457">
        <v>70</v>
      </c>
      <c r="B106" s="480"/>
      <c r="C106" s="409"/>
      <c r="D106" s="472">
        <v>6050</v>
      </c>
      <c r="E106" s="151" t="s">
        <v>249</v>
      </c>
      <c r="F106" s="436">
        <v>29999.7</v>
      </c>
      <c r="G106" s="414">
        <v>0</v>
      </c>
    </row>
    <row r="107" spans="1:13" s="481" customFormat="1" ht="18.75" customHeight="1">
      <c r="A107" s="341"/>
      <c r="B107" s="480">
        <v>851</v>
      </c>
      <c r="C107" s="197"/>
      <c r="D107" s="329"/>
      <c r="E107" s="342" t="s">
        <v>75</v>
      </c>
      <c r="F107" s="432">
        <f>F108</f>
        <v>7500</v>
      </c>
      <c r="G107" s="433">
        <f>G108</f>
        <v>0</v>
      </c>
      <c r="J107" s="482"/>
      <c r="K107" s="482"/>
      <c r="L107" s="482"/>
      <c r="M107" s="482"/>
    </row>
    <row r="108" spans="1:13" s="475" customFormat="1" ht="19.5" customHeight="1">
      <c r="A108" s="463"/>
      <c r="B108" s="483"/>
      <c r="C108" s="439">
        <v>85154</v>
      </c>
      <c r="D108" s="463"/>
      <c r="E108" s="479" t="s">
        <v>250</v>
      </c>
      <c r="F108" s="422">
        <f>F109</f>
        <v>7500</v>
      </c>
      <c r="G108" s="484"/>
      <c r="J108" s="476"/>
      <c r="K108" s="476"/>
      <c r="L108" s="476"/>
      <c r="M108" s="476"/>
    </row>
    <row r="109" spans="1:7" ht="33.75" customHeight="1">
      <c r="A109" s="152">
        <v>71</v>
      </c>
      <c r="B109" s="250"/>
      <c r="C109" s="269"/>
      <c r="D109" s="411">
        <v>6220</v>
      </c>
      <c r="E109" s="429" t="s">
        <v>251</v>
      </c>
      <c r="F109" s="413">
        <v>7500</v>
      </c>
      <c r="G109" s="414">
        <v>0</v>
      </c>
    </row>
    <row r="110" spans="1:7" ht="20.25" customHeight="1">
      <c r="A110" s="152"/>
      <c r="B110" s="485">
        <v>852</v>
      </c>
      <c r="C110" s="197"/>
      <c r="D110" s="329"/>
      <c r="E110" s="342" t="s">
        <v>104</v>
      </c>
      <c r="F110" s="432">
        <f>F111</f>
        <v>55000</v>
      </c>
      <c r="G110" s="433">
        <f>G111</f>
        <v>0</v>
      </c>
    </row>
    <row r="111" spans="1:13" s="475" customFormat="1" ht="25.5" customHeight="1">
      <c r="A111" s="463"/>
      <c r="B111" s="486"/>
      <c r="C111" s="439">
        <v>85219</v>
      </c>
      <c r="D111" s="463"/>
      <c r="E111" s="479" t="s">
        <v>252</v>
      </c>
      <c r="F111" s="422">
        <f>F112+F113</f>
        <v>55000</v>
      </c>
      <c r="G111" s="484"/>
      <c r="J111" s="476"/>
      <c r="K111" s="476"/>
      <c r="L111" s="476"/>
      <c r="M111" s="476"/>
    </row>
    <row r="112" spans="1:7" ht="30" customHeight="1">
      <c r="A112" s="152">
        <v>72</v>
      </c>
      <c r="B112" s="250"/>
      <c r="C112" s="269"/>
      <c r="D112" s="411">
        <v>6050</v>
      </c>
      <c r="E112" s="429" t="s">
        <v>253</v>
      </c>
      <c r="F112" s="413">
        <v>15000</v>
      </c>
      <c r="G112" s="414">
        <v>0</v>
      </c>
    </row>
    <row r="113" spans="1:7" ht="34.5" customHeight="1">
      <c r="A113" s="152">
        <v>73</v>
      </c>
      <c r="B113" s="250"/>
      <c r="C113" s="269"/>
      <c r="D113" s="473">
        <v>6060</v>
      </c>
      <c r="E113" s="429" t="s">
        <v>254</v>
      </c>
      <c r="F113" s="413">
        <v>40000</v>
      </c>
      <c r="G113" s="414"/>
    </row>
    <row r="114" spans="1:7" ht="22.5" customHeight="1">
      <c r="A114" s="152"/>
      <c r="B114" s="193">
        <v>853</v>
      </c>
      <c r="C114" s="188"/>
      <c r="D114" s="473"/>
      <c r="E114" s="431" t="s">
        <v>76</v>
      </c>
      <c r="F114" s="432">
        <f>F115+F118</f>
        <v>1261846.88</v>
      </c>
      <c r="G114" s="433">
        <f>G118</f>
        <v>0</v>
      </c>
    </row>
    <row r="115" spans="1:13" s="475" customFormat="1" ht="22.5" customHeight="1">
      <c r="A115" s="487"/>
      <c r="B115" s="434"/>
      <c r="C115" s="435">
        <v>85305</v>
      </c>
      <c r="D115" s="488"/>
      <c r="E115" s="421" t="s">
        <v>255</v>
      </c>
      <c r="F115" s="422">
        <f>F116+F117</f>
        <v>419865</v>
      </c>
      <c r="G115" s="423"/>
      <c r="J115" s="476"/>
      <c r="K115" s="476"/>
      <c r="L115" s="476"/>
      <c r="M115" s="476"/>
    </row>
    <row r="116" spans="1:7" ht="37.5" customHeight="1">
      <c r="A116" s="474">
        <v>74</v>
      </c>
      <c r="B116" s="193"/>
      <c r="C116" s="489"/>
      <c r="D116" s="473">
        <v>6050</v>
      </c>
      <c r="E116" s="490" t="s">
        <v>256</v>
      </c>
      <c r="F116" s="436">
        <f>273612+79700+2618</f>
        <v>355930</v>
      </c>
      <c r="G116" s="433"/>
    </row>
    <row r="117" spans="1:7" ht="33.75" customHeight="1">
      <c r="A117" s="474">
        <v>75</v>
      </c>
      <c r="B117" s="193"/>
      <c r="C117" s="489"/>
      <c r="D117" s="473">
        <v>6050</v>
      </c>
      <c r="E117" s="490" t="s">
        <v>257</v>
      </c>
      <c r="F117" s="436">
        <v>63935</v>
      </c>
      <c r="G117" s="433"/>
    </row>
    <row r="118" spans="1:7" ht="24" customHeight="1">
      <c r="A118" s="474"/>
      <c r="B118" s="193"/>
      <c r="C118" s="435">
        <v>85395</v>
      </c>
      <c r="D118" s="488"/>
      <c r="E118" s="421" t="s">
        <v>258</v>
      </c>
      <c r="F118" s="422">
        <f>SUM(F119:F122)</f>
        <v>841981.88</v>
      </c>
      <c r="G118" s="423">
        <f>SUM(G119:G122)</f>
        <v>0</v>
      </c>
    </row>
    <row r="119" spans="1:7" ht="34.5" customHeight="1">
      <c r="A119" s="681">
        <v>76</v>
      </c>
      <c r="B119" s="491"/>
      <c r="C119" s="418"/>
      <c r="D119" s="152">
        <v>6237</v>
      </c>
      <c r="E119" s="143" t="s">
        <v>259</v>
      </c>
      <c r="F119" s="436">
        <v>35684.6</v>
      </c>
      <c r="G119" s="423">
        <v>0</v>
      </c>
    </row>
    <row r="120" spans="1:7" ht="34.5" customHeight="1">
      <c r="A120" s="682"/>
      <c r="B120" s="491"/>
      <c r="C120" s="418"/>
      <c r="D120" s="152">
        <v>6239</v>
      </c>
      <c r="E120" s="143" t="s">
        <v>259</v>
      </c>
      <c r="F120" s="436">
        <v>6297.28</v>
      </c>
      <c r="G120" s="423">
        <v>0</v>
      </c>
    </row>
    <row r="121" spans="1:7" ht="36.75" customHeight="1">
      <c r="A121" s="492">
        <v>77</v>
      </c>
      <c r="B121" s="243"/>
      <c r="C121" s="418"/>
      <c r="D121" s="473">
        <v>6237</v>
      </c>
      <c r="E121" s="429" t="s">
        <v>109</v>
      </c>
      <c r="F121" s="413">
        <v>680000</v>
      </c>
      <c r="G121" s="414">
        <v>0</v>
      </c>
    </row>
    <row r="122" spans="1:7" ht="31.5" customHeight="1">
      <c r="A122" s="493"/>
      <c r="B122" s="238"/>
      <c r="C122" s="409"/>
      <c r="D122" s="473">
        <v>6239</v>
      </c>
      <c r="E122" s="429" t="s">
        <v>109</v>
      </c>
      <c r="F122" s="413">
        <v>120000</v>
      </c>
      <c r="G122" s="414">
        <v>0</v>
      </c>
    </row>
    <row r="123" spans="1:7" ht="24" customHeight="1">
      <c r="A123" s="341"/>
      <c r="B123" s="238">
        <v>900</v>
      </c>
      <c r="C123" s="197"/>
      <c r="D123" s="337"/>
      <c r="E123" s="431" t="s">
        <v>260</v>
      </c>
      <c r="F123" s="432">
        <f>F124+F127+F129+F138</f>
        <v>29321794.18</v>
      </c>
      <c r="G123" s="433">
        <f>G124+G127+G129+G138</f>
        <v>5716191.52</v>
      </c>
    </row>
    <row r="124" spans="1:7" ht="21" customHeight="1">
      <c r="A124" s="341"/>
      <c r="B124" s="243"/>
      <c r="C124" s="438">
        <v>90002</v>
      </c>
      <c r="D124" s="440"/>
      <c r="E124" s="421" t="s">
        <v>261</v>
      </c>
      <c r="F124" s="422">
        <f>SUM(F125:F126)</f>
        <v>42000</v>
      </c>
      <c r="G124" s="423">
        <f>SUM(G125:G126)</f>
        <v>42000</v>
      </c>
    </row>
    <row r="125" spans="1:7" ht="30" customHeight="1">
      <c r="A125" s="152">
        <v>78</v>
      </c>
      <c r="B125" s="250"/>
      <c r="C125" s="193"/>
      <c r="D125" s="411">
        <v>6220</v>
      </c>
      <c r="E125" s="458" t="s">
        <v>262</v>
      </c>
      <c r="F125" s="494">
        <v>12000</v>
      </c>
      <c r="G125" s="495">
        <v>12000</v>
      </c>
    </row>
    <row r="126" spans="1:7" ht="27.75" customHeight="1">
      <c r="A126" s="152">
        <v>79</v>
      </c>
      <c r="B126" s="250"/>
      <c r="C126" s="238"/>
      <c r="D126" s="411">
        <v>6230</v>
      </c>
      <c r="E126" s="353" t="s">
        <v>262</v>
      </c>
      <c r="F126" s="494">
        <v>30000</v>
      </c>
      <c r="G126" s="495">
        <v>30000</v>
      </c>
    </row>
    <row r="127" spans="1:13" s="475" customFormat="1" ht="27" customHeight="1">
      <c r="A127" s="463"/>
      <c r="B127" s="486"/>
      <c r="C127" s="419">
        <v>90004</v>
      </c>
      <c r="D127" s="420"/>
      <c r="E127" s="496" t="s">
        <v>263</v>
      </c>
      <c r="F127" s="497">
        <f>F128</f>
        <v>24969</v>
      </c>
      <c r="G127" s="498"/>
      <c r="J127" s="476"/>
      <c r="K127" s="476"/>
      <c r="L127" s="476"/>
      <c r="M127" s="476"/>
    </row>
    <row r="128" spans="1:7" ht="29.25" customHeight="1">
      <c r="A128" s="152">
        <v>80</v>
      </c>
      <c r="B128" s="250"/>
      <c r="C128" s="238"/>
      <c r="D128" s="411">
        <v>6050</v>
      </c>
      <c r="E128" s="429" t="s">
        <v>264</v>
      </c>
      <c r="F128" s="494">
        <f>25000-31</f>
        <v>24969</v>
      </c>
      <c r="G128" s="495"/>
    </row>
    <row r="129" spans="1:7" ht="24.75" customHeight="1">
      <c r="A129" s="152"/>
      <c r="B129" s="438"/>
      <c r="C129" s="439">
        <v>90015</v>
      </c>
      <c r="D129" s="440"/>
      <c r="E129" s="421" t="s">
        <v>265</v>
      </c>
      <c r="F129" s="422">
        <f>SUM(F130:F137)</f>
        <v>3935025.01</v>
      </c>
      <c r="G129" s="423">
        <f>SUM(G130:G135)</f>
        <v>0</v>
      </c>
    </row>
    <row r="130" spans="1:7" ht="33" customHeight="1">
      <c r="A130" s="152">
        <v>81</v>
      </c>
      <c r="B130" s="257"/>
      <c r="C130" s="269"/>
      <c r="D130" s="453">
        <v>6050</v>
      </c>
      <c r="E130" s="499" t="s">
        <v>266</v>
      </c>
      <c r="F130" s="494">
        <v>1149.61</v>
      </c>
      <c r="G130" s="495">
        <v>0</v>
      </c>
    </row>
    <row r="131" spans="1:7" ht="24.75" customHeight="1">
      <c r="A131" s="152">
        <v>82</v>
      </c>
      <c r="B131" s="257"/>
      <c r="C131" s="269"/>
      <c r="D131" s="453">
        <v>6050</v>
      </c>
      <c r="E131" s="353" t="s">
        <v>267</v>
      </c>
      <c r="F131" s="494">
        <v>442.17</v>
      </c>
      <c r="G131" s="495">
        <v>0</v>
      </c>
    </row>
    <row r="132" spans="1:7" ht="28.5" customHeight="1">
      <c r="A132" s="152">
        <v>83</v>
      </c>
      <c r="B132" s="257"/>
      <c r="C132" s="269"/>
      <c r="D132" s="453">
        <v>6050</v>
      </c>
      <c r="E132" s="353" t="s">
        <v>268</v>
      </c>
      <c r="F132" s="494">
        <v>6000</v>
      </c>
      <c r="G132" s="495"/>
    </row>
    <row r="133" spans="1:7" ht="33.75" customHeight="1">
      <c r="A133" s="152">
        <v>84</v>
      </c>
      <c r="B133" s="257"/>
      <c r="C133" s="269"/>
      <c r="D133" s="453">
        <v>6050</v>
      </c>
      <c r="E133" s="353" t="s">
        <v>269</v>
      </c>
      <c r="F133" s="494">
        <v>20000</v>
      </c>
      <c r="G133" s="495"/>
    </row>
    <row r="134" spans="1:7" ht="32.25" customHeight="1">
      <c r="A134" s="152">
        <v>85</v>
      </c>
      <c r="B134" s="257"/>
      <c r="C134" s="269"/>
      <c r="D134" s="453">
        <v>6050</v>
      </c>
      <c r="E134" s="353" t="s">
        <v>270</v>
      </c>
      <c r="F134" s="494">
        <v>18000</v>
      </c>
      <c r="G134" s="495"/>
    </row>
    <row r="135" spans="1:7" ht="25.5" customHeight="1">
      <c r="A135" s="152">
        <v>86</v>
      </c>
      <c r="B135" s="257"/>
      <c r="C135" s="269"/>
      <c r="D135" s="453">
        <v>6050</v>
      </c>
      <c r="E135" s="353" t="s">
        <v>156</v>
      </c>
      <c r="F135" s="494">
        <f>3760327-2+1+10000+45000</f>
        <v>3815326</v>
      </c>
      <c r="G135" s="495">
        <v>0</v>
      </c>
    </row>
    <row r="136" spans="1:7" ht="24.75" customHeight="1">
      <c r="A136" s="152">
        <v>87</v>
      </c>
      <c r="B136" s="257"/>
      <c r="C136" s="269"/>
      <c r="D136" s="411">
        <v>6060</v>
      </c>
      <c r="E136" s="353" t="s">
        <v>271</v>
      </c>
      <c r="F136" s="494">
        <v>55112.23</v>
      </c>
      <c r="G136" s="495"/>
    </row>
    <row r="137" spans="1:7" ht="26.25" customHeight="1">
      <c r="A137" s="152">
        <v>88</v>
      </c>
      <c r="B137" s="257"/>
      <c r="C137" s="269"/>
      <c r="D137" s="411">
        <v>6060</v>
      </c>
      <c r="E137" s="353" t="s">
        <v>272</v>
      </c>
      <c r="F137" s="494">
        <v>18995</v>
      </c>
      <c r="G137" s="495"/>
    </row>
    <row r="138" spans="1:7" ht="21.75" customHeight="1">
      <c r="A138" s="152" t="s">
        <v>62</v>
      </c>
      <c r="B138" s="438"/>
      <c r="C138" s="439">
        <v>90095</v>
      </c>
      <c r="D138" s="440"/>
      <c r="E138" s="421" t="s">
        <v>196</v>
      </c>
      <c r="F138" s="422">
        <f>SUM(F139:F153)</f>
        <v>25319800.17</v>
      </c>
      <c r="G138" s="423">
        <f>SUM(G139:G153)</f>
        <v>5674191.52</v>
      </c>
    </row>
    <row r="139" spans="1:13" s="415" customFormat="1" ht="33" customHeight="1">
      <c r="A139" s="379">
        <v>89</v>
      </c>
      <c r="B139" s="500"/>
      <c r="C139" s="269"/>
      <c r="D139" s="411">
        <v>6010</v>
      </c>
      <c r="E139" s="429" t="s">
        <v>273</v>
      </c>
      <c r="F139" s="436">
        <f>182470-11590</f>
        <v>170880</v>
      </c>
      <c r="G139" s="437">
        <f>175999-11590</f>
        <v>164409</v>
      </c>
      <c r="I139" s="417"/>
      <c r="J139" s="417"/>
      <c r="K139" s="417"/>
      <c r="L139" s="417"/>
      <c r="M139" s="417"/>
    </row>
    <row r="140" spans="1:13" s="415" customFormat="1" ht="27" customHeight="1">
      <c r="A140" s="379">
        <v>90</v>
      </c>
      <c r="B140" s="500"/>
      <c r="C140" s="269"/>
      <c r="D140" s="457">
        <v>6010</v>
      </c>
      <c r="E140" s="429" t="s">
        <v>274</v>
      </c>
      <c r="F140" s="436">
        <f>328000+3892000</f>
        <v>4220000</v>
      </c>
      <c r="G140" s="437">
        <v>328000</v>
      </c>
      <c r="J140" s="417"/>
      <c r="K140" s="417"/>
      <c r="L140" s="417"/>
      <c r="M140" s="417"/>
    </row>
    <row r="141" spans="1:13" s="415" customFormat="1" ht="32.25" customHeight="1">
      <c r="A141" s="379">
        <v>91</v>
      </c>
      <c r="B141" s="500"/>
      <c r="C141" s="269"/>
      <c r="D141" s="411">
        <v>6010</v>
      </c>
      <c r="E141" s="151" t="s">
        <v>275</v>
      </c>
      <c r="F141" s="436">
        <v>72254</v>
      </c>
      <c r="G141" s="437"/>
      <c r="J141" s="417"/>
      <c r="K141" s="417"/>
      <c r="L141" s="417"/>
      <c r="M141" s="417"/>
    </row>
    <row r="142" spans="1:13" s="415" customFormat="1" ht="32.25" customHeight="1">
      <c r="A142" s="379">
        <v>92</v>
      </c>
      <c r="B142" s="500"/>
      <c r="C142" s="269"/>
      <c r="D142" s="411">
        <v>6010</v>
      </c>
      <c r="E142" s="151" t="s">
        <v>276</v>
      </c>
      <c r="F142" s="436">
        <v>107746</v>
      </c>
      <c r="G142" s="437"/>
      <c r="J142" s="417"/>
      <c r="K142" s="417"/>
      <c r="L142" s="417"/>
      <c r="M142" s="417"/>
    </row>
    <row r="143" spans="1:13" s="415" customFormat="1" ht="32.25" customHeight="1">
      <c r="A143" s="379">
        <v>93</v>
      </c>
      <c r="B143" s="500"/>
      <c r="C143" s="269"/>
      <c r="D143" s="411">
        <v>6010</v>
      </c>
      <c r="E143" s="501" t="s">
        <v>277</v>
      </c>
      <c r="F143" s="436">
        <v>48000</v>
      </c>
      <c r="G143" s="437">
        <v>11590</v>
      </c>
      <c r="J143" s="417"/>
      <c r="K143" s="417"/>
      <c r="L143" s="417"/>
      <c r="M143" s="417"/>
    </row>
    <row r="144" spans="1:13" s="534" customFormat="1" ht="57.75" customHeight="1">
      <c r="A144" s="379">
        <v>94</v>
      </c>
      <c r="B144" s="500"/>
      <c r="C144" s="269"/>
      <c r="D144" s="606">
        <v>6010</v>
      </c>
      <c r="E144" s="604" t="s">
        <v>418</v>
      </c>
      <c r="F144" s="605">
        <v>30000</v>
      </c>
      <c r="G144" s="600"/>
      <c r="J144" s="535"/>
      <c r="K144" s="535"/>
      <c r="L144" s="535"/>
      <c r="M144" s="535"/>
    </row>
    <row r="145" spans="1:13" s="534" customFormat="1" ht="43.5" customHeight="1">
      <c r="A145" s="379">
        <v>95</v>
      </c>
      <c r="B145" s="500"/>
      <c r="C145" s="269"/>
      <c r="D145" s="606">
        <v>6010</v>
      </c>
      <c r="E145" s="604" t="s">
        <v>419</v>
      </c>
      <c r="F145" s="605">
        <v>55000</v>
      </c>
      <c r="G145" s="600"/>
      <c r="J145" s="535"/>
      <c r="K145" s="535"/>
      <c r="L145" s="535"/>
      <c r="M145" s="535"/>
    </row>
    <row r="146" spans="1:13" s="534" customFormat="1" ht="34.5" customHeight="1">
      <c r="A146" s="379">
        <v>96</v>
      </c>
      <c r="B146" s="500"/>
      <c r="C146" s="269"/>
      <c r="D146" s="606">
        <v>6050</v>
      </c>
      <c r="E146" s="604" t="s">
        <v>420</v>
      </c>
      <c r="F146" s="605">
        <v>120000</v>
      </c>
      <c r="G146" s="600"/>
      <c r="J146" s="535"/>
      <c r="K146" s="535"/>
      <c r="L146" s="535"/>
      <c r="M146" s="535"/>
    </row>
    <row r="147" spans="1:13" s="415" customFormat="1" ht="23.25" customHeight="1">
      <c r="A147" s="379">
        <v>97</v>
      </c>
      <c r="B147" s="500"/>
      <c r="C147" s="269"/>
      <c r="D147" s="411">
        <v>6050</v>
      </c>
      <c r="E147" s="429" t="s">
        <v>278</v>
      </c>
      <c r="F147" s="436">
        <f>200000-50000-5348</f>
        <v>144652</v>
      </c>
      <c r="G147" s="437">
        <v>0</v>
      </c>
      <c r="J147" s="417"/>
      <c r="K147" s="417"/>
      <c r="L147" s="417"/>
      <c r="M147" s="417"/>
    </row>
    <row r="148" spans="1:7" ht="25.5" customHeight="1">
      <c r="A148" s="379">
        <v>98</v>
      </c>
      <c r="B148" s="502"/>
      <c r="C148" s="438"/>
      <c r="D148" s="411">
        <v>6050</v>
      </c>
      <c r="E148" s="151" t="s">
        <v>279</v>
      </c>
      <c r="F148" s="436">
        <f>500000+1476+3600000+3307000</f>
        <v>7408476</v>
      </c>
      <c r="G148" s="437">
        <v>500000</v>
      </c>
    </row>
    <row r="149" spans="1:7" ht="33.75" customHeight="1">
      <c r="A149" s="379">
        <v>99</v>
      </c>
      <c r="B149" s="502"/>
      <c r="C149" s="438"/>
      <c r="D149" s="411">
        <v>6050</v>
      </c>
      <c r="E149" s="429" t="s">
        <v>280</v>
      </c>
      <c r="F149" s="436">
        <v>15000</v>
      </c>
      <c r="G149" s="437">
        <v>15000</v>
      </c>
    </row>
    <row r="150" spans="1:7" ht="30.75" customHeight="1">
      <c r="A150" s="379">
        <v>100</v>
      </c>
      <c r="B150" s="502"/>
      <c r="C150" s="438"/>
      <c r="D150" s="411">
        <v>6050</v>
      </c>
      <c r="E150" s="429" t="s">
        <v>281</v>
      </c>
      <c r="F150" s="436">
        <v>180000</v>
      </c>
      <c r="G150" s="437"/>
    </row>
    <row r="151" spans="1:9" ht="24" customHeight="1">
      <c r="A151" s="379">
        <v>101</v>
      </c>
      <c r="B151" s="502"/>
      <c r="C151" s="438"/>
      <c r="D151" s="411">
        <v>6057</v>
      </c>
      <c r="E151" s="353" t="s">
        <v>282</v>
      </c>
      <c r="F151" s="494">
        <v>7482653.84</v>
      </c>
      <c r="G151" s="495"/>
      <c r="I151" s="368"/>
    </row>
    <row r="152" spans="1:9" ht="22.5" customHeight="1">
      <c r="A152" s="379">
        <v>102</v>
      </c>
      <c r="B152" s="503"/>
      <c r="C152" s="144"/>
      <c r="D152" s="411">
        <v>6059</v>
      </c>
      <c r="E152" s="353" t="s">
        <v>282</v>
      </c>
      <c r="F152" s="494">
        <f>1320468.33+3544670</f>
        <v>4865138.33</v>
      </c>
      <c r="G152" s="495">
        <f>784794+3422398.52+88000+55000-95000</f>
        <v>4255192.52</v>
      </c>
      <c r="I152" s="368"/>
    </row>
    <row r="153" spans="1:9" ht="30.75" customHeight="1">
      <c r="A153" s="379">
        <v>103</v>
      </c>
      <c r="B153" s="503"/>
      <c r="C153" s="144"/>
      <c r="D153" s="411">
        <v>6230</v>
      </c>
      <c r="E153" s="353" t="s">
        <v>283</v>
      </c>
      <c r="F153" s="494">
        <f>600000-200000</f>
        <v>400000</v>
      </c>
      <c r="G153" s="495">
        <f>600000-200000</f>
        <v>400000</v>
      </c>
      <c r="I153" s="368"/>
    </row>
    <row r="154" spans="1:13" s="481" customFormat="1" ht="22.5" customHeight="1">
      <c r="A154" s="341"/>
      <c r="B154" s="504">
        <v>921</v>
      </c>
      <c r="C154" s="504"/>
      <c r="D154" s="341"/>
      <c r="E154" s="505" t="s">
        <v>110</v>
      </c>
      <c r="F154" s="506">
        <f>F155</f>
        <v>1166543.9</v>
      </c>
      <c r="G154" s="507">
        <f>G155</f>
        <v>652000</v>
      </c>
      <c r="J154" s="482"/>
      <c r="K154" s="482"/>
      <c r="L154" s="482"/>
      <c r="M154" s="482"/>
    </row>
    <row r="155" spans="1:13" s="475" customFormat="1" ht="27" customHeight="1">
      <c r="A155" s="508" t="s">
        <v>62</v>
      </c>
      <c r="B155" s="509"/>
      <c r="C155" s="510">
        <v>92109</v>
      </c>
      <c r="D155" s="511"/>
      <c r="E155" s="496" t="s">
        <v>284</v>
      </c>
      <c r="F155" s="512">
        <f>SUM(F156:F158)</f>
        <v>1166543.9</v>
      </c>
      <c r="G155" s="513">
        <f>SUM(G156:G158)</f>
        <v>652000</v>
      </c>
      <c r="J155" s="476"/>
      <c r="K155" s="476"/>
      <c r="L155" s="476"/>
      <c r="M155" s="476"/>
    </row>
    <row r="156" spans="1:7" ht="29.25" customHeight="1">
      <c r="A156" s="152">
        <v>104</v>
      </c>
      <c r="B156" s="503"/>
      <c r="C156" s="291"/>
      <c r="D156" s="457">
        <v>6050</v>
      </c>
      <c r="E156" s="353" t="s">
        <v>285</v>
      </c>
      <c r="F156" s="494">
        <f>1428930-574386.1+262000-55000</f>
        <v>1061543.9</v>
      </c>
      <c r="G156" s="495">
        <f>700000-350000+262000-55000</f>
        <v>557000</v>
      </c>
    </row>
    <row r="157" spans="1:7" ht="34.5" customHeight="1">
      <c r="A157" s="152">
        <v>105</v>
      </c>
      <c r="B157" s="503"/>
      <c r="C157" s="144"/>
      <c r="D157" s="457">
        <v>6220</v>
      </c>
      <c r="E157" s="353" t="s">
        <v>286</v>
      </c>
      <c r="F157" s="494">
        <v>10000</v>
      </c>
      <c r="G157" s="495"/>
    </row>
    <row r="158" spans="1:7" ht="30" customHeight="1">
      <c r="A158" s="379">
        <v>106</v>
      </c>
      <c r="B158" s="503"/>
      <c r="C158" s="144"/>
      <c r="D158" s="474">
        <v>6220</v>
      </c>
      <c r="E158" s="353" t="s">
        <v>150</v>
      </c>
      <c r="F158" s="494">
        <v>95000</v>
      </c>
      <c r="G158" s="495">
        <v>95000</v>
      </c>
    </row>
    <row r="159" spans="1:13" s="481" customFormat="1" ht="24.75" customHeight="1">
      <c r="A159" s="341"/>
      <c r="B159" s="514">
        <v>926</v>
      </c>
      <c r="C159" s="504"/>
      <c r="D159" s="341"/>
      <c r="E159" s="515" t="s">
        <v>287</v>
      </c>
      <c r="F159" s="516">
        <f>F160+F163</f>
        <v>503200</v>
      </c>
      <c r="G159" s="517"/>
      <c r="J159" s="482"/>
      <c r="K159" s="482"/>
      <c r="L159" s="482"/>
      <c r="M159" s="482"/>
    </row>
    <row r="160" spans="1:13" s="475" customFormat="1" ht="21.75" customHeight="1">
      <c r="A160" s="518"/>
      <c r="B160" s="509"/>
      <c r="C160" s="510">
        <v>92601</v>
      </c>
      <c r="D160" s="463"/>
      <c r="E160" s="421" t="s">
        <v>288</v>
      </c>
      <c r="F160" s="497">
        <f>SUM(F161:F162)</f>
        <v>71800</v>
      </c>
      <c r="G160" s="498"/>
      <c r="J160" s="476"/>
      <c r="K160" s="476"/>
      <c r="L160" s="476"/>
      <c r="M160" s="476"/>
    </row>
    <row r="161" spans="1:13" s="481" customFormat="1" ht="30.75" customHeight="1">
      <c r="A161" s="391">
        <v>107</v>
      </c>
      <c r="B161" s="519"/>
      <c r="C161" s="504"/>
      <c r="D161" s="457">
        <v>6050</v>
      </c>
      <c r="E161" s="458" t="s">
        <v>289</v>
      </c>
      <c r="F161" s="494">
        <v>60000</v>
      </c>
      <c r="G161" s="517"/>
      <c r="J161" s="482"/>
      <c r="K161" s="482"/>
      <c r="L161" s="482"/>
      <c r="M161" s="482"/>
    </row>
    <row r="162" spans="1:13" s="481" customFormat="1" ht="21.75" customHeight="1">
      <c r="A162" s="391">
        <v>108</v>
      </c>
      <c r="B162" s="519"/>
      <c r="C162" s="504"/>
      <c r="D162" s="457">
        <v>6050</v>
      </c>
      <c r="E162" s="458" t="s">
        <v>290</v>
      </c>
      <c r="F162" s="601">
        <f>110000-98200</f>
        <v>11800</v>
      </c>
      <c r="G162" s="517"/>
      <c r="J162" s="482"/>
      <c r="K162" s="482"/>
      <c r="L162" s="482"/>
      <c r="M162" s="482"/>
    </row>
    <row r="163" spans="1:7" ht="22.5" customHeight="1">
      <c r="A163" s="391"/>
      <c r="B163" s="503"/>
      <c r="C163" s="291">
        <v>92604</v>
      </c>
      <c r="D163" s="152"/>
      <c r="E163" s="454" t="s">
        <v>291</v>
      </c>
      <c r="F163" s="494">
        <f>SUM(F164:F166)</f>
        <v>431400</v>
      </c>
      <c r="G163" s="495"/>
    </row>
    <row r="164" spans="1:7" ht="23.25" customHeight="1">
      <c r="A164" s="152">
        <v>109</v>
      </c>
      <c r="B164" s="503"/>
      <c r="C164" s="144"/>
      <c r="D164" s="457">
        <v>6050</v>
      </c>
      <c r="E164" s="458" t="s">
        <v>292</v>
      </c>
      <c r="F164" s="494">
        <v>180000</v>
      </c>
      <c r="G164" s="495"/>
    </row>
    <row r="165" spans="1:7" ht="23.25" customHeight="1">
      <c r="A165" s="152">
        <v>110</v>
      </c>
      <c r="B165" s="503"/>
      <c r="C165" s="144"/>
      <c r="D165" s="457">
        <v>6050</v>
      </c>
      <c r="E165" s="458" t="s">
        <v>293</v>
      </c>
      <c r="F165" s="494">
        <v>150000</v>
      </c>
      <c r="G165" s="495"/>
    </row>
    <row r="166" spans="1:7" ht="24" customHeight="1">
      <c r="A166" s="152">
        <v>111</v>
      </c>
      <c r="B166" s="503"/>
      <c r="C166" s="144"/>
      <c r="D166" s="152">
        <v>6060</v>
      </c>
      <c r="E166" s="454" t="s">
        <v>294</v>
      </c>
      <c r="F166" s="494">
        <f>112000-10600</f>
        <v>101400</v>
      </c>
      <c r="G166" s="495"/>
    </row>
    <row r="167" spans="1:10" ht="30" customHeight="1">
      <c r="A167" s="152"/>
      <c r="B167" s="520" t="s">
        <v>295</v>
      </c>
      <c r="C167" s="521"/>
      <c r="D167" s="457"/>
      <c r="E167" s="522"/>
      <c r="F167" s="407">
        <f>F168+F182+F190+F195+F198+F186+F208+F212</f>
        <v>14454536.4</v>
      </c>
      <c r="G167" s="407">
        <f>G168+G182+G190+G195+G198+G186+G208+G212</f>
        <v>0</v>
      </c>
      <c r="J167" s="399"/>
    </row>
    <row r="168" spans="1:10" ht="26.25" customHeight="1">
      <c r="A168" s="341"/>
      <c r="B168" s="193">
        <v>600</v>
      </c>
      <c r="C168" s="197"/>
      <c r="D168" s="337"/>
      <c r="E168" s="431" t="s">
        <v>141</v>
      </c>
      <c r="F168" s="432">
        <f>F169</f>
        <v>11896850</v>
      </c>
      <c r="G168" s="433">
        <f>G169</f>
        <v>0</v>
      </c>
      <c r="J168" s="408">
        <f>F181+F172+F177+F173+F174+F170+F178</f>
        <v>11682850</v>
      </c>
    </row>
    <row r="169" spans="1:10" ht="27" customHeight="1">
      <c r="A169" s="152"/>
      <c r="B169" s="434"/>
      <c r="C169" s="439">
        <v>60015</v>
      </c>
      <c r="D169" s="420"/>
      <c r="E169" s="421" t="s">
        <v>296</v>
      </c>
      <c r="F169" s="422">
        <f>SUM(F170:F181)</f>
        <v>11896850</v>
      </c>
      <c r="G169" s="423">
        <f>SUM(G170:G181)</f>
        <v>0</v>
      </c>
      <c r="J169" s="368">
        <f>F168-J168</f>
        <v>214000</v>
      </c>
    </row>
    <row r="170" spans="1:13" s="441" customFormat="1" ht="23.25" customHeight="1">
      <c r="A170" s="152">
        <v>112</v>
      </c>
      <c r="B170" s="257"/>
      <c r="C170" s="269"/>
      <c r="D170" s="411">
        <v>6050</v>
      </c>
      <c r="E170" s="458" t="s">
        <v>297</v>
      </c>
      <c r="F170" s="523">
        <f>3700000-3650000</f>
        <v>50000</v>
      </c>
      <c r="G170" s="495">
        <v>0</v>
      </c>
      <c r="J170" s="442">
        <f>J169-F180</f>
        <v>144000</v>
      </c>
      <c r="K170" s="442"/>
      <c r="L170" s="442"/>
      <c r="M170" s="442"/>
    </row>
    <row r="171" spans="1:13" s="441" customFormat="1" ht="27.75" customHeight="1">
      <c r="A171" s="152">
        <v>113</v>
      </c>
      <c r="B171" s="257"/>
      <c r="C171" s="269"/>
      <c r="D171" s="411">
        <v>6050</v>
      </c>
      <c r="E171" s="429" t="s">
        <v>298</v>
      </c>
      <c r="F171" s="413">
        <f>5000+500000-500000</f>
        <v>5000</v>
      </c>
      <c r="G171" s="414">
        <v>0</v>
      </c>
      <c r="J171" s="442"/>
      <c r="K171" s="442"/>
      <c r="L171" s="442"/>
      <c r="M171" s="442"/>
    </row>
    <row r="172" spans="1:13" s="441" customFormat="1" ht="24" customHeight="1">
      <c r="A172" s="152">
        <v>114</v>
      </c>
      <c r="B172" s="257"/>
      <c r="C172" s="269"/>
      <c r="D172" s="411">
        <v>6050</v>
      </c>
      <c r="E172" s="429" t="s">
        <v>299</v>
      </c>
      <c r="F172" s="413">
        <v>64000</v>
      </c>
      <c r="G172" s="414"/>
      <c r="J172" s="442"/>
      <c r="K172" s="442"/>
      <c r="L172" s="442"/>
      <c r="M172" s="442"/>
    </row>
    <row r="173" spans="1:13" s="441" customFormat="1" ht="21.75" customHeight="1">
      <c r="A173" s="152">
        <v>115</v>
      </c>
      <c r="B173" s="257"/>
      <c r="C173" s="269"/>
      <c r="D173" s="411">
        <v>6050</v>
      </c>
      <c r="E173" s="429" t="s">
        <v>300</v>
      </c>
      <c r="F173" s="413">
        <v>18450</v>
      </c>
      <c r="G173" s="414"/>
      <c r="J173" s="442"/>
      <c r="K173" s="442"/>
      <c r="L173" s="442"/>
      <c r="M173" s="442"/>
    </row>
    <row r="174" spans="1:13" s="441" customFormat="1" ht="40.5" customHeight="1">
      <c r="A174" s="152">
        <v>116</v>
      </c>
      <c r="B174" s="257"/>
      <c r="C174" s="269"/>
      <c r="D174" s="411">
        <v>6050</v>
      </c>
      <c r="E174" s="429" t="s">
        <v>301</v>
      </c>
      <c r="F174" s="413">
        <v>3000</v>
      </c>
      <c r="G174" s="414"/>
      <c r="J174" s="442"/>
      <c r="K174" s="442"/>
      <c r="L174" s="442"/>
      <c r="M174" s="442"/>
    </row>
    <row r="175" spans="1:13" s="441" customFormat="1" ht="32.25" customHeight="1">
      <c r="A175" s="152">
        <v>117</v>
      </c>
      <c r="B175" s="257"/>
      <c r="C175" s="269"/>
      <c r="D175" s="411">
        <v>6050</v>
      </c>
      <c r="E175" s="429" t="s">
        <v>302</v>
      </c>
      <c r="F175" s="413">
        <f>103000-39000</f>
        <v>64000</v>
      </c>
      <c r="G175" s="414"/>
      <c r="J175" s="442"/>
      <c r="K175" s="442"/>
      <c r="L175" s="442"/>
      <c r="M175" s="442"/>
    </row>
    <row r="176" spans="1:13" s="441" customFormat="1" ht="33.75" customHeight="1">
      <c r="A176" s="152">
        <v>118</v>
      </c>
      <c r="B176" s="257"/>
      <c r="C176" s="269"/>
      <c r="D176" s="411">
        <v>6050</v>
      </c>
      <c r="E176" s="429" t="s">
        <v>303</v>
      </c>
      <c r="F176" s="413">
        <v>25000</v>
      </c>
      <c r="G176" s="414"/>
      <c r="J176" s="442"/>
      <c r="K176" s="442"/>
      <c r="L176" s="442"/>
      <c r="M176" s="442"/>
    </row>
    <row r="177" spans="1:13" s="441" customFormat="1" ht="21.75" customHeight="1">
      <c r="A177" s="152">
        <v>119</v>
      </c>
      <c r="B177" s="257"/>
      <c r="C177" s="269"/>
      <c r="D177" s="411">
        <v>6050</v>
      </c>
      <c r="E177" s="429" t="s">
        <v>304</v>
      </c>
      <c r="F177" s="413">
        <v>119400</v>
      </c>
      <c r="G177" s="414"/>
      <c r="J177" s="442"/>
      <c r="K177" s="442"/>
      <c r="L177" s="442"/>
      <c r="M177" s="442"/>
    </row>
    <row r="178" spans="1:13" s="441" customFormat="1" ht="24.75" customHeight="1">
      <c r="A178" s="152">
        <v>120</v>
      </c>
      <c r="B178" s="257"/>
      <c r="C178" s="269"/>
      <c r="D178" s="411">
        <v>6050</v>
      </c>
      <c r="E178" s="429" t="s">
        <v>305</v>
      </c>
      <c r="F178" s="413">
        <v>400000</v>
      </c>
      <c r="G178" s="414"/>
      <c r="J178" s="442"/>
      <c r="K178" s="442"/>
      <c r="L178" s="442"/>
      <c r="M178" s="442"/>
    </row>
    <row r="179" spans="1:13" s="441" customFormat="1" ht="30.75" customHeight="1">
      <c r="A179" s="152">
        <v>121</v>
      </c>
      <c r="B179" s="257"/>
      <c r="C179" s="269"/>
      <c r="D179" s="411">
        <v>6050</v>
      </c>
      <c r="E179" s="604" t="s">
        <v>421</v>
      </c>
      <c r="F179" s="413">
        <v>50000</v>
      </c>
      <c r="G179" s="414"/>
      <c r="J179" s="442"/>
      <c r="K179" s="442"/>
      <c r="L179" s="442"/>
      <c r="M179" s="442"/>
    </row>
    <row r="180" spans="1:13" s="441" customFormat="1" ht="28.5" customHeight="1">
      <c r="A180" s="152">
        <v>122</v>
      </c>
      <c r="B180" s="257"/>
      <c r="C180" s="269"/>
      <c r="D180" s="606">
        <v>6050</v>
      </c>
      <c r="E180" s="604" t="s">
        <v>404</v>
      </c>
      <c r="F180" s="607">
        <v>70000</v>
      </c>
      <c r="G180" s="602"/>
      <c r="J180" s="442"/>
      <c r="K180" s="442"/>
      <c r="L180" s="442"/>
      <c r="M180" s="442"/>
    </row>
    <row r="181" spans="1:13" s="441" customFormat="1" ht="23.25" customHeight="1">
      <c r="A181" s="152">
        <v>123</v>
      </c>
      <c r="B181" s="257"/>
      <c r="C181" s="269"/>
      <c r="D181" s="411">
        <v>6050</v>
      </c>
      <c r="E181" s="524" t="s">
        <v>306</v>
      </c>
      <c r="F181" s="495">
        <f>5000000+6528000-500000</f>
        <v>11028000</v>
      </c>
      <c r="G181" s="495"/>
      <c r="J181" s="442"/>
      <c r="K181" s="442"/>
      <c r="L181" s="442"/>
      <c r="M181" s="442"/>
    </row>
    <row r="182" spans="1:13" s="526" customFormat="1" ht="22.5" customHeight="1">
      <c r="A182" s="341"/>
      <c r="B182" s="485">
        <v>630</v>
      </c>
      <c r="C182" s="197"/>
      <c r="D182" s="329"/>
      <c r="E182" s="525" t="s">
        <v>111</v>
      </c>
      <c r="F182" s="507">
        <f>F183</f>
        <v>221000</v>
      </c>
      <c r="G182" s="507">
        <f>G183</f>
        <v>0</v>
      </c>
      <c r="J182" s="527"/>
      <c r="K182" s="527"/>
      <c r="L182" s="527"/>
      <c r="M182" s="527"/>
    </row>
    <row r="183" spans="1:13" s="530" customFormat="1" ht="21" customHeight="1">
      <c r="A183" s="508"/>
      <c r="B183" s="483"/>
      <c r="C183" s="439">
        <v>63095</v>
      </c>
      <c r="D183" s="528"/>
      <c r="E183" s="529" t="s">
        <v>196</v>
      </c>
      <c r="F183" s="513">
        <f>SUM(F184:F185)</f>
        <v>221000</v>
      </c>
      <c r="G183" s="513">
        <f>SUM(G185:G185)</f>
        <v>0</v>
      </c>
      <c r="J183" s="531"/>
      <c r="K183" s="531"/>
      <c r="L183" s="531"/>
      <c r="M183" s="531"/>
    </row>
    <row r="184" spans="1:19" s="534" customFormat="1" ht="30" customHeight="1">
      <c r="A184" s="386">
        <v>124</v>
      </c>
      <c r="B184" s="257"/>
      <c r="C184" s="269"/>
      <c r="D184" s="532">
        <v>6050</v>
      </c>
      <c r="E184" s="458" t="s">
        <v>307</v>
      </c>
      <c r="F184" s="533">
        <v>220000</v>
      </c>
      <c r="G184" s="533"/>
      <c r="J184" s="535"/>
      <c r="K184" s="535"/>
      <c r="L184" s="535"/>
      <c r="M184" s="535"/>
      <c r="S184" s="535"/>
    </row>
    <row r="185" spans="1:13" s="441" customFormat="1" ht="28.5" customHeight="1">
      <c r="A185" s="152">
        <v>125</v>
      </c>
      <c r="B185" s="257"/>
      <c r="C185" s="269"/>
      <c r="D185" s="411">
        <v>6050</v>
      </c>
      <c r="E185" s="458" t="s">
        <v>308</v>
      </c>
      <c r="F185" s="495">
        <v>1000</v>
      </c>
      <c r="G185" s="495">
        <v>0</v>
      </c>
      <c r="I185" s="442"/>
      <c r="J185" s="442"/>
      <c r="K185" s="442"/>
      <c r="L185" s="442"/>
      <c r="M185" s="442"/>
    </row>
    <row r="186" spans="1:13" s="441" customFormat="1" ht="22.5" customHeight="1">
      <c r="A186" s="152"/>
      <c r="B186" s="485">
        <v>710</v>
      </c>
      <c r="C186" s="197"/>
      <c r="D186" s="329"/>
      <c r="E186" s="525" t="s">
        <v>309</v>
      </c>
      <c r="F186" s="507">
        <f>F187</f>
        <v>105000</v>
      </c>
      <c r="G186" s="507">
        <f>G187</f>
        <v>0</v>
      </c>
      <c r="I186" s="442"/>
      <c r="J186" s="442"/>
      <c r="K186" s="442"/>
      <c r="L186" s="442"/>
      <c r="M186" s="442"/>
    </row>
    <row r="187" spans="1:13" s="441" customFormat="1" ht="27" customHeight="1">
      <c r="A187" s="152"/>
      <c r="B187" s="483"/>
      <c r="C187" s="439">
        <v>71012</v>
      </c>
      <c r="D187" s="528"/>
      <c r="E187" s="529" t="s">
        <v>310</v>
      </c>
      <c r="F187" s="513">
        <f>SUM(F188:F189)</f>
        <v>105000</v>
      </c>
      <c r="G187" s="513">
        <f>SUM(G189:G189)</f>
        <v>0</v>
      </c>
      <c r="I187" s="442"/>
      <c r="J187" s="442"/>
      <c r="K187" s="442"/>
      <c r="L187" s="442"/>
      <c r="M187" s="442"/>
    </row>
    <row r="188" spans="1:13" s="534" customFormat="1" ht="36" customHeight="1">
      <c r="A188" s="152">
        <v>126</v>
      </c>
      <c r="B188" s="257"/>
      <c r="C188" s="269"/>
      <c r="D188" s="532">
        <v>6050</v>
      </c>
      <c r="E188" s="536" t="s">
        <v>311</v>
      </c>
      <c r="F188" s="533">
        <v>60000</v>
      </c>
      <c r="G188" s="533"/>
      <c r="I188" s="535"/>
      <c r="J188" s="535"/>
      <c r="K188" s="535"/>
      <c r="L188" s="535"/>
      <c r="M188" s="535"/>
    </row>
    <row r="189" spans="1:13" s="441" customFormat="1" ht="24.75" customHeight="1">
      <c r="A189" s="152">
        <v>127</v>
      </c>
      <c r="B189" s="257"/>
      <c r="C189" s="269"/>
      <c r="D189" s="411">
        <v>6060</v>
      </c>
      <c r="E189" s="458" t="s">
        <v>312</v>
      </c>
      <c r="F189" s="495">
        <v>45000</v>
      </c>
      <c r="G189" s="495">
        <v>0</v>
      </c>
      <c r="I189" s="442"/>
      <c r="J189" s="442"/>
      <c r="K189" s="442"/>
      <c r="L189" s="442"/>
      <c r="M189" s="442"/>
    </row>
    <row r="190" spans="1:13" s="33" customFormat="1" ht="24" customHeight="1">
      <c r="A190" s="341"/>
      <c r="B190" s="197">
        <v>754</v>
      </c>
      <c r="C190" s="197"/>
      <c r="D190" s="341"/>
      <c r="E190" s="469" t="s">
        <v>208</v>
      </c>
      <c r="F190" s="433">
        <f>F191+F193</f>
        <v>550000</v>
      </c>
      <c r="G190" s="433">
        <f>G193</f>
        <v>0</v>
      </c>
      <c r="J190" s="537"/>
      <c r="K190" s="537"/>
      <c r="L190" s="3"/>
      <c r="M190" s="3"/>
    </row>
    <row r="191" spans="1:13" s="33" customFormat="1" ht="24" customHeight="1">
      <c r="A191" s="152"/>
      <c r="B191" s="269"/>
      <c r="C191" s="188">
        <v>75405</v>
      </c>
      <c r="D191" s="608"/>
      <c r="E191" s="468" t="s">
        <v>422</v>
      </c>
      <c r="F191" s="437">
        <f>F192</f>
        <v>150000</v>
      </c>
      <c r="G191" s="437"/>
      <c r="J191" s="537"/>
      <c r="K191" s="537"/>
      <c r="L191" s="3"/>
      <c r="M191" s="3"/>
    </row>
    <row r="192" spans="1:13" s="33" customFormat="1" ht="29.25" customHeight="1">
      <c r="A192" s="152"/>
      <c r="B192" s="269"/>
      <c r="C192" s="188"/>
      <c r="D192" s="609">
        <v>6170</v>
      </c>
      <c r="E192" s="610" t="s">
        <v>439</v>
      </c>
      <c r="F192" s="600">
        <v>150000</v>
      </c>
      <c r="G192" s="600"/>
      <c r="J192" s="537"/>
      <c r="K192" s="537"/>
      <c r="L192" s="3"/>
      <c r="M192" s="3"/>
    </row>
    <row r="193" spans="1:13" s="33" customFormat="1" ht="24" customHeight="1">
      <c r="A193" s="152"/>
      <c r="B193" s="438"/>
      <c r="C193" s="439">
        <v>75411</v>
      </c>
      <c r="D193" s="511"/>
      <c r="E193" s="446" t="s">
        <v>313</v>
      </c>
      <c r="F193" s="423">
        <f>SUM(F194:F194)</f>
        <v>400000</v>
      </c>
      <c r="G193" s="423">
        <f>SUM(G194:G194)</f>
        <v>0</v>
      </c>
      <c r="I193" s="537"/>
      <c r="J193" s="537"/>
      <c r="K193" s="537"/>
      <c r="L193" s="3"/>
      <c r="M193" s="3"/>
    </row>
    <row r="194" spans="1:13" s="33" customFormat="1" ht="58.5" customHeight="1">
      <c r="A194" s="379">
        <v>128</v>
      </c>
      <c r="B194" s="269"/>
      <c r="C194" s="409"/>
      <c r="D194" s="474">
        <v>6050</v>
      </c>
      <c r="E194" s="429" t="s">
        <v>314</v>
      </c>
      <c r="F194" s="437">
        <v>400000</v>
      </c>
      <c r="G194" s="437">
        <v>0</v>
      </c>
      <c r="I194" s="537"/>
      <c r="J194" s="537"/>
      <c r="K194" s="537"/>
      <c r="L194" s="3"/>
      <c r="M194" s="3"/>
    </row>
    <row r="195" spans="1:7" ht="21" customHeight="1">
      <c r="A195" s="341"/>
      <c r="B195" s="197">
        <v>758</v>
      </c>
      <c r="C195" s="197"/>
      <c r="D195" s="337"/>
      <c r="E195" s="431" t="s">
        <v>212</v>
      </c>
      <c r="F195" s="432">
        <f>F196</f>
        <v>145586.4</v>
      </c>
      <c r="G195" s="433">
        <f>G196</f>
        <v>0</v>
      </c>
    </row>
    <row r="196" spans="1:7" ht="22.5" customHeight="1">
      <c r="A196" s="386"/>
      <c r="B196" s="466"/>
      <c r="C196" s="467">
        <v>75818</v>
      </c>
      <c r="D196" s="440"/>
      <c r="E196" s="446" t="s">
        <v>213</v>
      </c>
      <c r="F196" s="447">
        <f>F197</f>
        <v>145586.4</v>
      </c>
      <c r="G196" s="448">
        <f>G197</f>
        <v>0</v>
      </c>
    </row>
    <row r="197" spans="1:9" ht="21.75" customHeight="1">
      <c r="A197" s="386"/>
      <c r="B197" s="243"/>
      <c r="C197" s="409"/>
      <c r="D197" s="457">
        <v>6800</v>
      </c>
      <c r="E197" s="468" t="s">
        <v>214</v>
      </c>
      <c r="F197" s="602">
        <f>658000-500000+80500-16200-8100-50000+600000-300000-277000-26613.6-15000</f>
        <v>145586.4</v>
      </c>
      <c r="G197" s="414">
        <f>500000-500000</f>
        <v>0</v>
      </c>
      <c r="I197" s="368"/>
    </row>
    <row r="198" spans="1:7" ht="24.75" customHeight="1">
      <c r="A198" s="379"/>
      <c r="B198" s="193">
        <v>801</v>
      </c>
      <c r="C198" s="197"/>
      <c r="D198" s="341"/>
      <c r="E198" s="462" t="s">
        <v>74</v>
      </c>
      <c r="F198" s="432">
        <f>F199+F204</f>
        <v>126000</v>
      </c>
      <c r="G198" s="433">
        <f>G199+G204</f>
        <v>0</v>
      </c>
    </row>
    <row r="199" spans="1:13" s="475" customFormat="1" ht="25.5" customHeight="1">
      <c r="A199" s="538"/>
      <c r="B199" s="434"/>
      <c r="C199" s="470">
        <v>80120</v>
      </c>
      <c r="D199" s="463"/>
      <c r="E199" s="464" t="s">
        <v>315</v>
      </c>
      <c r="F199" s="422">
        <f>SUM(F200:F203)</f>
        <v>101953</v>
      </c>
      <c r="G199" s="423">
        <f>SUM(G200:G203)</f>
        <v>0</v>
      </c>
      <c r="J199" s="476"/>
      <c r="K199" s="476"/>
      <c r="L199" s="476"/>
      <c r="M199" s="476"/>
    </row>
    <row r="200" spans="1:13" s="415" customFormat="1" ht="24.75" customHeight="1">
      <c r="A200" s="152">
        <v>129</v>
      </c>
      <c r="B200" s="257"/>
      <c r="C200" s="266"/>
      <c r="D200" s="453">
        <v>6050</v>
      </c>
      <c r="E200" s="449" t="s">
        <v>316</v>
      </c>
      <c r="F200" s="436">
        <v>45000</v>
      </c>
      <c r="G200" s="437">
        <v>0</v>
      </c>
      <c r="J200" s="417"/>
      <c r="K200" s="417"/>
      <c r="L200" s="417"/>
      <c r="M200" s="417"/>
    </row>
    <row r="201" spans="1:13" s="415" customFormat="1" ht="24" customHeight="1">
      <c r="A201" s="152">
        <v>130</v>
      </c>
      <c r="B201" s="257"/>
      <c r="C201" s="269"/>
      <c r="D201" s="472">
        <v>6050</v>
      </c>
      <c r="E201" s="151" t="s">
        <v>317</v>
      </c>
      <c r="F201" s="436">
        <v>50000</v>
      </c>
      <c r="G201" s="437">
        <v>0</v>
      </c>
      <c r="J201" s="417"/>
      <c r="K201" s="417"/>
      <c r="L201" s="417"/>
      <c r="M201" s="417"/>
    </row>
    <row r="202" spans="1:13" s="415" customFormat="1" ht="27.75" customHeight="1">
      <c r="A202" s="152">
        <v>131</v>
      </c>
      <c r="B202" s="257"/>
      <c r="C202" s="269"/>
      <c r="D202" s="472">
        <v>6060</v>
      </c>
      <c r="E202" s="151" t="s">
        <v>318</v>
      </c>
      <c r="F202" s="436">
        <v>1953</v>
      </c>
      <c r="G202" s="437">
        <v>0</v>
      </c>
      <c r="J202" s="417"/>
      <c r="K202" s="417"/>
      <c r="L202" s="417"/>
      <c r="M202" s="417"/>
    </row>
    <row r="203" spans="1:13" s="415" customFormat="1" ht="24.75" customHeight="1">
      <c r="A203" s="152">
        <v>132</v>
      </c>
      <c r="B203" s="257"/>
      <c r="C203" s="410"/>
      <c r="D203" s="453">
        <v>6060</v>
      </c>
      <c r="E203" s="449" t="s">
        <v>319</v>
      </c>
      <c r="F203" s="436">
        <v>5000</v>
      </c>
      <c r="G203" s="437">
        <v>0</v>
      </c>
      <c r="J203" s="417"/>
      <c r="K203" s="417"/>
      <c r="L203" s="417"/>
      <c r="M203" s="417"/>
    </row>
    <row r="204" spans="1:13" s="415" customFormat="1" ht="20.25" customHeight="1">
      <c r="A204" s="152"/>
      <c r="B204" s="409"/>
      <c r="C204" s="418">
        <v>80130</v>
      </c>
      <c r="D204" s="463"/>
      <c r="E204" s="464" t="s">
        <v>320</v>
      </c>
      <c r="F204" s="422">
        <f>SUM(F205:F207)</f>
        <v>24047</v>
      </c>
      <c r="G204" s="423">
        <f>SUM(G205:G207)</f>
        <v>0</v>
      </c>
      <c r="J204" s="417"/>
      <c r="K204" s="417"/>
      <c r="L204" s="417"/>
      <c r="M204" s="417"/>
    </row>
    <row r="205" spans="1:13" s="415" customFormat="1" ht="29.25" customHeight="1">
      <c r="A205" s="152">
        <v>133</v>
      </c>
      <c r="B205" s="500"/>
      <c r="C205" s="434"/>
      <c r="D205" s="472">
        <v>6060</v>
      </c>
      <c r="E205" s="151" t="s">
        <v>321</v>
      </c>
      <c r="F205" s="436">
        <v>6000</v>
      </c>
      <c r="G205" s="437">
        <v>0</v>
      </c>
      <c r="J205" s="417"/>
      <c r="K205" s="417"/>
      <c r="L205" s="417"/>
      <c r="M205" s="417"/>
    </row>
    <row r="206" spans="1:13" s="415" customFormat="1" ht="30" customHeight="1">
      <c r="A206" s="152">
        <v>134</v>
      </c>
      <c r="B206" s="500"/>
      <c r="C206" s="438"/>
      <c r="D206" s="472">
        <v>6060</v>
      </c>
      <c r="E206" s="151" t="s">
        <v>318</v>
      </c>
      <c r="F206" s="436">
        <v>8047</v>
      </c>
      <c r="G206" s="437">
        <v>0</v>
      </c>
      <c r="J206" s="417"/>
      <c r="K206" s="417"/>
      <c r="L206" s="417"/>
      <c r="M206" s="417"/>
    </row>
    <row r="207" spans="1:13" s="415" customFormat="1" ht="26.25" customHeight="1">
      <c r="A207" s="152">
        <v>135</v>
      </c>
      <c r="B207" s="500"/>
      <c r="C207" s="410"/>
      <c r="D207" s="472">
        <v>6060</v>
      </c>
      <c r="E207" s="151" t="s">
        <v>322</v>
      </c>
      <c r="F207" s="436">
        <v>10000</v>
      </c>
      <c r="G207" s="437">
        <v>0</v>
      </c>
      <c r="J207" s="417"/>
      <c r="K207" s="417"/>
      <c r="L207" s="417"/>
      <c r="M207" s="417"/>
    </row>
    <row r="208" spans="1:13" s="481" customFormat="1" ht="25.5" customHeight="1">
      <c r="A208" s="341"/>
      <c r="B208" s="197">
        <v>854</v>
      </c>
      <c r="C208" s="539"/>
      <c r="D208" s="337"/>
      <c r="E208" s="540" t="s">
        <v>112</v>
      </c>
      <c r="F208" s="432">
        <f>F209</f>
        <v>65300</v>
      </c>
      <c r="G208" s="433">
        <f>G209</f>
        <v>0</v>
      </c>
      <c r="J208" s="482"/>
      <c r="K208" s="482"/>
      <c r="L208" s="482"/>
      <c r="M208" s="482"/>
    </row>
    <row r="209" spans="1:13" s="475" customFormat="1" ht="24.75" customHeight="1">
      <c r="A209" s="463"/>
      <c r="B209" s="418"/>
      <c r="C209" s="435">
        <v>85403</v>
      </c>
      <c r="D209" s="541"/>
      <c r="E209" s="542" t="s">
        <v>323</v>
      </c>
      <c r="F209" s="422">
        <f>F210+F211</f>
        <v>65300</v>
      </c>
      <c r="G209" s="423">
        <f>G211</f>
        <v>0</v>
      </c>
      <c r="J209" s="476"/>
      <c r="K209" s="476"/>
      <c r="L209" s="476"/>
      <c r="M209" s="476"/>
    </row>
    <row r="210" spans="1:13" s="415" customFormat="1" ht="24.75" customHeight="1">
      <c r="A210" s="152">
        <v>136</v>
      </c>
      <c r="B210" s="409"/>
      <c r="C210" s="489"/>
      <c r="D210" s="543">
        <v>6060</v>
      </c>
      <c r="E210" s="544" t="s">
        <v>324</v>
      </c>
      <c r="F210" s="436">
        <v>53000</v>
      </c>
      <c r="G210" s="437"/>
      <c r="J210" s="417"/>
      <c r="K210" s="417"/>
      <c r="L210" s="417"/>
      <c r="M210" s="417"/>
    </row>
    <row r="211" spans="1:13" s="415" customFormat="1" ht="24" customHeight="1">
      <c r="A211" s="152">
        <v>137</v>
      </c>
      <c r="B211" s="409"/>
      <c r="C211" s="489"/>
      <c r="D211" s="152">
        <v>6060</v>
      </c>
      <c r="E211" s="151" t="s">
        <v>325</v>
      </c>
      <c r="F211" s="436">
        <v>12300</v>
      </c>
      <c r="G211" s="437">
        <v>0</v>
      </c>
      <c r="J211" s="417"/>
      <c r="K211" s="417"/>
      <c r="L211" s="417"/>
      <c r="M211" s="417"/>
    </row>
    <row r="212" spans="1:7" ht="20.25" customHeight="1">
      <c r="A212" s="341"/>
      <c r="B212" s="197">
        <v>926</v>
      </c>
      <c r="C212" s="197"/>
      <c r="D212" s="337"/>
      <c r="E212" s="431" t="s">
        <v>326</v>
      </c>
      <c r="F212" s="432">
        <f>F213</f>
        <v>1344800</v>
      </c>
      <c r="G212" s="433">
        <f>G213</f>
        <v>0</v>
      </c>
    </row>
    <row r="213" spans="1:7" ht="24" customHeight="1">
      <c r="A213" s="545"/>
      <c r="B213" s="466"/>
      <c r="C213" s="467">
        <v>92601</v>
      </c>
      <c r="D213" s="440"/>
      <c r="E213" s="421" t="s">
        <v>288</v>
      </c>
      <c r="F213" s="422">
        <f>SUM(F214:F214)</f>
        <v>1344800</v>
      </c>
      <c r="G213" s="423">
        <f>SUM(G214:G214)</f>
        <v>0</v>
      </c>
    </row>
    <row r="214" spans="1:7" ht="29.25" customHeight="1">
      <c r="A214" s="546">
        <v>138</v>
      </c>
      <c r="B214" s="278"/>
      <c r="C214" s="418"/>
      <c r="D214" s="474">
        <v>6050</v>
      </c>
      <c r="E214" s="151" t="s">
        <v>327</v>
      </c>
      <c r="F214" s="436">
        <v>1344800</v>
      </c>
      <c r="G214" s="437">
        <v>0</v>
      </c>
    </row>
    <row r="215" spans="1:10" ht="28.5" customHeight="1">
      <c r="A215" s="341"/>
      <c r="B215" s="547" t="s">
        <v>71</v>
      </c>
      <c r="C215" s="514"/>
      <c r="D215" s="340"/>
      <c r="E215" s="548"/>
      <c r="F215" s="407">
        <f>F14+F167</f>
        <v>65128573.629999995</v>
      </c>
      <c r="G215" s="407">
        <f>G14+G167</f>
        <v>8868191.52</v>
      </c>
      <c r="I215" s="399"/>
      <c r="J215" s="399"/>
    </row>
    <row r="216" spans="1:10" ht="21.75" customHeight="1">
      <c r="A216" s="366"/>
      <c r="B216" s="549"/>
      <c r="C216" s="549"/>
      <c r="D216" s="366"/>
      <c r="F216" s="550"/>
      <c r="G216" s="550"/>
      <c r="I216" s="408"/>
      <c r="J216" s="408"/>
    </row>
    <row r="217" spans="1:10" ht="22.5" customHeight="1">
      <c r="A217" s="366"/>
      <c r="B217" s="365"/>
      <c r="C217" s="365"/>
      <c r="D217" s="366"/>
      <c r="F217" s="551"/>
      <c r="G217" s="551"/>
      <c r="I217" s="368"/>
      <c r="J217" s="552"/>
    </row>
    <row r="218" spans="1:9" ht="12.75">
      <c r="A218" s="366"/>
      <c r="B218" s="365"/>
      <c r="C218" s="365"/>
      <c r="D218" s="366"/>
      <c r="F218" s="551"/>
      <c r="G218" s="551"/>
      <c r="H218" s="368"/>
      <c r="I218" s="368"/>
    </row>
    <row r="219" spans="6:9" ht="12.75">
      <c r="F219" s="425"/>
      <c r="G219" s="555"/>
      <c r="I219" s="368"/>
    </row>
    <row r="220" spans="6:9" ht="12.75">
      <c r="F220" s="556"/>
      <c r="G220" s="555"/>
      <c r="I220" s="368"/>
    </row>
    <row r="221" spans="6:9" ht="12.75">
      <c r="F221" s="555"/>
      <c r="G221" s="555"/>
      <c r="I221" s="368"/>
    </row>
    <row r="222" spans="6:9" ht="12.75">
      <c r="F222" s="555"/>
      <c r="G222" s="555"/>
      <c r="I222" s="368"/>
    </row>
    <row r="223" spans="6:7" ht="12.75">
      <c r="F223" s="555"/>
      <c r="G223" s="555"/>
    </row>
    <row r="224" spans="6:7" ht="12.75">
      <c r="F224" s="555"/>
      <c r="G224" s="555"/>
    </row>
    <row r="225" spans="6:7" ht="12.75">
      <c r="F225" s="555"/>
      <c r="G225" s="555"/>
    </row>
    <row r="226" spans="6:7" ht="12.75">
      <c r="F226" s="555"/>
      <c r="G226" s="555"/>
    </row>
    <row r="227" spans="6:7" ht="12.75">
      <c r="F227" s="555"/>
      <c r="G227" s="555"/>
    </row>
    <row r="228" spans="6:7" ht="12.75">
      <c r="F228" s="555"/>
      <c r="G228" s="555"/>
    </row>
    <row r="229" spans="6:7" ht="12.75">
      <c r="F229" s="555"/>
      <c r="G229" s="555"/>
    </row>
    <row r="230" spans="6:7" ht="12.75">
      <c r="F230" s="555"/>
      <c r="G230" s="555"/>
    </row>
  </sheetData>
  <sheetProtection/>
  <mergeCells count="1">
    <mergeCell ref="A119:A120"/>
  </mergeCells>
  <printOptions/>
  <pageMargins left="0.1968503937007874" right="0" top="0.7874015748031497" bottom="0.787401574803149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41">
      <selection activeCell="C55" sqref="C55"/>
    </sheetView>
  </sheetViews>
  <sheetFormatPr defaultColWidth="9.140625" defaultRowHeight="12.75"/>
  <cols>
    <col min="1" max="1" width="4.57421875" style="169" customWidth="1"/>
    <col min="2" max="2" width="23.8515625" style="169" customWidth="1"/>
    <col min="3" max="3" width="47.28125" style="220" customWidth="1"/>
    <col min="4" max="4" width="18.57421875" style="169" customWidth="1"/>
    <col min="5" max="5" width="12.7109375" style="170" customWidth="1"/>
    <col min="6" max="6" width="19.00390625" style="169" customWidth="1"/>
    <col min="7" max="7" width="15.8515625" style="169" customWidth="1"/>
    <col min="8" max="16384" width="9.140625" style="169" customWidth="1"/>
  </cols>
  <sheetData>
    <row r="1" ht="19.5" customHeight="1">
      <c r="C1" s="215" t="s">
        <v>341</v>
      </c>
    </row>
    <row r="2" ht="19.5" customHeight="1">
      <c r="C2" s="184" t="s">
        <v>433</v>
      </c>
    </row>
    <row r="3" ht="19.5" customHeight="1">
      <c r="C3" s="184" t="s">
        <v>102</v>
      </c>
    </row>
    <row r="4" ht="17.25" customHeight="1">
      <c r="C4" s="64" t="s">
        <v>417</v>
      </c>
    </row>
    <row r="5" ht="14.25" customHeight="1">
      <c r="C5" s="184"/>
    </row>
    <row r="6" ht="14.25" customHeight="1">
      <c r="C6" s="184"/>
    </row>
    <row r="7" spans="1:5" s="186" customFormat="1" ht="19.5" customHeight="1">
      <c r="A7" s="185" t="s">
        <v>125</v>
      </c>
      <c r="B7" s="216"/>
      <c r="C7" s="217"/>
      <c r="D7" s="169"/>
      <c r="E7" s="170"/>
    </row>
    <row r="8" spans="1:5" s="186" customFormat="1" ht="19.5" customHeight="1">
      <c r="A8" s="185" t="s">
        <v>126</v>
      </c>
      <c r="B8" s="216"/>
      <c r="C8" s="217"/>
      <c r="D8" s="169"/>
      <c r="E8" s="170"/>
    </row>
    <row r="9" spans="1:3" ht="18.75" customHeight="1">
      <c r="A9" s="185" t="s">
        <v>127</v>
      </c>
      <c r="B9" s="218"/>
      <c r="C9" s="217"/>
    </row>
    <row r="10" spans="1:2" ht="13.5">
      <c r="A10" s="219" t="s">
        <v>62</v>
      </c>
      <c r="B10" s="187"/>
    </row>
    <row r="11" spans="3:4" ht="11.25" customHeight="1">
      <c r="C11" s="221"/>
      <c r="D11" s="222" t="s">
        <v>72</v>
      </c>
    </row>
    <row r="12" spans="1:4" ht="33" customHeight="1">
      <c r="A12" s="188" t="s">
        <v>73</v>
      </c>
      <c r="B12" s="188" t="s">
        <v>118</v>
      </c>
      <c r="C12" s="152" t="s">
        <v>119</v>
      </c>
      <c r="D12" s="189" t="s">
        <v>128</v>
      </c>
    </row>
    <row r="13" spans="1:5" s="218" customFormat="1" ht="22.5" customHeight="1">
      <c r="A13" s="223" t="s">
        <v>120</v>
      </c>
      <c r="B13" s="224"/>
      <c r="C13" s="225"/>
      <c r="D13" s="190">
        <f>D14+D18</f>
        <v>9108012.379999999</v>
      </c>
      <c r="E13" s="226"/>
    </row>
    <row r="14" spans="1:5" s="218" customFormat="1" ht="24.75" customHeight="1">
      <c r="A14" s="191" t="s">
        <v>129</v>
      </c>
      <c r="B14" s="227"/>
      <c r="C14" s="228"/>
      <c r="D14" s="190">
        <f>D15</f>
        <v>2682326</v>
      </c>
      <c r="E14" s="229"/>
    </row>
    <row r="15" spans="1:5" s="218" customFormat="1" ht="30" customHeight="1">
      <c r="A15" s="230">
        <v>801</v>
      </c>
      <c r="B15" s="231" t="s">
        <v>74</v>
      </c>
      <c r="C15" s="232"/>
      <c r="D15" s="233">
        <f>SUM(D16:D17)</f>
        <v>2682326</v>
      </c>
      <c r="E15" s="234"/>
    </row>
    <row r="16" spans="1:5" s="218" customFormat="1" ht="29.25" customHeight="1">
      <c r="A16" s="235"/>
      <c r="B16" s="236"/>
      <c r="C16" s="151" t="s">
        <v>130</v>
      </c>
      <c r="D16" s="618">
        <f>1982426-264000+76100+70000</f>
        <v>1864526</v>
      </c>
      <c r="E16" s="226"/>
    </row>
    <row r="17" spans="1:5" s="218" customFormat="1" ht="33" customHeight="1">
      <c r="A17" s="235"/>
      <c r="B17" s="236"/>
      <c r="C17" s="151" t="s">
        <v>131</v>
      </c>
      <c r="D17" s="192">
        <v>817800</v>
      </c>
      <c r="E17" s="226"/>
    </row>
    <row r="18" spans="1:5" s="218" customFormat="1" ht="24.75" customHeight="1">
      <c r="A18" s="191" t="s">
        <v>121</v>
      </c>
      <c r="B18" s="227"/>
      <c r="C18" s="228"/>
      <c r="D18" s="237">
        <f>D19+D30+D35+D43+D47+D53</f>
        <v>6425686.38</v>
      </c>
      <c r="E18" s="226"/>
    </row>
    <row r="19" spans="1:5" s="218" customFormat="1" ht="21.75" customHeight="1">
      <c r="A19" s="238">
        <v>851</v>
      </c>
      <c r="B19" s="239" t="s">
        <v>75</v>
      </c>
      <c r="C19" s="240"/>
      <c r="D19" s="241">
        <f>SUM(D20:D29)</f>
        <v>996500</v>
      </c>
      <c r="E19" s="234"/>
    </row>
    <row r="20" spans="1:5" s="218" customFormat="1" ht="38.25" customHeight="1">
      <c r="A20" s="193"/>
      <c r="B20" s="242"/>
      <c r="C20" s="151" t="s">
        <v>0</v>
      </c>
      <c r="D20" s="192">
        <v>95000</v>
      </c>
      <c r="E20" s="226"/>
    </row>
    <row r="21" spans="1:5" s="218" customFormat="1" ht="27.75" customHeight="1">
      <c r="A21" s="243"/>
      <c r="B21" s="244"/>
      <c r="C21" s="151" t="s">
        <v>1</v>
      </c>
      <c r="D21" s="192">
        <v>440000</v>
      </c>
      <c r="E21" s="226"/>
    </row>
    <row r="22" spans="1:5" s="218" customFormat="1" ht="47.25" customHeight="1">
      <c r="A22" s="243"/>
      <c r="B22" s="245"/>
      <c r="C22" s="151" t="s">
        <v>2</v>
      </c>
      <c r="D22" s="192">
        <v>50000</v>
      </c>
      <c r="E22" s="226"/>
    </row>
    <row r="23" spans="1:5" s="218" customFormat="1" ht="27" customHeight="1">
      <c r="A23" s="243"/>
      <c r="B23" s="245"/>
      <c r="C23" s="151" t="s">
        <v>3</v>
      </c>
      <c r="D23" s="192">
        <v>10000</v>
      </c>
      <c r="E23" s="226"/>
    </row>
    <row r="24" spans="1:5" s="218" customFormat="1" ht="42" customHeight="1">
      <c r="A24" s="243"/>
      <c r="B24" s="245"/>
      <c r="C24" s="151" t="s">
        <v>4</v>
      </c>
      <c r="D24" s="192">
        <f>49500+70000</f>
        <v>119500</v>
      </c>
      <c r="E24" s="226"/>
    </row>
    <row r="25" spans="1:5" s="218" customFormat="1" ht="36" customHeight="1">
      <c r="A25" s="243"/>
      <c r="B25" s="245"/>
      <c r="C25" s="151" t="s">
        <v>5</v>
      </c>
      <c r="D25" s="192">
        <v>60000</v>
      </c>
      <c r="E25" s="226"/>
    </row>
    <row r="26" spans="1:5" s="218" customFormat="1" ht="27.75" customHeight="1">
      <c r="A26" s="243"/>
      <c r="B26" s="245"/>
      <c r="C26" s="151" t="s">
        <v>6</v>
      </c>
      <c r="D26" s="192">
        <v>101000</v>
      </c>
      <c r="E26" s="226"/>
    </row>
    <row r="27" spans="1:5" s="218" customFormat="1" ht="31.5" customHeight="1">
      <c r="A27" s="243"/>
      <c r="B27" s="245"/>
      <c r="C27" s="151" t="s">
        <v>7</v>
      </c>
      <c r="D27" s="192">
        <v>90000</v>
      </c>
      <c r="E27" s="226"/>
    </row>
    <row r="28" spans="1:5" s="218" customFormat="1" ht="33.75" customHeight="1">
      <c r="A28" s="243"/>
      <c r="B28" s="245"/>
      <c r="C28" s="151" t="s">
        <v>8</v>
      </c>
      <c r="D28" s="192">
        <v>25000</v>
      </c>
      <c r="E28" s="226"/>
    </row>
    <row r="29" spans="1:5" s="218" customFormat="1" ht="25.5" customHeight="1">
      <c r="A29" s="243"/>
      <c r="B29" s="245"/>
      <c r="C29" s="246" t="s">
        <v>9</v>
      </c>
      <c r="D29" s="145">
        <v>6000</v>
      </c>
      <c r="E29" s="226"/>
    </row>
    <row r="30" spans="1:5" s="218" customFormat="1" ht="21" customHeight="1">
      <c r="A30" s="193">
        <v>852</v>
      </c>
      <c r="B30" s="194" t="s">
        <v>104</v>
      </c>
      <c r="C30" s="240"/>
      <c r="D30" s="195">
        <f>SUM(D31:D34)</f>
        <v>1421000</v>
      </c>
      <c r="E30" s="226"/>
    </row>
    <row r="31" spans="1:5" s="218" customFormat="1" ht="37.5" customHeight="1">
      <c r="A31" s="247"/>
      <c r="B31" s="248"/>
      <c r="C31" s="249" t="s">
        <v>10</v>
      </c>
      <c r="D31" s="192">
        <f>950000+156000</f>
        <v>1106000</v>
      </c>
      <c r="E31" s="226"/>
    </row>
    <row r="32" spans="1:5" s="218" customFormat="1" ht="27" customHeight="1">
      <c r="A32" s="250"/>
      <c r="B32" s="196"/>
      <c r="C32" s="251" t="s">
        <v>11</v>
      </c>
      <c r="D32" s="192">
        <v>200000</v>
      </c>
      <c r="E32" s="226"/>
    </row>
    <row r="33" spans="1:5" s="218" customFormat="1" ht="38.25" customHeight="1">
      <c r="A33" s="250"/>
      <c r="B33" s="196"/>
      <c r="C33" s="251" t="s">
        <v>12</v>
      </c>
      <c r="D33" s="192">
        <v>85000</v>
      </c>
      <c r="E33" s="226"/>
    </row>
    <row r="34" spans="1:5" s="218" customFormat="1" ht="38.25" customHeight="1">
      <c r="A34" s="250"/>
      <c r="B34" s="196"/>
      <c r="C34" s="251" t="s">
        <v>13</v>
      </c>
      <c r="D34" s="192">
        <v>30000</v>
      </c>
      <c r="E34" s="226"/>
    </row>
    <row r="35" spans="1:5" s="218" customFormat="1" ht="39" customHeight="1">
      <c r="A35" s="197">
        <v>853</v>
      </c>
      <c r="B35" s="198" t="s">
        <v>76</v>
      </c>
      <c r="C35" s="252"/>
      <c r="D35" s="233">
        <f>SUM(D36:D42)</f>
        <v>1065193.38</v>
      </c>
      <c r="E35" s="226"/>
    </row>
    <row r="36" spans="1:5" s="218" customFormat="1" ht="30" customHeight="1">
      <c r="A36" s="250"/>
      <c r="B36" s="196"/>
      <c r="C36" s="252" t="s">
        <v>14</v>
      </c>
      <c r="D36" s="192">
        <f>177600-129600</f>
        <v>48000</v>
      </c>
      <c r="E36" s="226"/>
    </row>
    <row r="37" spans="1:5" s="218" customFormat="1" ht="30" customHeight="1">
      <c r="A37" s="250"/>
      <c r="B37" s="196"/>
      <c r="C37" s="253" t="s">
        <v>15</v>
      </c>
      <c r="D37" s="192">
        <v>54000</v>
      </c>
      <c r="E37" s="226"/>
    </row>
    <row r="38" spans="1:5" s="218" customFormat="1" ht="30" customHeight="1">
      <c r="A38" s="250"/>
      <c r="B38" s="196"/>
      <c r="C38" s="253" t="s">
        <v>16</v>
      </c>
      <c r="D38" s="192">
        <v>19800</v>
      </c>
      <c r="E38" s="226"/>
    </row>
    <row r="39" spans="1:5" s="218" customFormat="1" ht="30.75" customHeight="1">
      <c r="A39" s="250"/>
      <c r="B39" s="196"/>
      <c r="C39" s="253" t="s">
        <v>17</v>
      </c>
      <c r="D39" s="192">
        <v>9000</v>
      </c>
      <c r="E39" s="226"/>
    </row>
    <row r="40" spans="1:5" s="218" customFormat="1" ht="46.5" customHeight="1">
      <c r="A40" s="250"/>
      <c r="B40" s="254"/>
      <c r="C40" s="251" t="s">
        <v>18</v>
      </c>
      <c r="D40" s="192">
        <f>78549.77+13861.73</f>
        <v>92411.5</v>
      </c>
      <c r="E40" s="226"/>
    </row>
    <row r="41" spans="1:5" s="218" customFormat="1" ht="37.5" customHeight="1">
      <c r="A41" s="250"/>
      <c r="B41" s="254"/>
      <c r="C41" s="143" t="s">
        <v>19</v>
      </c>
      <c r="D41" s="192">
        <f>35684.6+6297.28</f>
        <v>41981.88</v>
      </c>
      <c r="E41" s="226"/>
    </row>
    <row r="42" spans="1:5" s="218" customFormat="1" ht="39.75" customHeight="1">
      <c r="A42" s="250"/>
      <c r="B42" s="254"/>
      <c r="C42" s="251" t="s">
        <v>109</v>
      </c>
      <c r="D42" s="192">
        <f>680000+120000</f>
        <v>800000</v>
      </c>
      <c r="E42" s="226"/>
    </row>
    <row r="43" spans="1:5" s="218" customFormat="1" ht="38.25" customHeight="1">
      <c r="A43" s="193">
        <v>900</v>
      </c>
      <c r="B43" s="199" t="s">
        <v>20</v>
      </c>
      <c r="C43" s="200"/>
      <c r="D43" s="190">
        <f>SUM(D44:D46)</f>
        <v>708000</v>
      </c>
      <c r="E43" s="226"/>
    </row>
    <row r="44" spans="1:5" s="218" customFormat="1" ht="53.25" customHeight="1">
      <c r="A44" s="255"/>
      <c r="B44" s="256"/>
      <c r="C44" s="201" t="s">
        <v>21</v>
      </c>
      <c r="D44" s="192">
        <f>271000+7000</f>
        <v>278000</v>
      </c>
      <c r="E44" s="226"/>
    </row>
    <row r="45" spans="1:5" s="260" customFormat="1" ht="34.5" customHeight="1">
      <c r="A45" s="257"/>
      <c r="B45" s="258"/>
      <c r="C45" s="202" t="s">
        <v>122</v>
      </c>
      <c r="D45" s="259">
        <v>30000</v>
      </c>
      <c r="E45" s="234"/>
    </row>
    <row r="46" spans="1:5" s="218" customFormat="1" ht="32.25" customHeight="1">
      <c r="A46" s="261"/>
      <c r="B46" s="262"/>
      <c r="C46" s="202" t="s">
        <v>22</v>
      </c>
      <c r="D46" s="192">
        <f>600000-200000</f>
        <v>400000</v>
      </c>
      <c r="E46" s="226"/>
    </row>
    <row r="47" spans="1:5" s="218" customFormat="1" ht="39" customHeight="1">
      <c r="A47" s="193">
        <v>921</v>
      </c>
      <c r="B47" s="263" t="s">
        <v>110</v>
      </c>
      <c r="C47" s="198"/>
      <c r="D47" s="190">
        <f>SUM(D48:D52)</f>
        <v>153000</v>
      </c>
      <c r="E47" s="226"/>
    </row>
    <row r="48" spans="1:5" s="218" customFormat="1" ht="35.25" customHeight="1">
      <c r="A48" s="255"/>
      <c r="B48" s="256"/>
      <c r="C48" s="264" t="s">
        <v>440</v>
      </c>
      <c r="D48" s="192">
        <v>25000</v>
      </c>
      <c r="E48" s="226"/>
    </row>
    <row r="49" spans="1:5" s="218" customFormat="1" ht="35.25" customHeight="1">
      <c r="A49" s="257"/>
      <c r="B49" s="258"/>
      <c r="C49" s="151" t="s">
        <v>23</v>
      </c>
      <c r="D49" s="192">
        <v>25000</v>
      </c>
      <c r="E49" s="226"/>
    </row>
    <row r="50" spans="1:5" s="218" customFormat="1" ht="35.25" customHeight="1">
      <c r="A50" s="257"/>
      <c r="B50" s="258"/>
      <c r="C50" s="249" t="s">
        <v>24</v>
      </c>
      <c r="D50" s="192">
        <v>30000</v>
      </c>
      <c r="E50" s="226"/>
    </row>
    <row r="51" spans="1:5" s="218" customFormat="1" ht="27" customHeight="1">
      <c r="A51" s="257"/>
      <c r="B51" s="258"/>
      <c r="C51" s="203" t="s">
        <v>25</v>
      </c>
      <c r="D51" s="192">
        <v>28000</v>
      </c>
      <c r="E51" s="226"/>
    </row>
    <row r="52" spans="1:5" s="218" customFormat="1" ht="32.25" customHeight="1">
      <c r="A52" s="261"/>
      <c r="B52" s="262"/>
      <c r="C52" s="203" t="s">
        <v>26</v>
      </c>
      <c r="D52" s="192">
        <v>45000</v>
      </c>
      <c r="E52" s="226"/>
    </row>
    <row r="53" spans="1:5" s="218" customFormat="1" ht="34.5" customHeight="1">
      <c r="A53" s="238">
        <v>926</v>
      </c>
      <c r="B53" s="265" t="s">
        <v>27</v>
      </c>
      <c r="C53" s="200"/>
      <c r="D53" s="190">
        <f>SUM(D54:D58)</f>
        <v>2081993</v>
      </c>
      <c r="E53" s="226"/>
    </row>
    <row r="54" spans="1:5" s="268" customFormat="1" ht="61.5" customHeight="1">
      <c r="A54" s="255"/>
      <c r="B54" s="266"/>
      <c r="C54" s="267" t="s">
        <v>28</v>
      </c>
      <c r="D54" s="204">
        <f>150000+1732000-2007</f>
        <v>1879993</v>
      </c>
      <c r="E54" s="226"/>
    </row>
    <row r="55" spans="1:5" s="268" customFormat="1" ht="47.25" customHeight="1">
      <c r="A55" s="257"/>
      <c r="B55" s="269"/>
      <c r="C55" s="621" t="s">
        <v>441</v>
      </c>
      <c r="D55" s="622">
        <v>60000</v>
      </c>
      <c r="E55" s="226"/>
    </row>
    <row r="56" spans="1:5" s="268" customFormat="1" ht="34.5" customHeight="1">
      <c r="A56" s="257"/>
      <c r="B56" s="269"/>
      <c r="C56" s="267" t="s">
        <v>29</v>
      </c>
      <c r="D56" s="204">
        <f>10000-8000</f>
        <v>2000</v>
      </c>
      <c r="E56" s="226"/>
    </row>
    <row r="57" spans="1:5" s="268" customFormat="1" ht="33" customHeight="1">
      <c r="A57" s="270"/>
      <c r="B57" s="144"/>
      <c r="C57" s="271" t="s">
        <v>30</v>
      </c>
      <c r="D57" s="204">
        <v>115000</v>
      </c>
      <c r="E57" s="226"/>
    </row>
    <row r="58" spans="1:5" s="218" customFormat="1" ht="30" customHeight="1">
      <c r="A58" s="270"/>
      <c r="B58" s="144"/>
      <c r="C58" s="272" t="s">
        <v>31</v>
      </c>
      <c r="D58" s="192">
        <v>25000</v>
      </c>
      <c r="E58" s="226"/>
    </row>
    <row r="59" spans="1:5" s="218" customFormat="1" ht="30" customHeight="1">
      <c r="A59" s="205" t="s">
        <v>123</v>
      </c>
      <c r="B59" s="273"/>
      <c r="C59" s="206"/>
      <c r="D59" s="195">
        <f>D60+D70</f>
        <v>8436785.89</v>
      </c>
      <c r="E59" s="226"/>
    </row>
    <row r="60" spans="1:5" s="218" customFormat="1" ht="27" customHeight="1">
      <c r="A60" s="207" t="s">
        <v>129</v>
      </c>
      <c r="B60" s="274"/>
      <c r="C60" s="275"/>
      <c r="D60" s="276">
        <f>D61+D66+D68</f>
        <v>7549005</v>
      </c>
      <c r="E60" s="226"/>
    </row>
    <row r="61" spans="1:5" s="218" customFormat="1" ht="23.25" customHeight="1">
      <c r="A61" s="230">
        <v>801</v>
      </c>
      <c r="B61" s="231" t="s">
        <v>74</v>
      </c>
      <c r="C61" s="151"/>
      <c r="D61" s="233">
        <f>SUM(D62:D65)</f>
        <v>5790900</v>
      </c>
      <c r="E61" s="226"/>
    </row>
    <row r="62" spans="1:5" s="218" customFormat="1" ht="30" customHeight="1">
      <c r="A62" s="277"/>
      <c r="B62" s="278"/>
      <c r="C62" s="151" t="s">
        <v>32</v>
      </c>
      <c r="D62" s="618">
        <f>2000000-86000+200000+69150</f>
        <v>2183150</v>
      </c>
      <c r="E62" s="226"/>
    </row>
    <row r="63" spans="1:5" s="218" customFormat="1" ht="30" customHeight="1">
      <c r="A63" s="277"/>
      <c r="B63" s="278"/>
      <c r="C63" s="151" t="s">
        <v>35</v>
      </c>
      <c r="D63" s="192">
        <v>350000</v>
      </c>
      <c r="E63" s="226"/>
    </row>
    <row r="64" spans="1:5" s="218" customFormat="1" ht="30" customHeight="1">
      <c r="A64" s="277"/>
      <c r="B64" s="278"/>
      <c r="C64" s="151" t="s">
        <v>36</v>
      </c>
      <c r="D64" s="618">
        <f>48000+850</f>
        <v>48850</v>
      </c>
      <c r="E64" s="226"/>
    </row>
    <row r="65" spans="1:5" s="218" customFormat="1" ht="24.75" customHeight="1">
      <c r="A65" s="277"/>
      <c r="B65" s="278"/>
      <c r="C65" s="151" t="s">
        <v>37</v>
      </c>
      <c r="D65" s="192">
        <f>3185000-150000+250000-76100</f>
        <v>3208900</v>
      </c>
      <c r="E65" s="226"/>
    </row>
    <row r="66" spans="1:5" s="218" customFormat="1" ht="39" customHeight="1">
      <c r="A66" s="193">
        <v>853</v>
      </c>
      <c r="B66" s="279" t="s">
        <v>76</v>
      </c>
      <c r="C66" s="150"/>
      <c r="D66" s="190">
        <f>SUM(D67:D67)</f>
        <v>308105</v>
      </c>
      <c r="E66" s="226"/>
    </row>
    <row r="67" spans="1:5" s="281" customFormat="1" ht="37.5" customHeight="1">
      <c r="A67" s="247"/>
      <c r="B67" s="280"/>
      <c r="C67" s="203" t="s">
        <v>38</v>
      </c>
      <c r="D67" s="259">
        <v>308105</v>
      </c>
      <c r="E67" s="226"/>
    </row>
    <row r="68" spans="1:5" s="218" customFormat="1" ht="31.5" customHeight="1">
      <c r="A68" s="197">
        <v>854</v>
      </c>
      <c r="B68" s="231" t="s">
        <v>112</v>
      </c>
      <c r="C68" s="151"/>
      <c r="D68" s="282">
        <f>D69</f>
        <v>1450000</v>
      </c>
      <c r="E68" s="234"/>
    </row>
    <row r="69" spans="1:5" s="218" customFormat="1" ht="43.5" customHeight="1">
      <c r="A69" s="283"/>
      <c r="B69" s="284"/>
      <c r="C69" s="151" t="s">
        <v>39</v>
      </c>
      <c r="D69" s="192">
        <v>1450000</v>
      </c>
      <c r="E69" s="226"/>
    </row>
    <row r="70" spans="1:5" s="218" customFormat="1" ht="29.25" customHeight="1">
      <c r="A70" s="191" t="s">
        <v>121</v>
      </c>
      <c r="B70" s="285"/>
      <c r="C70" s="286"/>
      <c r="D70" s="208">
        <f>D71+D75+D78</f>
        <v>887780.89</v>
      </c>
      <c r="E70" s="226"/>
    </row>
    <row r="71" spans="1:5" s="218" customFormat="1" ht="34.5" customHeight="1">
      <c r="A71" s="243">
        <v>630</v>
      </c>
      <c r="B71" s="287" t="s">
        <v>111</v>
      </c>
      <c r="C71" s="288" t="s">
        <v>62</v>
      </c>
      <c r="D71" s="190">
        <f>SUM(D72:D74)</f>
        <v>95000</v>
      </c>
      <c r="E71" s="226"/>
    </row>
    <row r="72" spans="1:5" s="218" customFormat="1" ht="36.75" customHeight="1">
      <c r="A72" s="247"/>
      <c r="B72" s="289"/>
      <c r="C72" s="209" t="s">
        <v>40</v>
      </c>
      <c r="D72" s="259">
        <v>60000</v>
      </c>
      <c r="E72" s="226"/>
    </row>
    <row r="73" spans="1:5" s="218" customFormat="1" ht="30" customHeight="1">
      <c r="A73" s="257"/>
      <c r="B73" s="290"/>
      <c r="C73" s="201" t="s">
        <v>41</v>
      </c>
      <c r="D73" s="192">
        <v>30000</v>
      </c>
      <c r="E73" s="226"/>
    </row>
    <row r="74" spans="1:5" s="218" customFormat="1" ht="30" customHeight="1">
      <c r="A74" s="257"/>
      <c r="B74" s="290"/>
      <c r="C74" s="201" t="s">
        <v>42</v>
      </c>
      <c r="D74" s="192">
        <v>5000</v>
      </c>
      <c r="E74" s="226"/>
    </row>
    <row r="75" spans="1:5" s="218" customFormat="1" ht="26.25" customHeight="1">
      <c r="A75" s="197">
        <v>852</v>
      </c>
      <c r="B75" s="210" t="s">
        <v>104</v>
      </c>
      <c r="C75" s="150"/>
      <c r="D75" s="190">
        <f>SUM(D76:D77)</f>
        <v>207000</v>
      </c>
      <c r="E75" s="226"/>
    </row>
    <row r="76" spans="1:5" s="218" customFormat="1" ht="40.5" customHeight="1">
      <c r="A76" s="144"/>
      <c r="B76" s="144"/>
      <c r="C76" s="150" t="s">
        <v>43</v>
      </c>
      <c r="D76" s="192">
        <v>200000</v>
      </c>
      <c r="E76" s="226"/>
    </row>
    <row r="77" spans="1:5" s="218" customFormat="1" ht="40.5" customHeight="1">
      <c r="A77" s="144"/>
      <c r="B77" s="144"/>
      <c r="C77" s="150" t="s">
        <v>44</v>
      </c>
      <c r="D77" s="145">
        <v>7000</v>
      </c>
      <c r="E77" s="226"/>
    </row>
    <row r="78" spans="1:5" s="218" customFormat="1" ht="38.25" customHeight="1">
      <c r="A78" s="193">
        <v>853</v>
      </c>
      <c r="B78" s="279" t="s">
        <v>76</v>
      </c>
      <c r="C78" s="150"/>
      <c r="D78" s="211">
        <f>SUM(D79)</f>
        <v>585780.89</v>
      </c>
      <c r="E78" s="229"/>
    </row>
    <row r="79" spans="1:5" s="218" customFormat="1" ht="37.5" customHeight="1">
      <c r="A79" s="291"/>
      <c r="B79" s="291"/>
      <c r="C79" s="150" t="s">
        <v>45</v>
      </c>
      <c r="D79" s="310">
        <f>524915+145852.89+140000-150000-4987-70000</f>
        <v>585780.89</v>
      </c>
      <c r="E79" s="226"/>
    </row>
    <row r="80" spans="1:5" s="218" customFormat="1" ht="24.75" customHeight="1">
      <c r="A80" s="683" t="s">
        <v>124</v>
      </c>
      <c r="B80" s="684"/>
      <c r="C80" s="685"/>
      <c r="D80" s="212">
        <f>D13+D59</f>
        <v>17544798.27</v>
      </c>
      <c r="E80" s="229"/>
    </row>
    <row r="81" spans="3:7" s="218" customFormat="1" ht="12.75">
      <c r="C81" s="217"/>
      <c r="E81" s="229"/>
      <c r="F81" s="226"/>
      <c r="G81" s="226"/>
    </row>
    <row r="88" ht="12.75">
      <c r="G88" s="170"/>
    </row>
    <row r="89" ht="12.75">
      <c r="G89" s="170"/>
    </row>
  </sheetData>
  <sheetProtection/>
  <mergeCells count="1">
    <mergeCell ref="A80:C80"/>
  </mergeCells>
  <printOptions/>
  <pageMargins left="0.3937007874015748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5">
      <selection activeCell="C24" sqref="C24"/>
    </sheetView>
  </sheetViews>
  <sheetFormatPr defaultColWidth="9.140625" defaultRowHeight="12.75"/>
  <cols>
    <col min="1" max="1" width="5.421875" style="169" customWidth="1"/>
    <col min="2" max="2" width="23.8515625" style="169" customWidth="1"/>
    <col min="3" max="3" width="41.57421875" style="169" customWidth="1"/>
    <col min="4" max="4" width="18.00390625" style="169" customWidth="1"/>
    <col min="5" max="5" width="24.7109375" style="169" customWidth="1"/>
    <col min="6" max="6" width="23.00390625" style="169" customWidth="1"/>
    <col min="7" max="7" width="8.8515625" style="169" customWidth="1"/>
    <col min="8" max="16384" width="9.140625" style="169" customWidth="1"/>
  </cols>
  <sheetData>
    <row r="1" ht="19.5" customHeight="1">
      <c r="C1" s="315" t="s">
        <v>342</v>
      </c>
    </row>
    <row r="2" ht="19.5" customHeight="1">
      <c r="C2" s="184" t="s">
        <v>434</v>
      </c>
    </row>
    <row r="3" ht="17.25" customHeight="1">
      <c r="C3" s="184" t="s">
        <v>102</v>
      </c>
    </row>
    <row r="4" ht="18" customHeight="1">
      <c r="C4" s="64" t="s">
        <v>435</v>
      </c>
    </row>
    <row r="5" ht="16.5" customHeight="1">
      <c r="C5" s="316"/>
    </row>
    <row r="6" ht="18" customHeight="1">
      <c r="C6" s="316"/>
    </row>
    <row r="7" spans="1:4" s="186" customFormat="1" ht="17.25" customHeight="1">
      <c r="A7" s="185" t="s">
        <v>133</v>
      </c>
      <c r="B7" s="185"/>
      <c r="C7" s="317"/>
      <c r="D7" s="169"/>
    </row>
    <row r="8" spans="1:4" s="186" customFormat="1" ht="17.25" customHeight="1">
      <c r="A8" s="185" t="s">
        <v>134</v>
      </c>
      <c r="B8" s="185"/>
      <c r="C8" s="317"/>
      <c r="D8" s="169"/>
    </row>
    <row r="9" spans="1:2" ht="15.75">
      <c r="A9" s="318" t="s">
        <v>135</v>
      </c>
      <c r="B9" s="187"/>
    </row>
    <row r="10" spans="3:4" ht="11.25" customHeight="1">
      <c r="C10" s="319"/>
      <c r="D10" s="320" t="s">
        <v>72</v>
      </c>
    </row>
    <row r="11" spans="1:4" ht="29.25" customHeight="1">
      <c r="A11" s="188" t="s">
        <v>73</v>
      </c>
      <c r="B11" s="188" t="s">
        <v>118</v>
      </c>
      <c r="C11" s="188" t="s">
        <v>119</v>
      </c>
      <c r="D11" s="189" t="s">
        <v>136</v>
      </c>
    </row>
    <row r="12" spans="1:4" ht="24" customHeight="1">
      <c r="A12" s="205" t="s">
        <v>120</v>
      </c>
      <c r="B12" s="321"/>
      <c r="C12" s="322"/>
      <c r="D12" s="323">
        <f>D13+D17+D20</f>
        <v>16570823.589999998</v>
      </c>
    </row>
    <row r="13" spans="1:4" s="327" customFormat="1" ht="24" customHeight="1">
      <c r="A13" s="207" t="s">
        <v>137</v>
      </c>
      <c r="B13" s="324"/>
      <c r="C13" s="325"/>
      <c r="D13" s="326">
        <f>D14</f>
        <v>5268886.1</v>
      </c>
    </row>
    <row r="14" spans="1:5" ht="31.5" customHeight="1">
      <c r="A14" s="328">
        <v>921</v>
      </c>
      <c r="B14" s="199" t="s">
        <v>110</v>
      </c>
      <c r="C14" s="329"/>
      <c r="D14" s="323">
        <f>D15+D16</f>
        <v>5268886.1</v>
      </c>
      <c r="E14" s="330"/>
    </row>
    <row r="15" spans="1:5" ht="27.75" customHeight="1">
      <c r="A15" s="331"/>
      <c r="B15" s="332"/>
      <c r="C15" s="333" t="s">
        <v>138</v>
      </c>
      <c r="D15" s="192">
        <f>3472000+158000+60000+217386.1</f>
        <v>3907386.1</v>
      </c>
      <c r="E15" s="330"/>
    </row>
    <row r="16" spans="1:5" ht="27.75" customHeight="1">
      <c r="A16" s="334"/>
      <c r="B16" s="335"/>
      <c r="C16" s="333" t="s">
        <v>139</v>
      </c>
      <c r="D16" s="145">
        <f>1240000+100000+20000+1500</f>
        <v>1361500</v>
      </c>
      <c r="E16" s="330"/>
    </row>
    <row r="17" spans="1:5" ht="26.25" customHeight="1">
      <c r="A17" s="207" t="s">
        <v>140</v>
      </c>
      <c r="B17" s="336"/>
      <c r="C17" s="333"/>
      <c r="D17" s="326">
        <f>D18</f>
        <v>11013485.389999999</v>
      </c>
      <c r="E17" s="330"/>
    </row>
    <row r="18" spans="1:5" ht="26.25" customHeight="1">
      <c r="A18" s="337">
        <v>600</v>
      </c>
      <c r="B18" s="210" t="s">
        <v>141</v>
      </c>
      <c r="C18" s="333"/>
      <c r="D18" s="323">
        <f>D19</f>
        <v>11013485.389999999</v>
      </c>
      <c r="E18" s="330"/>
    </row>
    <row r="19" spans="1:5" ht="29.25" customHeight="1">
      <c r="A19" s="338"/>
      <c r="B19" s="339"/>
      <c r="C19" s="201" t="s">
        <v>142</v>
      </c>
      <c r="D19" s="192">
        <f>11000184.75+1427.95+11872.69</f>
        <v>11013485.389999999</v>
      </c>
      <c r="E19" s="330"/>
    </row>
    <row r="20" spans="1:5" ht="28.5" customHeight="1">
      <c r="A20" s="191" t="s">
        <v>121</v>
      </c>
      <c r="B20" s="340"/>
      <c r="C20" s="329"/>
      <c r="D20" s="326">
        <f>D21+D23+D25+D27+D29+D31</f>
        <v>288452.1</v>
      </c>
      <c r="E20" s="330"/>
    </row>
    <row r="21" spans="1:5" ht="28.5" customHeight="1">
      <c r="A21" s="341">
        <v>750</v>
      </c>
      <c r="B21" s="342" t="s">
        <v>143</v>
      </c>
      <c r="C21" s="150"/>
      <c r="D21" s="323">
        <f>SUM(D22)</f>
        <v>22566.1</v>
      </c>
      <c r="E21" s="330"/>
    </row>
    <row r="22" spans="1:5" ht="42.75" customHeight="1">
      <c r="A22" s="343"/>
      <c r="B22" s="200"/>
      <c r="C22" s="150" t="s">
        <v>144</v>
      </c>
      <c r="D22" s="344">
        <f>32287.5-10400+678.6</f>
        <v>22566.1</v>
      </c>
      <c r="E22" s="330"/>
    </row>
    <row r="23" spans="1:5" ht="31.5" customHeight="1">
      <c r="A23" s="345">
        <v>801</v>
      </c>
      <c r="B23" s="194" t="s">
        <v>145</v>
      </c>
      <c r="C23" s="203"/>
      <c r="D23" s="323">
        <f>D24</f>
        <v>56000</v>
      </c>
      <c r="E23" s="330"/>
    </row>
    <row r="24" spans="1:5" ht="33" customHeight="1">
      <c r="A24" s="345"/>
      <c r="B24" s="194"/>
      <c r="C24" s="203" t="s">
        <v>442</v>
      </c>
      <c r="D24" s="619">
        <f>26000+30000</f>
        <v>56000</v>
      </c>
      <c r="E24" s="330"/>
    </row>
    <row r="25" spans="1:5" ht="28.5" customHeight="1">
      <c r="A25" s="193">
        <v>851</v>
      </c>
      <c r="B25" s="194" t="s">
        <v>75</v>
      </c>
      <c r="C25" s="329"/>
      <c r="D25" s="346">
        <f>SUM(D26:D26)</f>
        <v>7500</v>
      </c>
      <c r="E25" s="330"/>
    </row>
    <row r="26" spans="1:5" ht="57" customHeight="1">
      <c r="A26" s="347"/>
      <c r="B26" s="348"/>
      <c r="C26" s="201" t="s">
        <v>146</v>
      </c>
      <c r="D26" s="344">
        <v>7500</v>
      </c>
      <c r="E26" s="330"/>
    </row>
    <row r="27" spans="1:5" ht="34.5" customHeight="1">
      <c r="A27" s="337">
        <v>853</v>
      </c>
      <c r="B27" s="342" t="s">
        <v>76</v>
      </c>
      <c r="C27" s="201"/>
      <c r="D27" s="346">
        <f>D28</f>
        <v>85386</v>
      </c>
      <c r="E27" s="330"/>
    </row>
    <row r="28" spans="1:5" ht="31.5" customHeight="1">
      <c r="A28" s="207"/>
      <c r="B28" s="196"/>
      <c r="C28" s="209" t="s">
        <v>147</v>
      </c>
      <c r="D28" s="344">
        <f>76943.7+13578.3-4365.6-770.4</f>
        <v>85386</v>
      </c>
      <c r="E28" s="330"/>
    </row>
    <row r="29" spans="1:5" ht="30" customHeight="1">
      <c r="A29" s="197">
        <v>900</v>
      </c>
      <c r="B29" s="198" t="s">
        <v>148</v>
      </c>
      <c r="C29" s="349"/>
      <c r="D29" s="211">
        <f>D30</f>
        <v>12000</v>
      </c>
      <c r="E29" s="330"/>
    </row>
    <row r="30" spans="1:9" ht="30" customHeight="1">
      <c r="A30" s="331"/>
      <c r="B30" s="350"/>
      <c r="C30" s="351" t="s">
        <v>122</v>
      </c>
      <c r="D30" s="204">
        <v>12000</v>
      </c>
      <c r="E30" s="352"/>
      <c r="F30" s="352"/>
      <c r="G30" s="352"/>
      <c r="H30" s="352"/>
      <c r="I30" s="352"/>
    </row>
    <row r="31" spans="1:9" ht="30.75" customHeight="1">
      <c r="A31" s="337">
        <v>921</v>
      </c>
      <c r="B31" s="198" t="s">
        <v>110</v>
      </c>
      <c r="C31" s="202"/>
      <c r="D31" s="190">
        <f>SUM(D32:D33)</f>
        <v>105000</v>
      </c>
      <c r="E31" s="352"/>
      <c r="F31" s="352"/>
      <c r="G31" s="352"/>
      <c r="H31" s="352"/>
      <c r="I31" s="352"/>
    </row>
    <row r="32" spans="1:9" ht="30.75" customHeight="1">
      <c r="A32" s="328"/>
      <c r="B32" s="198"/>
      <c r="C32" s="202" t="s">
        <v>149</v>
      </c>
      <c r="D32" s="204">
        <v>10000</v>
      </c>
      <c r="E32" s="352"/>
      <c r="F32" s="352"/>
      <c r="G32" s="352"/>
      <c r="H32" s="352"/>
      <c r="I32" s="352"/>
    </row>
    <row r="33" spans="1:9" ht="30.75" customHeight="1">
      <c r="A33" s="328"/>
      <c r="B33" s="198"/>
      <c r="C33" s="353" t="s">
        <v>150</v>
      </c>
      <c r="D33" s="204">
        <v>95000</v>
      </c>
      <c r="E33" s="352"/>
      <c r="F33" s="352"/>
      <c r="G33" s="352"/>
      <c r="H33" s="352"/>
      <c r="I33" s="352"/>
    </row>
    <row r="34" spans="1:9" ht="30.75" customHeight="1">
      <c r="A34" s="205" t="s">
        <v>123</v>
      </c>
      <c r="B34" s="354"/>
      <c r="C34" s="355"/>
      <c r="D34" s="195">
        <f>D35+D38</f>
        <v>3743348</v>
      </c>
      <c r="E34" s="352"/>
      <c r="F34" s="352"/>
      <c r="G34" s="352"/>
      <c r="H34" s="352"/>
      <c r="I34" s="352"/>
    </row>
    <row r="35" spans="1:9" ht="33" customHeight="1">
      <c r="A35" s="347" t="s">
        <v>137</v>
      </c>
      <c r="B35" s="356"/>
      <c r="C35" s="357"/>
      <c r="D35" s="358">
        <f>D36</f>
        <v>2610903</v>
      </c>
      <c r="E35" s="352"/>
      <c r="F35" s="352"/>
      <c r="G35" s="352"/>
      <c r="H35" s="352"/>
      <c r="I35" s="352"/>
    </row>
    <row r="36" spans="1:4" ht="33" customHeight="1">
      <c r="A36" s="337">
        <v>921</v>
      </c>
      <c r="B36" s="199" t="s">
        <v>110</v>
      </c>
      <c r="C36" s="206"/>
      <c r="D36" s="359">
        <f>D37</f>
        <v>2610903</v>
      </c>
    </row>
    <row r="37" spans="1:4" ht="24.75" customHeight="1">
      <c r="A37" s="360"/>
      <c r="B37" s="200"/>
      <c r="C37" s="201" t="s">
        <v>151</v>
      </c>
      <c r="D37" s="192">
        <f>2574000+16903+20000</f>
        <v>2610903</v>
      </c>
    </row>
    <row r="38" spans="1:4" ht="27.75" customHeight="1">
      <c r="A38" s="191" t="s">
        <v>121</v>
      </c>
      <c r="B38" s="361"/>
      <c r="C38" s="201"/>
      <c r="D38" s="208">
        <f>D39+D41</f>
        <v>1132445</v>
      </c>
    </row>
    <row r="39" spans="1:4" ht="27" customHeight="1">
      <c r="A39" s="350">
        <v>852</v>
      </c>
      <c r="B39" s="362" t="s">
        <v>104</v>
      </c>
      <c r="C39" s="150"/>
      <c r="D39" s="190">
        <f>D40</f>
        <v>52445</v>
      </c>
    </row>
    <row r="40" spans="1:4" ht="42.75" customHeight="1">
      <c r="A40" s="332"/>
      <c r="B40" s="363"/>
      <c r="C40" s="203" t="s">
        <v>152</v>
      </c>
      <c r="D40" s="192">
        <f>608600-556155</f>
        <v>52445</v>
      </c>
    </row>
    <row r="41" spans="1:4" ht="36" customHeight="1">
      <c r="A41" s="337">
        <v>853</v>
      </c>
      <c r="B41" s="342" t="s">
        <v>76</v>
      </c>
      <c r="C41" s="203"/>
      <c r="D41" s="190">
        <f>D42</f>
        <v>1080000</v>
      </c>
    </row>
    <row r="42" spans="1:4" ht="30.75" customHeight="1">
      <c r="A42" s="341"/>
      <c r="B42" s="342"/>
      <c r="C42" s="203" t="s">
        <v>153</v>
      </c>
      <c r="D42" s="192">
        <v>1080000</v>
      </c>
    </row>
    <row r="43" spans="1:4" ht="25.5" customHeight="1">
      <c r="A43" s="686" t="s">
        <v>124</v>
      </c>
      <c r="B43" s="687"/>
      <c r="C43" s="685"/>
      <c r="D43" s="212">
        <f>D12+D34</f>
        <v>20314171.589999996</v>
      </c>
    </row>
    <row r="44" spans="4:6" ht="15.75">
      <c r="D44" s="364"/>
      <c r="F44" s="170"/>
    </row>
    <row r="45" ht="15.75">
      <c r="D45" s="364"/>
    </row>
    <row r="46" ht="12.75">
      <c r="D46" s="170"/>
    </row>
    <row r="47" ht="12.75">
      <c r="D47" s="170"/>
    </row>
    <row r="48" ht="12.75">
      <c r="D48" s="170"/>
    </row>
    <row r="49" ht="12.75">
      <c r="D49" s="170"/>
    </row>
    <row r="50" ht="12.75">
      <c r="D50" s="170"/>
    </row>
    <row r="51" ht="12.75">
      <c r="D51" s="170"/>
    </row>
    <row r="52" ht="12.75">
      <c r="D52" s="170"/>
    </row>
    <row r="53" ht="12.75">
      <c r="D53" s="170"/>
    </row>
  </sheetData>
  <sheetProtection/>
  <mergeCells count="1">
    <mergeCell ref="A43:C43"/>
  </mergeCells>
  <printOptions/>
  <pageMargins left="0.75" right="0.75" top="1" bottom="1" header="0.5" footer="0.5"/>
  <pageSetup horizontalDpi="600" verticalDpi="600" orientation="portrait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140625" defaultRowHeight="12.75"/>
  <cols>
    <col min="3" max="3" width="18.140625" style="0" customWidth="1"/>
    <col min="4" max="4" width="23.57421875" style="163" customWidth="1"/>
    <col min="5" max="5" width="23.7109375" style="153" customWidth="1"/>
    <col min="6" max="6" width="28.140625" style="153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UM Konin</cp:lastModifiedBy>
  <cp:lastPrinted>2014-08-14T12:30:00Z</cp:lastPrinted>
  <dcterms:created xsi:type="dcterms:W3CDTF">2009-03-04T08:33:11Z</dcterms:created>
  <dcterms:modified xsi:type="dcterms:W3CDTF">2014-08-18T06:39:24Z</dcterms:modified>
  <cp:category/>
  <cp:version/>
  <cp:contentType/>
  <cp:contentStatus/>
</cp:coreProperties>
</file>