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540" windowHeight="12405" firstSheet="2" activeTab="2"/>
  </bookViews>
  <sheets>
    <sheet name="relacja 5" sheetId="1" r:id="rId1"/>
    <sheet name="relacja 4" sheetId="2" r:id="rId2"/>
    <sheet name="Załącznik nr 1" sheetId="3" r:id="rId3"/>
  </sheets>
  <definedNames>
    <definedName name="_xlnm.Print_Titles" localSheetId="2">'Załącznik nr 1'!$A:$B,'Załącznik nr 1'!$8:$8</definedName>
  </definedNames>
  <calcPr fullCalcOnLoad="1"/>
</workbook>
</file>

<file path=xl/sharedStrings.xml><?xml version="1.0" encoding="utf-8"?>
<sst xmlns="http://schemas.openxmlformats.org/spreadsheetml/2006/main" count="136" uniqueCount="93">
  <si>
    <t>Lp.</t>
  </si>
  <si>
    <t>Wyszczególnienie</t>
  </si>
  <si>
    <t>Rok 2011</t>
  </si>
  <si>
    <t>Rok 2012</t>
  </si>
  <si>
    <t>Rok 2014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</si>
  <si>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</si>
  <si>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</si>
  <si>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</si>
  <si>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</si>
  <si>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</si>
  <si>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</si>
  <si>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</si>
  <si>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</si>
  <si>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</si>
  <si>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</si>
  <si>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</si>
  <si>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</si>
  <si>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</si>
  <si>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</si>
  <si>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</si>
  <si>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</si>
  <si>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</si>
  <si>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</si>
  <si>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</si>
  <si>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</si>
  <si>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</si>
  <si>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</si>
  <si>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</si>
  <si>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</si>
  <si>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</si>
  <si>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</si>
  <si>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</si>
  <si>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</si>
  <si>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</si>
  <si>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</si>
  <si>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</si>
  <si>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</si>
  <si>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</si>
  <si>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</si>
  <si>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</si>
  <si>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</si>
  <si>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</si>
  <si>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</si>
  <si>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</si>
  <si>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</si>
  <si>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</si>
  <si>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</si>
  <si>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</si>
  <si>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r>
      <t>Rok 2013</t>
    </r>
    <r>
      <rPr>
        <sz val="9"/>
        <color indexed="8"/>
        <rFont val="Times New Roman"/>
        <family val="1"/>
      </rPr>
      <t xml:space="preserve"> </t>
    </r>
  </si>
  <si>
    <t>Rady Miasta Konina</t>
  </si>
  <si>
    <t>Załącznik nr 1</t>
  </si>
  <si>
    <r>
      <t>Dochody ogółem</t>
    </r>
    <r>
      <rPr>
        <u val="single"/>
        <vertAlign val="superscript"/>
        <sz val="9"/>
        <rFont val="Times New Roman"/>
        <family val="1"/>
      </rPr>
      <t>[1]</t>
    </r>
    <r>
      <rPr>
        <u val="single"/>
        <sz val="9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</si>
  <si>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9"/>
        <rFont val="Times New Roman"/>
        <family val="1"/>
      </rPr>
      <t>[2]</t>
    </r>
    <r>
      <rPr>
        <u val="single"/>
        <sz val="9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</si>
  <si>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9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</si>
  <si>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9"/>
        <rFont val="Times New Roman"/>
        <family val="1"/>
      </rPr>
      <t>[4]</t>
    </r>
  </si>
  <si>
    <t>gwarancje i poręczenia podlegające wyłączeniu z limitów spłaty zobowiązań z art. 243 ufp/169sufp</t>
  </si>
  <si>
    <r>
      <t>wydatki bieżące objęte limitem art. 226 ust. 4 ufp</t>
    </r>
    <r>
      <rPr>
        <u val="single"/>
        <vertAlign val="superscript"/>
        <sz val="9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</si>
  <si>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9"/>
        <rFont val="Times New Roman"/>
        <family val="1"/>
      </rPr>
      <t>[6]</t>
    </r>
  </si>
  <si>
    <r>
      <t>Wydatki majątkowe</t>
    </r>
    <r>
      <rPr>
        <u val="single"/>
        <vertAlign val="superscript"/>
        <sz val="9"/>
        <rFont val="Times New Roman"/>
        <family val="1"/>
      </rPr>
      <t>[7]</t>
    </r>
    <r>
      <rPr>
        <u val="single"/>
        <sz val="9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</si>
  <si>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9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</si>
  <si>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9"/>
        <rFont val="Times New Roman"/>
        <family val="1"/>
      </rPr>
      <t>[9]</t>
    </r>
  </si>
  <si>
    <r>
      <t>Kwota długu</t>
    </r>
    <r>
      <rPr>
        <u val="single"/>
        <vertAlign val="superscript"/>
        <sz val="9"/>
        <rFont val="Times New Roman"/>
        <family val="1"/>
      </rPr>
      <t>[10]</t>
    </r>
    <r>
      <rPr>
        <u val="single"/>
        <sz val="9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</si>
  <si>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9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</si>
  <si>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9"/>
        <rFont val="Times New Roman"/>
        <family val="1"/>
      </rPr>
      <t>[12]</t>
    </r>
  </si>
  <si>
    <r>
      <t>Planowana łączna kwota spłaty zobowiązań</t>
    </r>
    <r>
      <rPr>
        <u val="single"/>
        <vertAlign val="superscript"/>
        <sz val="9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</si>
  <si>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9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</si>
  <si>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9"/>
        <rFont val="Times New Roman"/>
        <family val="1"/>
      </rPr>
      <t>[15]</t>
    </r>
  </si>
  <si>
    <r>
      <t>Spłata zadłużenia/dochody ogółem (7-13a +2c –2d):1)  -max 15%  z art. 169 sufp</t>
    </r>
    <r>
      <rPr>
        <u val="single"/>
        <vertAlign val="superscript"/>
        <sz val="9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</si>
  <si>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9"/>
        <rFont val="Times New Roman"/>
        <family val="1"/>
      </rPr>
      <t>[17]</t>
    </r>
  </si>
  <si>
    <r>
      <t>Zgodny z  art. 243 ufp/</t>
    </r>
    <r>
      <rPr>
        <strike/>
        <sz val="8"/>
        <color indexed="8"/>
        <rFont val="Times New Roman"/>
        <family val="1"/>
      </rPr>
      <t>niezgodny z art. 243**</t>
    </r>
  </si>
  <si>
    <r>
      <t>Zgodny z  art. 243 ufp</t>
    </r>
    <r>
      <rPr>
        <sz val="8"/>
        <color indexed="8"/>
        <rFont val="Times New Roman"/>
        <family val="1"/>
      </rPr>
      <t>/niezgodny z art. 243**</t>
    </r>
  </si>
  <si>
    <t>w zł.</t>
  </si>
  <si>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</si>
  <si>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</si>
  <si>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</si>
  <si>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</si>
  <si>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</si>
  <si>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</si>
  <si>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</si>
  <si>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</si>
  <si>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</si>
  <si>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</si>
  <si>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</si>
  <si>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</si>
  <si>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</si>
  <si>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</si>
  <si>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</si>
  <si>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</si>
  <si>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Informacja o relacji, o której mowa w art. 243 ustawy z dnia 27 sierpnia 2009 r. o finansach publicznych w latach 2011-2028</t>
  </si>
  <si>
    <r>
      <rPr>
        <strike/>
        <sz val="8"/>
        <color indexed="8"/>
        <rFont val="Times New Roman"/>
        <family val="1"/>
      </rPr>
      <t xml:space="preserve">Zgodny z  art. 243 </t>
    </r>
    <r>
      <rPr>
        <sz val="8"/>
        <color indexed="8"/>
        <rFont val="Times New Roman"/>
        <family val="1"/>
      </rPr>
      <t>ufp/niezgodny z art. 243**</t>
    </r>
  </si>
  <si>
    <t>Wieloletnia Prognoza Finansowa miasta Konina na lata 2011-2014</t>
  </si>
  <si>
    <t xml:space="preserve">z dnia 03 sierpnia 2011 roku     </t>
  </si>
  <si>
    <t xml:space="preserve">do Uchwały Nr 176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</si>
</sst>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</numFmts>
  <fonts count="57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u val="single"/>
      <vertAlign val="superscript"/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trike/>
      <sz val="8"/>
      <color indexed="8"/>
      <name val="Times New Roman"/>
      <family val="1"/>
    </font>
    <font>
      <b/>
      <sz val="9"/>
      <name val="Times New Roman CE"/>
      <family val="1"/>
    </font>
    <font>
      <sz val="9"/>
      <name val="Times New Roman CE"/>
      <family val="0"/>
    </font>
    <font>
      <b/>
      <sz val="12"/>
      <name val="Times New Roman CE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Times New Roman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10" fillId="0" borderId="12" xfId="44" applyFont="1" applyBorder="1" applyAlignment="1" applyProtection="1">
      <alignment horizontal="justify" vertical="center" wrapText="1"/>
      <protection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0" fillId="0" borderId="12" xfId="44" applyFont="1" applyBorder="1" applyAlignment="1" applyProtection="1">
      <alignment vertical="center" wrapText="1"/>
      <protection/>
    </xf>
    <xf numFmtId="0" fontId="10" fillId="0" borderId="11" xfId="44" applyFont="1" applyBorder="1" applyAlignment="1" applyProtection="1">
      <alignment horizontal="justify" vertical="center" wrapText="1"/>
      <protection/>
    </xf>
    <xf numFmtId="0" fontId="10" fillId="0" borderId="13" xfId="44" applyFont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10" fillId="0" borderId="14" xfId="44" applyFont="1" applyBorder="1" applyAlignment="1" applyProtection="1">
      <alignment horizontal="justify" vertical="center" wrapText="1"/>
      <protection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4" fontId="12" fillId="0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44" applyFont="1" applyFill="1" applyBorder="1" applyAlignment="1" applyProtection="1">
      <alignment horizontal="justify" vertical="center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 wrapText="1" indent="10"/>
    </xf>
    <xf numFmtId="0" fontId="16" fillId="0" borderId="0" xfId="0" applyFont="1" applyFill="1" applyAlignment="1">
      <alignment horizontal="left" indent="10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0" fontId="7" fillId="0" borderId="18" xfId="0" applyNumberFormat="1" applyFont="1" applyFill="1" applyBorder="1" applyAlignment="1">
      <alignment horizontal="right"/>
    </xf>
    <xf numFmtId="10" fontId="7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0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168" fontId="16" fillId="0" borderId="0" xfId="0" applyNumberFormat="1" applyFont="1" applyAlignment="1">
      <alignment/>
    </xf>
    <xf numFmtId="168" fontId="16" fillId="0" borderId="0" xfId="0" applyNumberFormat="1" applyFont="1" applyFill="1" applyAlignment="1">
      <alignment/>
    </xf>
    <xf numFmtId="10" fontId="16" fillId="0" borderId="0" xfId="0" applyNumberFormat="1" applyFont="1" applyAlignment="1">
      <alignment/>
    </xf>
    <xf numFmtId="10" fontId="16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168" fontId="15" fillId="0" borderId="0" xfId="0" applyNumberFormat="1" applyFont="1" applyAlignment="1">
      <alignment/>
    </xf>
    <xf numFmtId="168" fontId="15" fillId="0" borderId="0" xfId="0" applyNumberFormat="1" applyFont="1" applyFill="1" applyAlignment="1">
      <alignment/>
    </xf>
    <xf numFmtId="10" fontId="15" fillId="0" borderId="0" xfId="0" applyNumberFormat="1" applyFont="1" applyAlignment="1">
      <alignment/>
    </xf>
    <xf numFmtId="10" fontId="15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69" fontId="16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horizontal="justify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vertical="center" wrapText="1"/>
    </xf>
    <xf numFmtId="10" fontId="13" fillId="0" borderId="14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4" fontId="12" fillId="0" borderId="0" xfId="0" applyNumberFormat="1" applyFont="1" applyFill="1" applyAlignment="1">
      <alignment horizontal="justify" vertical="top" wrapText="1"/>
    </xf>
    <xf numFmtId="4" fontId="12" fillId="34" borderId="1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4" fontId="21" fillId="0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4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2" TargetMode="External" /><Relationship Id="rId3" Type="http://schemas.openxmlformats.org/officeDocument/2006/relationships/hyperlink" Target="_edn3" TargetMode="External" /><Relationship Id="rId4" Type="http://schemas.openxmlformats.org/officeDocument/2006/relationships/hyperlink" Target="_edn4" TargetMode="External" /><Relationship Id="rId5" Type="http://schemas.openxmlformats.org/officeDocument/2006/relationships/hyperlink" Target="_edn5" TargetMode="External" /><Relationship Id="rId6" Type="http://schemas.openxmlformats.org/officeDocument/2006/relationships/hyperlink" Target="_edn6" TargetMode="External" /><Relationship Id="rId7" Type="http://schemas.openxmlformats.org/officeDocument/2006/relationships/hyperlink" Target="_edn7" TargetMode="External" /><Relationship Id="rId8" Type="http://schemas.openxmlformats.org/officeDocument/2006/relationships/hyperlink" Target="_edn8" TargetMode="External" /><Relationship Id="rId9" Type="http://schemas.openxmlformats.org/officeDocument/2006/relationships/hyperlink" Target="_edn9" TargetMode="External" /><Relationship Id="rId10" Type="http://schemas.openxmlformats.org/officeDocument/2006/relationships/hyperlink" Target="_edn10" TargetMode="External" /><Relationship Id="rId11" Type="http://schemas.openxmlformats.org/officeDocument/2006/relationships/hyperlink" Target="_edn11" TargetMode="External" /><Relationship Id="rId12" Type="http://schemas.openxmlformats.org/officeDocument/2006/relationships/hyperlink" Target="_edn12" TargetMode="External" /><Relationship Id="rId13" Type="http://schemas.openxmlformats.org/officeDocument/2006/relationships/hyperlink" Target="_edn13" TargetMode="External" /><Relationship Id="rId14" Type="http://schemas.openxmlformats.org/officeDocument/2006/relationships/hyperlink" Target="_edn14" TargetMode="External" /><Relationship Id="rId15" Type="http://schemas.openxmlformats.org/officeDocument/2006/relationships/hyperlink" Target="_edn15" TargetMode="External" /><Relationship Id="rId16" Type="http://schemas.openxmlformats.org/officeDocument/2006/relationships/hyperlink" Target="_edn16" TargetMode="External" /><Relationship Id="rId17" Type="http://schemas.openxmlformats.org/officeDocument/2006/relationships/hyperlink" Target="_edn17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0.8515625" style="37" customWidth="1"/>
    <col min="2" max="2" width="12.8515625" style="37" customWidth="1"/>
    <col min="3" max="3" width="12.28125" style="37" customWidth="1"/>
    <col min="4" max="4" width="11.7109375" style="37" customWidth="1"/>
    <col min="5" max="5" width="12.28125" style="38" customWidth="1"/>
    <col min="6" max="6" width="13.57421875" style="38" customWidth="1"/>
    <col min="7" max="8" width="13.421875" style="38" customWidth="1"/>
    <col min="9" max="9" width="13.140625" style="38" customWidth="1"/>
    <col min="10" max="10" width="12.57421875" style="38" customWidth="1"/>
    <col min="11" max="11" width="12.28125" style="38" customWidth="1"/>
    <col min="12" max="13" width="12.421875" style="38" customWidth="1"/>
    <col min="14" max="14" width="11.8515625" style="38" customWidth="1"/>
    <col min="15" max="15" width="12.57421875" style="38" customWidth="1"/>
    <col min="16" max="16" width="11.421875" style="38" customWidth="1"/>
    <col min="17" max="17" width="12.421875" style="38" customWidth="1"/>
    <col min="18" max="18" width="11.421875" style="38" customWidth="1"/>
    <col min="19" max="23" width="11.7109375" style="38" customWidth="1"/>
    <col min="24" max="24" width="13.7109375" style="37" customWidth="1"/>
    <col min="25" max="16384" width="9.140625" style="37" customWidth="1"/>
  </cols>
  <sheetData>
    <row r="1" spans="7:8" ht="19.5" customHeight="1">
      <c r="G1" s="93"/>
      <c r="H1" s="94"/>
    </row>
    <row r="2" spans="7:8" ht="13.5" customHeight="1">
      <c r="G2" s="39"/>
      <c r="H2" s="40"/>
    </row>
    <row r="3" spans="1:8" ht="15.75">
      <c r="A3" s="95" t="s">
        <v>88</v>
      </c>
      <c r="B3" s="95"/>
      <c r="C3" s="95"/>
      <c r="D3" s="95"/>
      <c r="E3" s="95"/>
      <c r="F3" s="95"/>
      <c r="G3" s="95"/>
      <c r="H3" s="95"/>
    </row>
    <row r="4" spans="1:8" ht="12">
      <c r="A4" s="41"/>
      <c r="B4" s="41"/>
      <c r="C4" s="41"/>
      <c r="D4" s="41"/>
      <c r="E4" s="42"/>
      <c r="F4" s="42"/>
      <c r="G4" s="74">
        <v>344869154</v>
      </c>
      <c r="H4" s="42"/>
    </row>
    <row r="6" spans="1:23" ht="12">
      <c r="A6" s="43" t="s">
        <v>72</v>
      </c>
      <c r="B6" s="44">
        <v>2007</v>
      </c>
      <c r="C6" s="44">
        <v>2008</v>
      </c>
      <c r="D6" s="44">
        <v>2009</v>
      </c>
      <c r="E6" s="45">
        <v>2010</v>
      </c>
      <c r="F6" s="45">
        <v>2011</v>
      </c>
      <c r="G6" s="45">
        <v>2012</v>
      </c>
      <c r="H6" s="45">
        <v>2013</v>
      </c>
      <c r="I6" s="46">
        <v>2014</v>
      </c>
      <c r="J6" s="47">
        <v>2015</v>
      </c>
      <c r="K6" s="46">
        <v>2016</v>
      </c>
      <c r="L6" s="47">
        <v>2017</v>
      </c>
      <c r="M6" s="46">
        <v>2018</v>
      </c>
      <c r="N6" s="47">
        <v>2019</v>
      </c>
      <c r="O6" s="46">
        <v>2020</v>
      </c>
      <c r="P6" s="47">
        <v>2021</v>
      </c>
      <c r="Q6" s="46">
        <v>2022</v>
      </c>
      <c r="R6" s="46">
        <v>2023</v>
      </c>
      <c r="S6" s="46">
        <v>2024</v>
      </c>
      <c r="T6" s="46">
        <v>2025</v>
      </c>
      <c r="U6" s="46">
        <v>2026</v>
      </c>
      <c r="V6" s="46">
        <v>2027</v>
      </c>
      <c r="W6" s="46">
        <v>2028</v>
      </c>
    </row>
    <row r="7" spans="1:24" ht="12">
      <c r="A7" s="48" t="s">
        <v>73</v>
      </c>
      <c r="B7" s="49">
        <v>353056812.76</v>
      </c>
      <c r="C7" s="50">
        <v>279976209.44</v>
      </c>
      <c r="D7" s="50">
        <v>305726059.7</v>
      </c>
      <c r="E7" s="51">
        <v>324512718.68</v>
      </c>
      <c r="F7" s="51">
        <v>325300070.79</v>
      </c>
      <c r="G7" s="51">
        <f>F7*102.5/100</f>
        <v>333432572.55975</v>
      </c>
      <c r="H7" s="51">
        <f>G7*102.5/100</f>
        <v>341768386.8737438</v>
      </c>
      <c r="I7" s="51">
        <f>H7*102.5/100</f>
        <v>350312596.54558736</v>
      </c>
      <c r="J7" s="51">
        <f aca="true" t="shared" si="0" ref="J7:T7">I7*101.5/100</f>
        <v>355567285.49377114</v>
      </c>
      <c r="K7" s="51">
        <f t="shared" si="0"/>
        <v>360900794.77617764</v>
      </c>
      <c r="L7" s="51">
        <f t="shared" si="0"/>
        <v>366314306.6978203</v>
      </c>
      <c r="M7" s="51">
        <f t="shared" si="0"/>
        <v>371809021.2982876</v>
      </c>
      <c r="N7" s="51">
        <f t="shared" si="0"/>
        <v>377386156.6177619</v>
      </c>
      <c r="O7" s="51">
        <f t="shared" si="0"/>
        <v>383046948.9670284</v>
      </c>
      <c r="P7" s="51">
        <f t="shared" si="0"/>
        <v>388792653.2015338</v>
      </c>
      <c r="Q7" s="51">
        <f t="shared" si="0"/>
        <v>394624542.9995568</v>
      </c>
      <c r="R7" s="51">
        <f t="shared" si="0"/>
        <v>400543911.1445501</v>
      </c>
      <c r="S7" s="51">
        <f t="shared" si="0"/>
        <v>406552069.81171834</v>
      </c>
      <c r="T7" s="51">
        <f t="shared" si="0"/>
        <v>412650350.8588941</v>
      </c>
      <c r="U7" s="51">
        <f>U9-U8</f>
        <v>433210500</v>
      </c>
      <c r="V7" s="51">
        <f>V9-V8</f>
        <v>439708650</v>
      </c>
      <c r="W7" s="51">
        <f>W9-W8</f>
        <v>446310000</v>
      </c>
      <c r="X7" s="52">
        <f>507312000</f>
        <v>507312000</v>
      </c>
    </row>
    <row r="8" spans="1:23" ht="12">
      <c r="A8" s="48" t="s">
        <v>74</v>
      </c>
      <c r="B8" s="49">
        <v>2892106.53</v>
      </c>
      <c r="C8" s="51">
        <v>4105656.73</v>
      </c>
      <c r="D8" s="51">
        <v>2836916.21</v>
      </c>
      <c r="E8" s="51">
        <v>2531508</v>
      </c>
      <c r="F8" s="51">
        <v>2500000</v>
      </c>
      <c r="G8" s="51">
        <f>1000000+1400000+1000000</f>
        <v>3400000</v>
      </c>
      <c r="H8" s="51">
        <f>1000000+1650000+800000</f>
        <v>3450000</v>
      </c>
      <c r="I8" s="52">
        <f>1000000+1150000</f>
        <v>2150000</v>
      </c>
      <c r="J8" s="52">
        <v>1000000</v>
      </c>
      <c r="K8" s="52">
        <v>1000000</v>
      </c>
      <c r="L8" s="52">
        <v>1000000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</row>
    <row r="9" spans="1:24" ht="12">
      <c r="A9" s="48" t="s">
        <v>75</v>
      </c>
      <c r="B9" s="49">
        <v>357991675.86</v>
      </c>
      <c r="C9" s="51">
        <v>291814348.02</v>
      </c>
      <c r="D9" s="51">
        <v>314635392.67</v>
      </c>
      <c r="E9" s="51">
        <v>346661469.13</v>
      </c>
      <c r="F9" s="51">
        <v>327846570.79</v>
      </c>
      <c r="G9" s="51">
        <f aca="true" t="shared" si="1" ref="G9:T9">G7+G8</f>
        <v>336832572.55975</v>
      </c>
      <c r="H9" s="51">
        <f t="shared" si="1"/>
        <v>345218386.8737438</v>
      </c>
      <c r="I9" s="51">
        <f t="shared" si="1"/>
        <v>352462596.54558736</v>
      </c>
      <c r="J9" s="51">
        <f t="shared" si="1"/>
        <v>356567285.49377114</v>
      </c>
      <c r="K9" s="51">
        <f t="shared" si="1"/>
        <v>361900794.77617764</v>
      </c>
      <c r="L9" s="51">
        <f t="shared" si="1"/>
        <v>367314306.6978203</v>
      </c>
      <c r="M9" s="51">
        <f t="shared" si="1"/>
        <v>371809021.2982876</v>
      </c>
      <c r="N9" s="51">
        <f t="shared" si="1"/>
        <v>377386156.6177619</v>
      </c>
      <c r="O9" s="51">
        <f t="shared" si="1"/>
        <v>383046948.9670284</v>
      </c>
      <c r="P9" s="51">
        <f t="shared" si="1"/>
        <v>388792653.2015338</v>
      </c>
      <c r="Q9" s="51">
        <f t="shared" si="1"/>
        <v>394624542.9995568</v>
      </c>
      <c r="R9" s="51">
        <f t="shared" si="1"/>
        <v>400543911.1445501</v>
      </c>
      <c r="S9" s="51">
        <f t="shared" si="1"/>
        <v>406552069.81171834</v>
      </c>
      <c r="T9" s="51">
        <f t="shared" si="1"/>
        <v>412650350.8588941</v>
      </c>
      <c r="U9" s="51">
        <v>433210500</v>
      </c>
      <c r="V9" s="51">
        <v>439708650</v>
      </c>
      <c r="W9" s="51">
        <v>446310000</v>
      </c>
      <c r="X9" s="51">
        <v>507312000</v>
      </c>
    </row>
    <row r="10" spans="1:24" ht="12">
      <c r="A10" s="48" t="s">
        <v>76</v>
      </c>
      <c r="B10" s="49">
        <v>227350843.32</v>
      </c>
      <c r="C10" s="51">
        <f>247094062.11</f>
        <v>247094062.11</v>
      </c>
      <c r="D10" s="51">
        <f>274781390.29</f>
        <v>274781390.29</v>
      </c>
      <c r="E10" s="51">
        <v>311661682.25</v>
      </c>
      <c r="F10" s="51">
        <f>314118166.95+F11-3000000</f>
        <v>315918166.95</v>
      </c>
      <c r="G10" s="51">
        <f>321206749.16-3000000</f>
        <v>318206749.16</v>
      </c>
      <c r="H10" s="51">
        <v>323914017.16</v>
      </c>
      <c r="I10" s="52">
        <v>330176960.16</v>
      </c>
      <c r="J10" s="52">
        <v>330459546.28</v>
      </c>
      <c r="K10" s="52">
        <v>330494393</v>
      </c>
      <c r="L10" s="52">
        <v>333021217</v>
      </c>
      <c r="M10" s="52">
        <v>333582290</v>
      </c>
      <c r="N10" s="52">
        <f>336055340-2000000</f>
        <v>334055340</v>
      </c>
      <c r="O10" s="52">
        <f>337639170</f>
        <v>337639170</v>
      </c>
      <c r="P10" s="52">
        <v>337773347</v>
      </c>
      <c r="Q10" s="52">
        <v>338738930</v>
      </c>
      <c r="R10" s="52">
        <v>339670153</v>
      </c>
      <c r="S10" s="52">
        <v>339550000</v>
      </c>
      <c r="T10" s="52">
        <v>343040000</v>
      </c>
      <c r="U10" s="52">
        <v>343017500</v>
      </c>
      <c r="V10" s="52">
        <v>342389100</v>
      </c>
      <c r="W10" s="52">
        <v>342312000</v>
      </c>
      <c r="X10" s="52">
        <f>342312000+50000000</f>
        <v>392312000</v>
      </c>
    </row>
    <row r="11" spans="1:24" ht="12">
      <c r="A11" s="48" t="s">
        <v>77</v>
      </c>
      <c r="B11" s="49">
        <v>2204829.18</v>
      </c>
      <c r="C11" s="51">
        <v>3410877.07</v>
      </c>
      <c r="D11" s="51">
        <v>2570274.26</v>
      </c>
      <c r="E11" s="51">
        <v>3153000</v>
      </c>
      <c r="F11" s="51">
        <v>4800000</v>
      </c>
      <c r="G11" s="51">
        <v>5800000</v>
      </c>
      <c r="H11" s="51">
        <v>6500000</v>
      </c>
      <c r="I11" s="52">
        <v>5900000</v>
      </c>
      <c r="J11" s="52">
        <v>5500000</v>
      </c>
      <c r="K11" s="52">
        <v>4700000</v>
      </c>
      <c r="L11" s="52">
        <v>4300000</v>
      </c>
      <c r="M11" s="52">
        <v>3800000</v>
      </c>
      <c r="N11" s="52">
        <v>3500000</v>
      </c>
      <c r="O11" s="52">
        <v>3050000</v>
      </c>
      <c r="P11" s="52">
        <v>2620000</v>
      </c>
      <c r="Q11" s="52">
        <v>2250000</v>
      </c>
      <c r="R11" s="52">
        <v>1850000</v>
      </c>
      <c r="S11" s="52">
        <v>1400000</v>
      </c>
      <c r="T11" s="52">
        <v>1080000</v>
      </c>
      <c r="U11" s="52">
        <v>850000</v>
      </c>
      <c r="V11" s="52">
        <v>430000</v>
      </c>
      <c r="W11" s="52">
        <v>310000</v>
      </c>
      <c r="X11" s="37">
        <v>0</v>
      </c>
    </row>
    <row r="12" spans="1:24" ht="12">
      <c r="A12" s="48" t="s">
        <v>78</v>
      </c>
      <c r="B12" s="49">
        <v>202611909.88</v>
      </c>
      <c r="C12" s="51">
        <f>7709540.51+9395724.55</f>
        <v>17105265.060000002</v>
      </c>
      <c r="D12" s="51">
        <v>12989748.92</v>
      </c>
      <c r="E12" s="51">
        <v>15855299.24</v>
      </c>
      <c r="F12" s="51">
        <v>20263684.84</v>
      </c>
      <c r="G12" s="51">
        <v>21162404.84</v>
      </c>
      <c r="H12" s="51">
        <v>23585724.84</v>
      </c>
      <c r="I12" s="52">
        <v>16076524.84</v>
      </c>
      <c r="J12" s="52">
        <v>19616525.72</v>
      </c>
      <c r="K12" s="52">
        <v>9778580</v>
      </c>
      <c r="L12" s="52">
        <v>10278580</v>
      </c>
      <c r="M12" s="52">
        <v>8550000</v>
      </c>
      <c r="N12" s="52">
        <v>8550000</v>
      </c>
      <c r="O12" s="52">
        <v>9050000</v>
      </c>
      <c r="P12" s="52">
        <v>9050000</v>
      </c>
      <c r="Q12" s="52">
        <v>9050000</v>
      </c>
      <c r="R12" s="52">
        <v>9850000</v>
      </c>
      <c r="S12" s="52">
        <v>7050000</v>
      </c>
      <c r="T12" s="52">
        <v>5550000</v>
      </c>
      <c r="U12" s="52">
        <v>5550000</v>
      </c>
      <c r="V12" s="52">
        <v>3050000</v>
      </c>
      <c r="W12" s="52">
        <v>4700000</v>
      </c>
      <c r="X12" s="37">
        <v>0</v>
      </c>
    </row>
    <row r="13" spans="1:24" ht="12">
      <c r="A13" s="48" t="s">
        <v>79</v>
      </c>
      <c r="B13" s="49">
        <v>62644492.79</v>
      </c>
      <c r="C13" s="51">
        <v>69290393.24</v>
      </c>
      <c r="D13" s="51">
        <v>67291324.32</v>
      </c>
      <c r="E13" s="51">
        <v>89162025.08</v>
      </c>
      <c r="F13" s="51">
        <f>89162025.08-20263684.84+44000000</f>
        <v>112898340.24</v>
      </c>
      <c r="G13" s="51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>
        <v>0</v>
      </c>
      <c r="X13" s="37">
        <v>0</v>
      </c>
    </row>
    <row r="14" spans="1:23" ht="12" hidden="1">
      <c r="A14" s="48"/>
      <c r="B14" s="49"/>
      <c r="C14" s="44">
        <v>2008</v>
      </c>
      <c r="D14" s="44">
        <v>2009</v>
      </c>
      <c r="E14" s="45">
        <v>2010</v>
      </c>
      <c r="F14" s="45">
        <v>2011</v>
      </c>
      <c r="G14" s="45">
        <v>2012</v>
      </c>
      <c r="H14" s="45">
        <v>2013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4" ht="12">
      <c r="A15" s="48" t="s">
        <v>80</v>
      </c>
      <c r="B15" s="54">
        <f aca="true" t="shared" si="2" ref="B15:S15">+B13/B9</f>
        <v>0.17498868553161112</v>
      </c>
      <c r="C15" s="54">
        <f t="shared" si="2"/>
        <v>0.23744683464039631</v>
      </c>
      <c r="D15" s="54">
        <f t="shared" si="2"/>
        <v>0.2138708037546728</v>
      </c>
      <c r="E15" s="54">
        <f t="shared" si="2"/>
        <v>0.25720200547169475</v>
      </c>
      <c r="F15" s="54">
        <f t="shared" si="2"/>
        <v>0.3443633403514118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54">
        <f t="shared" si="2"/>
        <v>0</v>
      </c>
      <c r="Q15" s="54">
        <f t="shared" si="2"/>
        <v>0</v>
      </c>
      <c r="R15" s="54">
        <f t="shared" si="2"/>
        <v>0</v>
      </c>
      <c r="S15" s="55">
        <f t="shared" si="2"/>
        <v>0</v>
      </c>
      <c r="T15" s="55">
        <f>+T13/T9</f>
        <v>0</v>
      </c>
      <c r="U15" s="55">
        <f>+U13/U9</f>
        <v>0</v>
      </c>
      <c r="V15" s="55">
        <f>+V13/V9</f>
        <v>0</v>
      </c>
      <c r="W15" s="55">
        <f>+W13/W9</f>
        <v>0</v>
      </c>
      <c r="X15" s="55">
        <f>+X13/X9</f>
        <v>0</v>
      </c>
    </row>
    <row r="16" spans="1:24" ht="12">
      <c r="A16" s="48" t="s">
        <v>81</v>
      </c>
      <c r="B16" s="54">
        <f aca="true" t="shared" si="3" ref="B16:S16">(B12+B11)/B9</f>
        <v>0.5721270992348375</v>
      </c>
      <c r="C16" s="54">
        <f t="shared" si="3"/>
        <v>0.07030546054093918</v>
      </c>
      <c r="D16" s="54">
        <f t="shared" si="3"/>
        <v>0.049454141341053345</v>
      </c>
      <c r="E16" s="54">
        <f t="shared" si="3"/>
        <v>0.05483245452026796</v>
      </c>
      <c r="F16" s="54">
        <f t="shared" si="3"/>
        <v>0.0764494341960172</v>
      </c>
      <c r="G16" s="54">
        <f t="shared" si="3"/>
        <v>0.08004690471322276</v>
      </c>
      <c r="H16" s="54">
        <f t="shared" si="3"/>
        <v>0.08714983321848152</v>
      </c>
      <c r="I16" s="54">
        <f t="shared" si="3"/>
        <v>0.06235136736603359</v>
      </c>
      <c r="J16" s="54">
        <f t="shared" si="3"/>
        <v>0.07043979282961661</v>
      </c>
      <c r="K16" s="54">
        <f t="shared" si="3"/>
        <v>0.04000704118086967</v>
      </c>
      <c r="L16" s="54">
        <f t="shared" si="3"/>
        <v>0.03968966014708872</v>
      </c>
      <c r="M16" s="54">
        <f t="shared" si="3"/>
        <v>0.03321597726939521</v>
      </c>
      <c r="N16" s="54">
        <f t="shared" si="3"/>
        <v>0.03193015903920642</v>
      </c>
      <c r="O16" s="54">
        <f t="shared" si="3"/>
        <v>0.03158881706963168</v>
      </c>
      <c r="P16" s="54">
        <f t="shared" si="3"/>
        <v>0.03001599928368698</v>
      </c>
      <c r="Q16" s="54">
        <f t="shared" si="3"/>
        <v>0.028634813015197314</v>
      </c>
      <c r="R16" s="54">
        <f t="shared" si="3"/>
        <v>0.02921028050724169</v>
      </c>
      <c r="S16" s="55">
        <f t="shared" si="3"/>
        <v>0.020784545516920744</v>
      </c>
      <c r="T16" s="55">
        <f>(T12+T11)/T9</f>
        <v>0.01606687110819186</v>
      </c>
      <c r="U16" s="55">
        <f>(U12+U11)/U9</f>
        <v>0.014773418465157239</v>
      </c>
      <c r="V16" s="55">
        <f>(V12+V11)/V9</f>
        <v>0.007914331455612711</v>
      </c>
      <c r="W16" s="55">
        <f>(W12+W11)/W9</f>
        <v>0.011225381461316125</v>
      </c>
      <c r="X16" s="55">
        <f>(X12+X11)/X9</f>
        <v>0</v>
      </c>
    </row>
    <row r="17" spans="1:23" s="59" customFormat="1" ht="12">
      <c r="A17" s="56"/>
      <c r="B17" s="56"/>
      <c r="C17" s="57">
        <v>0.15</v>
      </c>
      <c r="D17" s="57">
        <v>0.15</v>
      </c>
      <c r="E17" s="57">
        <v>0.15</v>
      </c>
      <c r="F17" s="57">
        <v>0.15</v>
      </c>
      <c r="G17" s="57">
        <v>0.15</v>
      </c>
      <c r="H17" s="57">
        <v>0.15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s="59" customFormat="1" ht="12">
      <c r="A18" s="56"/>
      <c r="B18" s="56"/>
      <c r="C18" s="57"/>
      <c r="D18" s="57"/>
      <c r="E18" s="57">
        <v>0.4176343881717706</v>
      </c>
      <c r="F18" s="57">
        <v>0.359118696394821</v>
      </c>
      <c r="G18" s="57">
        <v>0.28223931010760267</v>
      </c>
      <c r="H18" s="57">
        <v>0.25194397417038006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20" spans="1:24" ht="12">
      <c r="A20" s="60" t="s">
        <v>82</v>
      </c>
      <c r="B20" s="61">
        <f aca="true" t="shared" si="4" ref="B20:S20">+B7+B8-B10</f>
        <v>128598075.96999997</v>
      </c>
      <c r="C20" s="61">
        <f t="shared" si="4"/>
        <v>36987804.06</v>
      </c>
      <c r="D20" s="61">
        <f t="shared" si="4"/>
        <v>33781585.619999945</v>
      </c>
      <c r="E20" s="62">
        <f t="shared" si="4"/>
        <v>15382544.430000007</v>
      </c>
      <c r="F20" s="62">
        <f t="shared" si="4"/>
        <v>11881903.840000033</v>
      </c>
      <c r="G20" s="62">
        <f t="shared" si="4"/>
        <v>18625823.399749994</v>
      </c>
      <c r="H20" s="62">
        <f t="shared" si="4"/>
        <v>21304369.713743746</v>
      </c>
      <c r="I20" s="62">
        <f t="shared" si="4"/>
        <v>22285636.385587335</v>
      </c>
      <c r="J20" s="62">
        <f t="shared" si="4"/>
        <v>26107739.213771164</v>
      </c>
      <c r="K20" s="62">
        <f t="shared" si="4"/>
        <v>31406401.776177645</v>
      </c>
      <c r="L20" s="62">
        <f t="shared" si="4"/>
        <v>34293089.697820306</v>
      </c>
      <c r="M20" s="62">
        <f t="shared" si="4"/>
        <v>38226731.29828757</v>
      </c>
      <c r="N20" s="62">
        <f t="shared" si="4"/>
        <v>43330816.61776191</v>
      </c>
      <c r="O20" s="62">
        <f t="shared" si="4"/>
        <v>45407778.96702838</v>
      </c>
      <c r="P20" s="62">
        <f t="shared" si="4"/>
        <v>51019306.201533794</v>
      </c>
      <c r="Q20" s="62">
        <f t="shared" si="4"/>
        <v>55885612.99955678</v>
      </c>
      <c r="R20" s="62">
        <f t="shared" si="4"/>
        <v>60873758.144550085</v>
      </c>
      <c r="S20" s="62">
        <f t="shared" si="4"/>
        <v>67002069.811718345</v>
      </c>
      <c r="T20" s="62">
        <f>+T7+T8-T10</f>
        <v>69610350.85889411</v>
      </c>
      <c r="U20" s="62">
        <f>+U7+U8-U10</f>
        <v>90193000</v>
      </c>
      <c r="V20" s="62">
        <f>+V7+V8-V10</f>
        <v>97319550</v>
      </c>
      <c r="W20" s="62">
        <f>+W7+W8-W10</f>
        <v>103998000</v>
      </c>
      <c r="X20" s="62">
        <f>+X7+X8-X10</f>
        <v>115000000</v>
      </c>
    </row>
    <row r="21" spans="1:24" ht="12">
      <c r="A21" s="60" t="s">
        <v>83</v>
      </c>
      <c r="B21" s="63">
        <f>+B20/B9</f>
        <v>0.3592208552365639</v>
      </c>
      <c r="C21" s="63">
        <f aca="true" t="shared" si="5" ref="C21:X21">+C20/C9</f>
        <v>0.12675114952697591</v>
      </c>
      <c r="D21" s="63">
        <f t="shared" si="5"/>
        <v>0.10736740496143479</v>
      </c>
      <c r="E21" s="64">
        <f t="shared" si="5"/>
        <v>0.04437338960284469</v>
      </c>
      <c r="F21" s="64">
        <f t="shared" si="5"/>
        <v>0.03624226970368682</v>
      </c>
      <c r="G21" s="64">
        <f t="shared" si="5"/>
        <v>0.05529697813428064</v>
      </c>
      <c r="H21" s="64">
        <f t="shared" si="5"/>
        <v>0.061712731777335376</v>
      </c>
      <c r="I21" s="64">
        <f t="shared" si="5"/>
        <v>0.06322837261032582</v>
      </c>
      <c r="J21" s="64">
        <f t="shared" si="5"/>
        <v>0.07321967066501181</v>
      </c>
      <c r="K21" s="64">
        <f t="shared" si="5"/>
        <v>0.08678179829807048</v>
      </c>
      <c r="L21" s="64">
        <f t="shared" si="5"/>
        <v>0.09336170432923627</v>
      </c>
      <c r="M21" s="64">
        <f t="shared" si="5"/>
        <v>0.10281281278438854</v>
      </c>
      <c r="N21" s="64">
        <f t="shared" si="5"/>
        <v>0.11481824613309762</v>
      </c>
      <c r="O21" s="64">
        <f t="shared" si="5"/>
        <v>0.11854363829154779</v>
      </c>
      <c r="P21" s="64">
        <f t="shared" si="5"/>
        <v>0.13122497501280594</v>
      </c>
      <c r="Q21" s="64">
        <f t="shared" si="5"/>
        <v>0.14161717508690164</v>
      </c>
      <c r="R21" s="64">
        <f t="shared" si="5"/>
        <v>0.1519777393959228</v>
      </c>
      <c r="S21" s="64">
        <f t="shared" si="5"/>
        <v>0.16480562955379424</v>
      </c>
      <c r="T21" s="64">
        <f t="shared" si="5"/>
        <v>0.16869088009741542</v>
      </c>
      <c r="U21" s="64">
        <f t="shared" si="5"/>
        <v>0.20819670806686358</v>
      </c>
      <c r="V21" s="64">
        <f t="shared" si="5"/>
        <v>0.22132734937099827</v>
      </c>
      <c r="W21" s="64">
        <f t="shared" si="5"/>
        <v>0.233017409423943</v>
      </c>
      <c r="X21" s="64">
        <f t="shared" si="5"/>
        <v>0.22668495915728387</v>
      </c>
    </row>
    <row r="22" spans="1:24" ht="12">
      <c r="A22" s="60" t="s">
        <v>84</v>
      </c>
      <c r="B22" s="60"/>
      <c r="C22" s="65">
        <f aca="true" t="shared" si="6" ref="C22:X22">+C21</f>
        <v>0.12675114952697591</v>
      </c>
      <c r="D22" s="65">
        <f t="shared" si="6"/>
        <v>0.10736740496143479</v>
      </c>
      <c r="E22" s="66">
        <f t="shared" si="6"/>
        <v>0.04437338960284469</v>
      </c>
      <c r="F22" s="66">
        <f t="shared" si="6"/>
        <v>0.03624226970368682</v>
      </c>
      <c r="G22" s="66">
        <f t="shared" si="6"/>
        <v>0.05529697813428064</v>
      </c>
      <c r="H22" s="66">
        <f t="shared" si="6"/>
        <v>0.061712731777335376</v>
      </c>
      <c r="I22" s="66">
        <f t="shared" si="6"/>
        <v>0.06322837261032582</v>
      </c>
      <c r="J22" s="66">
        <f t="shared" si="6"/>
        <v>0.07321967066501181</v>
      </c>
      <c r="K22" s="66">
        <f t="shared" si="6"/>
        <v>0.08678179829807048</v>
      </c>
      <c r="L22" s="66">
        <f t="shared" si="6"/>
        <v>0.09336170432923627</v>
      </c>
      <c r="M22" s="66">
        <f t="shared" si="6"/>
        <v>0.10281281278438854</v>
      </c>
      <c r="N22" s="66">
        <f t="shared" si="6"/>
        <v>0.11481824613309762</v>
      </c>
      <c r="O22" s="66">
        <f t="shared" si="6"/>
        <v>0.11854363829154779</v>
      </c>
      <c r="P22" s="66">
        <f t="shared" si="6"/>
        <v>0.13122497501280594</v>
      </c>
      <c r="Q22" s="66">
        <f t="shared" si="6"/>
        <v>0.14161717508690164</v>
      </c>
      <c r="R22" s="66">
        <f t="shared" si="6"/>
        <v>0.1519777393959228</v>
      </c>
      <c r="S22" s="66">
        <f t="shared" si="6"/>
        <v>0.16480562955379424</v>
      </c>
      <c r="T22" s="66">
        <f t="shared" si="6"/>
        <v>0.16869088009741542</v>
      </c>
      <c r="U22" s="66">
        <f t="shared" si="6"/>
        <v>0.20819670806686358</v>
      </c>
      <c r="V22" s="66">
        <f t="shared" si="6"/>
        <v>0.22132734937099827</v>
      </c>
      <c r="W22" s="66">
        <f t="shared" si="6"/>
        <v>0.233017409423943</v>
      </c>
      <c r="X22" s="66">
        <f t="shared" si="6"/>
        <v>0.22668495915728387</v>
      </c>
    </row>
    <row r="23" spans="1:8" ht="12">
      <c r="A23" s="60"/>
      <c r="B23" s="60"/>
      <c r="C23" s="63"/>
      <c r="D23" s="63"/>
      <c r="E23" s="64"/>
      <c r="F23" s="64"/>
      <c r="G23" s="64"/>
      <c r="H23" s="64"/>
    </row>
    <row r="24" spans="1:24" ht="12">
      <c r="A24" s="67" t="s">
        <v>85</v>
      </c>
      <c r="B24" s="68"/>
      <c r="C24" s="68"/>
      <c r="D24" s="68"/>
      <c r="E24" s="69">
        <f>(+B22+C22+D22)/3</f>
        <v>0.07803951816280356</v>
      </c>
      <c r="F24" s="69">
        <f aca="true" t="shared" si="7" ref="F24:X24">(+C22+D22+E22)/3</f>
        <v>0.09283064803041846</v>
      </c>
      <c r="G24" s="69">
        <f t="shared" si="7"/>
        <v>0.06266102142265544</v>
      </c>
      <c r="H24" s="69">
        <f t="shared" si="7"/>
        <v>0.045304212480270716</v>
      </c>
      <c r="I24" s="69">
        <f t="shared" si="7"/>
        <v>0.05108399320510095</v>
      </c>
      <c r="J24" s="69">
        <f t="shared" si="7"/>
        <v>0.06007936084064728</v>
      </c>
      <c r="K24" s="69">
        <f t="shared" si="7"/>
        <v>0.06605359168422434</v>
      </c>
      <c r="L24" s="69">
        <f t="shared" si="7"/>
        <v>0.07440994719113604</v>
      </c>
      <c r="M24" s="69">
        <f t="shared" si="7"/>
        <v>0.08445439109743952</v>
      </c>
      <c r="N24" s="69">
        <f t="shared" si="7"/>
        <v>0.09431877180389843</v>
      </c>
      <c r="O24" s="69">
        <f t="shared" si="7"/>
        <v>0.10366425441557414</v>
      </c>
      <c r="P24" s="69">
        <f t="shared" si="7"/>
        <v>0.11205823240301131</v>
      </c>
      <c r="Q24" s="69">
        <f t="shared" si="7"/>
        <v>0.12152895314581712</v>
      </c>
      <c r="R24" s="69">
        <f t="shared" si="7"/>
        <v>0.1304619294637518</v>
      </c>
      <c r="S24" s="69">
        <f t="shared" si="7"/>
        <v>0.1416066298318768</v>
      </c>
      <c r="T24" s="69">
        <f t="shared" si="7"/>
        <v>0.15280018134553955</v>
      </c>
      <c r="U24" s="69">
        <f t="shared" si="7"/>
        <v>0.16182474968237748</v>
      </c>
      <c r="V24" s="69">
        <f t="shared" si="7"/>
        <v>0.18056440590602443</v>
      </c>
      <c r="W24" s="69">
        <f t="shared" si="7"/>
        <v>0.19940497917842578</v>
      </c>
      <c r="X24" s="69">
        <f t="shared" si="7"/>
        <v>0.22084715562060162</v>
      </c>
    </row>
    <row r="25" spans="1:24" ht="12">
      <c r="A25" s="67" t="s">
        <v>84</v>
      </c>
      <c r="B25" s="70"/>
      <c r="C25" s="70"/>
      <c r="D25" s="70"/>
      <c r="E25" s="71">
        <f>+E24</f>
        <v>0.07803951816280356</v>
      </c>
      <c r="F25" s="71">
        <f aca="true" t="shared" si="8" ref="F25:X25">+F24</f>
        <v>0.09283064803041846</v>
      </c>
      <c r="G25" s="71">
        <f t="shared" si="8"/>
        <v>0.06266102142265544</v>
      </c>
      <c r="H25" s="71">
        <f t="shared" si="8"/>
        <v>0.045304212480270716</v>
      </c>
      <c r="I25" s="71">
        <f t="shared" si="8"/>
        <v>0.05108399320510095</v>
      </c>
      <c r="J25" s="71">
        <f t="shared" si="8"/>
        <v>0.06007936084064728</v>
      </c>
      <c r="K25" s="71">
        <f t="shared" si="8"/>
        <v>0.06605359168422434</v>
      </c>
      <c r="L25" s="71">
        <f t="shared" si="8"/>
        <v>0.07440994719113604</v>
      </c>
      <c r="M25" s="71">
        <f t="shared" si="8"/>
        <v>0.08445439109743952</v>
      </c>
      <c r="N25" s="71">
        <f t="shared" si="8"/>
        <v>0.09431877180389843</v>
      </c>
      <c r="O25" s="71">
        <f t="shared" si="8"/>
        <v>0.10366425441557414</v>
      </c>
      <c r="P25" s="71">
        <f t="shared" si="8"/>
        <v>0.11205823240301131</v>
      </c>
      <c r="Q25" s="71">
        <f t="shared" si="8"/>
        <v>0.12152895314581712</v>
      </c>
      <c r="R25" s="71">
        <f t="shared" si="8"/>
        <v>0.1304619294637518</v>
      </c>
      <c r="S25" s="71">
        <f t="shared" si="8"/>
        <v>0.1416066298318768</v>
      </c>
      <c r="T25" s="71">
        <f t="shared" si="8"/>
        <v>0.15280018134553955</v>
      </c>
      <c r="U25" s="71">
        <f t="shared" si="8"/>
        <v>0.16182474968237748</v>
      </c>
      <c r="V25" s="71">
        <f t="shared" si="8"/>
        <v>0.18056440590602443</v>
      </c>
      <c r="W25" s="71">
        <f t="shared" si="8"/>
        <v>0.19940497917842578</v>
      </c>
      <c r="X25" s="71">
        <f t="shared" si="8"/>
        <v>0.22084715562060162</v>
      </c>
    </row>
    <row r="27" spans="1:24" ht="12">
      <c r="A27" s="38" t="s">
        <v>86</v>
      </c>
      <c r="B27" s="61"/>
      <c r="C27" s="61"/>
      <c r="D27" s="61"/>
      <c r="E27" s="62">
        <f>+E24*E9</f>
        <v>27053294.0165148</v>
      </c>
      <c r="F27" s="62">
        <f>+F24*F9</f>
        <v>30434209.620986164</v>
      </c>
      <c r="G27" s="62">
        <f>+G24*G9</f>
        <v>21106273.04501464</v>
      </c>
      <c r="H27" s="62">
        <f>+H24*H9</f>
        <v>15639847.151024386</v>
      </c>
      <c r="I27" s="62">
        <f aca="true" t="shared" si="9" ref="I27:X27">+I24*I9</f>
        <v>18005196.886987023</v>
      </c>
      <c r="J27" s="62">
        <f t="shared" si="9"/>
        <v>21422334.609150372</v>
      </c>
      <c r="K27" s="62">
        <f t="shared" si="9"/>
        <v>23904847.328341905</v>
      </c>
      <c r="L27" s="62">
        <f t="shared" si="9"/>
        <v>27331838.163933557</v>
      </c>
      <c r="M27" s="62">
        <f t="shared" si="9"/>
        <v>31400904.4982818</v>
      </c>
      <c r="N27" s="62">
        <f t="shared" si="9"/>
        <v>35594598.78798096</v>
      </c>
      <c r="O27" s="62">
        <f t="shared" si="9"/>
        <v>39708276.37082747</v>
      </c>
      <c r="P27" s="62">
        <f t="shared" si="9"/>
        <v>43567417.48904085</v>
      </c>
      <c r="Q27" s="62">
        <f t="shared" si="9"/>
        <v>47958307.596382625</v>
      </c>
      <c r="R27" s="62">
        <f t="shared" si="9"/>
        <v>52255731.482875556</v>
      </c>
      <c r="S27" s="62">
        <f t="shared" si="9"/>
        <v>57570468.45721134</v>
      </c>
      <c r="T27" s="62">
        <f t="shared" si="9"/>
        <v>63053048.443539545</v>
      </c>
      <c r="U27" s="62">
        <f t="shared" si="9"/>
        <v>70104180.72227758</v>
      </c>
      <c r="V27" s="62">
        <f t="shared" si="9"/>
        <v>79395731.15899003</v>
      </c>
      <c r="W27" s="62">
        <f t="shared" si="9"/>
        <v>88996436.25712322</v>
      </c>
      <c r="X27" s="62">
        <f t="shared" si="9"/>
        <v>112038412.21219864</v>
      </c>
    </row>
    <row r="28" spans="1:24" ht="12">
      <c r="A28" s="38" t="s">
        <v>87</v>
      </c>
      <c r="B28" s="61"/>
      <c r="C28" s="61"/>
      <c r="D28" s="61"/>
      <c r="E28" s="62">
        <f>0.15*E9</f>
        <v>51999220.3695</v>
      </c>
      <c r="F28" s="62">
        <f>0.15*F9</f>
        <v>49176985.6185</v>
      </c>
      <c r="G28" s="62">
        <f>0.15*G9</f>
        <v>50524885.883962505</v>
      </c>
      <c r="H28" s="62">
        <f>0.15*H9</f>
        <v>51782758.03106157</v>
      </c>
      <c r="I28" s="62">
        <f aca="true" t="shared" si="10" ref="I28:S28">0.15*I9</f>
        <v>52869389.4818381</v>
      </c>
      <c r="J28" s="62">
        <f t="shared" si="10"/>
        <v>53485092.82406567</v>
      </c>
      <c r="K28" s="62">
        <f t="shared" si="10"/>
        <v>54285119.21642665</v>
      </c>
      <c r="L28" s="62">
        <f t="shared" si="10"/>
        <v>55097146.00467304</v>
      </c>
      <c r="M28" s="62">
        <f t="shared" si="10"/>
        <v>55771353.194743134</v>
      </c>
      <c r="N28" s="62">
        <f t="shared" si="10"/>
        <v>56607923.492664285</v>
      </c>
      <c r="O28" s="62">
        <f t="shared" si="10"/>
        <v>57457042.345054254</v>
      </c>
      <c r="P28" s="62">
        <f t="shared" si="10"/>
        <v>58318897.98023007</v>
      </c>
      <c r="Q28" s="62">
        <f t="shared" si="10"/>
        <v>59193681.449933514</v>
      </c>
      <c r="R28" s="62">
        <f t="shared" si="10"/>
        <v>60081586.671682514</v>
      </c>
      <c r="S28" s="62">
        <f t="shared" si="10"/>
        <v>60982810.47175775</v>
      </c>
      <c r="T28" s="62">
        <f>0.15*T9</f>
        <v>61897552.62883411</v>
      </c>
      <c r="U28" s="62">
        <f>0.15*U9</f>
        <v>64981575</v>
      </c>
      <c r="V28" s="62">
        <f>0.15*V9</f>
        <v>65956297.5</v>
      </c>
      <c r="W28" s="62">
        <f>0.15*W9</f>
        <v>66946500</v>
      </c>
      <c r="X28" s="62">
        <f>0.15*X9</f>
        <v>76096800</v>
      </c>
    </row>
    <row r="29" spans="1:2" ht="12">
      <c r="A29" s="38"/>
      <c r="B29" s="38"/>
    </row>
    <row r="30" spans="2:23" ht="12">
      <c r="B30" s="65"/>
      <c r="C30" s="65"/>
      <c r="D30" s="65"/>
      <c r="E30" s="66"/>
      <c r="F30" s="66"/>
      <c r="G30" s="66"/>
      <c r="H30" s="66"/>
      <c r="I30" s="66"/>
      <c r="J30" s="65"/>
      <c r="K30" s="65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6:23" ht="12">
      <c r="F31" s="66">
        <f>F25-F16</f>
        <v>0.016381213834401262</v>
      </c>
      <c r="G31" s="66">
        <f aca="true" t="shared" si="11" ref="G31:W31">G25-G16</f>
        <v>-0.017385883290567325</v>
      </c>
      <c r="H31" s="66">
        <f t="shared" si="11"/>
        <v>-0.041845620738210805</v>
      </c>
      <c r="I31" s="66">
        <f t="shared" si="11"/>
        <v>-0.011267374160932639</v>
      </c>
      <c r="J31" s="66">
        <f t="shared" si="11"/>
        <v>-0.010360431988969333</v>
      </c>
      <c r="K31" s="66">
        <f t="shared" si="11"/>
        <v>0.026046550503354672</v>
      </c>
      <c r="L31" s="66">
        <f t="shared" si="11"/>
        <v>0.034720287044047324</v>
      </c>
      <c r="M31" s="66">
        <f t="shared" si="11"/>
        <v>0.05123841382804431</v>
      </c>
      <c r="N31" s="66">
        <f t="shared" si="11"/>
        <v>0.06238861276469201</v>
      </c>
      <c r="O31" s="66">
        <f t="shared" si="11"/>
        <v>0.07207543734594246</v>
      </c>
      <c r="P31" s="66">
        <f t="shared" si="11"/>
        <v>0.08204223311932433</v>
      </c>
      <c r="Q31" s="66">
        <f t="shared" si="11"/>
        <v>0.0928941401306198</v>
      </c>
      <c r="R31" s="66">
        <f t="shared" si="11"/>
        <v>0.10125164895651009</v>
      </c>
      <c r="S31" s="66">
        <f t="shared" si="11"/>
        <v>0.12082208431495606</v>
      </c>
      <c r="T31" s="66">
        <f t="shared" si="11"/>
        <v>0.1367333102373477</v>
      </c>
      <c r="U31" s="66">
        <f t="shared" si="11"/>
        <v>0.14705133121722025</v>
      </c>
      <c r="V31" s="66">
        <f t="shared" si="11"/>
        <v>0.17265007445041172</v>
      </c>
      <c r="W31" s="66">
        <f t="shared" si="11"/>
        <v>0.18817959771710965</v>
      </c>
    </row>
    <row r="34" spans="4:23" ht="12">
      <c r="D34" s="72">
        <f aca="true" t="shared" si="12" ref="D34:W34">D9/C9*100</f>
        <v>107.82039841592572</v>
      </c>
      <c r="E34" s="72">
        <f t="shared" si="12"/>
        <v>110.1787901825749</v>
      </c>
      <c r="F34" s="72">
        <f t="shared" si="12"/>
        <v>94.572544105574</v>
      </c>
      <c r="G34" s="72">
        <f t="shared" si="12"/>
        <v>102.7409168099873</v>
      </c>
      <c r="H34" s="72">
        <f t="shared" si="12"/>
        <v>102.48960908093478</v>
      </c>
      <c r="I34" s="72">
        <f t="shared" si="12"/>
        <v>102.09844259381613</v>
      </c>
      <c r="J34" s="72">
        <f t="shared" si="12"/>
        <v>101.164574337366</v>
      </c>
      <c r="K34" s="72">
        <f t="shared" si="12"/>
        <v>101.49579322035129</v>
      </c>
      <c r="L34" s="72">
        <f t="shared" si="12"/>
        <v>101.49585521772362</v>
      </c>
      <c r="M34" s="72">
        <f t="shared" si="12"/>
        <v>101.22366989755314</v>
      </c>
      <c r="N34" s="72">
        <f t="shared" si="12"/>
        <v>101.50000000000001</v>
      </c>
      <c r="O34" s="72">
        <f t="shared" si="12"/>
        <v>101.50000000000001</v>
      </c>
      <c r="P34" s="72">
        <f t="shared" si="12"/>
        <v>101.49999999999999</v>
      </c>
      <c r="Q34" s="72">
        <f t="shared" si="12"/>
        <v>101.49999999999999</v>
      </c>
      <c r="R34" s="72">
        <f t="shared" si="12"/>
        <v>101.49999999999999</v>
      </c>
      <c r="S34" s="72">
        <f t="shared" si="12"/>
        <v>101.50000000000001</v>
      </c>
      <c r="T34" s="72">
        <f t="shared" si="12"/>
        <v>101.49999999999999</v>
      </c>
      <c r="U34" s="72">
        <f t="shared" si="12"/>
        <v>104.98246253718477</v>
      </c>
      <c r="V34" s="72">
        <f t="shared" si="12"/>
        <v>101.49999826874003</v>
      </c>
      <c r="W34" s="72">
        <f t="shared" si="12"/>
        <v>101.50130091823301</v>
      </c>
    </row>
    <row r="35" spans="5:7" ht="12">
      <c r="E35" s="73"/>
      <c r="F35" s="72"/>
      <c r="G35" s="72"/>
    </row>
    <row r="36" ht="12">
      <c r="K36" s="72"/>
    </row>
    <row r="38" ht="12">
      <c r="K38" s="72"/>
    </row>
  </sheetData>
  <sheetProtection/>
  <mergeCells count="2">
    <mergeCell ref="G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4">
      <pane xSplit="3630" topLeftCell="B1" activePane="topRight" state="split"/>
      <selection pane="topLeft" activeCell="A4" sqref="A1:IV16384"/>
      <selection pane="topRight" activeCell="G36" sqref="G36"/>
    </sheetView>
  </sheetViews>
  <sheetFormatPr defaultColWidth="9.140625" defaultRowHeight="12.75"/>
  <cols>
    <col min="1" max="1" width="30.8515625" style="37" customWidth="1"/>
    <col min="2" max="2" width="12.8515625" style="37" customWidth="1"/>
    <col min="3" max="3" width="12.28125" style="37" customWidth="1"/>
    <col min="4" max="4" width="11.7109375" style="37" customWidth="1"/>
    <col min="5" max="5" width="12.28125" style="38" customWidth="1"/>
    <col min="6" max="6" width="13.57421875" style="38" customWidth="1"/>
    <col min="7" max="8" width="13.421875" style="38" customWidth="1"/>
    <col min="9" max="9" width="13.140625" style="38" customWidth="1"/>
    <col min="10" max="10" width="12.57421875" style="38" customWidth="1"/>
    <col min="11" max="11" width="12.28125" style="38" customWidth="1"/>
    <col min="12" max="13" width="12.421875" style="38" customWidth="1"/>
    <col min="14" max="14" width="11.8515625" style="38" customWidth="1"/>
    <col min="15" max="15" width="12.57421875" style="38" customWidth="1"/>
    <col min="16" max="16" width="11.421875" style="38" customWidth="1"/>
    <col min="17" max="17" width="12.421875" style="38" customWidth="1"/>
    <col min="18" max="18" width="11.421875" style="38" customWidth="1"/>
    <col min="19" max="23" width="11.7109375" style="38" customWidth="1"/>
    <col min="24" max="24" width="13.7109375" style="37" customWidth="1"/>
    <col min="25" max="16384" width="9.140625" style="37" customWidth="1"/>
  </cols>
  <sheetData>
    <row r="1" spans="7:8" ht="19.5" customHeight="1">
      <c r="G1" s="93"/>
      <c r="H1" s="94"/>
    </row>
    <row r="2" spans="7:8" ht="13.5" customHeight="1">
      <c r="G2" s="39"/>
      <c r="H2" s="40"/>
    </row>
    <row r="3" spans="1:8" ht="15.75">
      <c r="A3" s="95" t="s">
        <v>88</v>
      </c>
      <c r="B3" s="95"/>
      <c r="C3" s="95"/>
      <c r="D3" s="95"/>
      <c r="E3" s="95"/>
      <c r="F3" s="95"/>
      <c r="G3" s="95"/>
      <c r="H3" s="95"/>
    </row>
    <row r="4" spans="1:8" ht="12">
      <c r="A4" s="41"/>
      <c r="B4" s="41"/>
      <c r="C4" s="41"/>
      <c r="D4" s="41"/>
      <c r="E4" s="42"/>
      <c r="F4" s="42"/>
      <c r="G4" s="42"/>
      <c r="H4" s="42"/>
    </row>
    <row r="6" spans="1:23" ht="12">
      <c r="A6" s="43" t="s">
        <v>72</v>
      </c>
      <c r="B6" s="44">
        <v>2007</v>
      </c>
      <c r="C6" s="44">
        <v>2008</v>
      </c>
      <c r="D6" s="44">
        <v>2009</v>
      </c>
      <c r="E6" s="45">
        <v>2010</v>
      </c>
      <c r="F6" s="45">
        <v>2011</v>
      </c>
      <c r="G6" s="45">
        <v>2012</v>
      </c>
      <c r="H6" s="45">
        <v>2013</v>
      </c>
      <c r="I6" s="46">
        <v>2014</v>
      </c>
      <c r="J6" s="47">
        <v>2015</v>
      </c>
      <c r="K6" s="46">
        <v>2016</v>
      </c>
      <c r="L6" s="47">
        <v>2017</v>
      </c>
      <c r="M6" s="46">
        <v>2018</v>
      </c>
      <c r="N6" s="47">
        <v>2019</v>
      </c>
      <c r="O6" s="46">
        <v>2020</v>
      </c>
      <c r="P6" s="47">
        <v>2021</v>
      </c>
      <c r="Q6" s="46">
        <v>2022</v>
      </c>
      <c r="R6" s="46">
        <v>2023</v>
      </c>
      <c r="S6" s="46">
        <v>2024</v>
      </c>
      <c r="T6" s="46">
        <v>2025</v>
      </c>
      <c r="U6" s="46">
        <v>2026</v>
      </c>
      <c r="V6" s="46">
        <v>2027</v>
      </c>
      <c r="W6" s="46">
        <v>2028</v>
      </c>
    </row>
    <row r="7" spans="1:24" ht="12">
      <c r="A7" s="48" t="s">
        <v>73</v>
      </c>
      <c r="B7" s="49">
        <v>353056812.76</v>
      </c>
      <c r="C7" s="50">
        <v>279976209.44</v>
      </c>
      <c r="D7" s="50">
        <v>305726059.7</v>
      </c>
      <c r="E7" s="51">
        <v>324512718.68</v>
      </c>
      <c r="F7" s="51">
        <v>325300070.79</v>
      </c>
      <c r="G7" s="51">
        <v>344869154</v>
      </c>
      <c r="H7" s="51">
        <v>346699742</v>
      </c>
      <c r="I7" s="52">
        <v>356753485</v>
      </c>
      <c r="J7" s="52">
        <f>J9-J8</f>
        <v>366876072</v>
      </c>
      <c r="K7" s="52">
        <f>K9-K8</f>
        <v>372390000</v>
      </c>
      <c r="L7" s="52">
        <f>L9-L8</f>
        <v>377990850</v>
      </c>
      <c r="M7" s="52">
        <f>M9-M8</f>
        <v>384675700</v>
      </c>
      <c r="N7" s="52">
        <f>N9+N8</f>
        <v>390445800</v>
      </c>
      <c r="O7" s="52">
        <v>416217900</v>
      </c>
      <c r="P7" s="52">
        <v>426623347</v>
      </c>
      <c r="Q7" s="52">
        <f>Q9</f>
        <v>408288460</v>
      </c>
      <c r="R7" s="52">
        <f>R9</f>
        <v>414415000</v>
      </c>
      <c r="S7" s="52">
        <f>S9</f>
        <v>420496000</v>
      </c>
      <c r="T7" s="52">
        <f>T9</f>
        <v>426805000</v>
      </c>
      <c r="U7" s="52">
        <v>482867500</v>
      </c>
      <c r="V7" s="52">
        <v>494939100</v>
      </c>
      <c r="W7" s="52">
        <v>507312000</v>
      </c>
      <c r="X7" s="52">
        <f>507312000</f>
        <v>507312000</v>
      </c>
    </row>
    <row r="8" spans="1:23" ht="12">
      <c r="A8" s="48" t="s">
        <v>74</v>
      </c>
      <c r="B8" s="49">
        <v>2892106.53</v>
      </c>
      <c r="C8" s="51">
        <v>4105656.73</v>
      </c>
      <c r="D8" s="51">
        <v>2836916.21</v>
      </c>
      <c r="E8" s="51">
        <v>2531508</v>
      </c>
      <c r="F8" s="51">
        <v>2500000</v>
      </c>
      <c r="G8" s="51">
        <f>1000000+1400000+1000000</f>
        <v>3400000</v>
      </c>
      <c r="H8" s="51">
        <f>1000000+1650000+800000</f>
        <v>3450000</v>
      </c>
      <c r="I8" s="52">
        <f>1000000+1150000</f>
        <v>2150000</v>
      </c>
      <c r="J8" s="52">
        <v>1000000</v>
      </c>
      <c r="K8" s="52">
        <v>1000000</v>
      </c>
      <c r="L8" s="52">
        <v>1000000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</row>
    <row r="9" spans="1:24" ht="12">
      <c r="A9" s="48" t="s">
        <v>75</v>
      </c>
      <c r="B9" s="49">
        <v>357991675.86</v>
      </c>
      <c r="C9" s="51">
        <v>291814348.02</v>
      </c>
      <c r="D9" s="51">
        <v>314635392.67</v>
      </c>
      <c r="E9" s="51">
        <v>346661469.13</v>
      </c>
      <c r="F9" s="51">
        <v>327846570.79</v>
      </c>
      <c r="G9" s="51">
        <f>G7+G8</f>
        <v>348269154</v>
      </c>
      <c r="H9" s="51">
        <f>SUM(H7:H8)</f>
        <v>350149742</v>
      </c>
      <c r="I9" s="51">
        <v>358903485</v>
      </c>
      <c r="J9" s="51">
        <v>367876072</v>
      </c>
      <c r="K9" s="51">
        <v>373390000</v>
      </c>
      <c r="L9" s="51">
        <v>378990850</v>
      </c>
      <c r="M9" s="51">
        <v>384675700</v>
      </c>
      <c r="N9" s="51">
        <v>390445800</v>
      </c>
      <c r="O9" s="51">
        <v>396310000</v>
      </c>
      <c r="P9" s="51">
        <v>402254650</v>
      </c>
      <c r="Q9" s="51">
        <v>408288460</v>
      </c>
      <c r="R9" s="51">
        <v>414415000</v>
      </c>
      <c r="S9" s="51">
        <v>420496000</v>
      </c>
      <c r="T9" s="51">
        <v>426805000</v>
      </c>
      <c r="U9" s="51">
        <v>433210500</v>
      </c>
      <c r="V9" s="51">
        <v>439708650</v>
      </c>
      <c r="W9" s="51">
        <v>446310000</v>
      </c>
      <c r="X9" s="51">
        <v>507312000</v>
      </c>
    </row>
    <row r="10" spans="1:24" ht="12">
      <c r="A10" s="48" t="s">
        <v>76</v>
      </c>
      <c r="B10" s="49">
        <v>227350843.32</v>
      </c>
      <c r="C10" s="51">
        <f>247094062.11</f>
        <v>247094062.11</v>
      </c>
      <c r="D10" s="51">
        <f>274781390.29</f>
        <v>274781390.29</v>
      </c>
      <c r="E10" s="51">
        <v>311661682.25</v>
      </c>
      <c r="F10" s="51">
        <f>314118166.95+F11-3000000</f>
        <v>315918166.95</v>
      </c>
      <c r="G10" s="51">
        <f>321206749.16-3000000</f>
        <v>318206749.16</v>
      </c>
      <c r="H10" s="51">
        <v>323914017.16</v>
      </c>
      <c r="I10" s="52">
        <v>330176960.16</v>
      </c>
      <c r="J10" s="52">
        <v>330459546.28</v>
      </c>
      <c r="K10" s="52">
        <v>330494393</v>
      </c>
      <c r="L10" s="52">
        <v>333021217</v>
      </c>
      <c r="M10" s="52">
        <v>333582290</v>
      </c>
      <c r="N10" s="52">
        <f>336055340-2000000</f>
        <v>334055340</v>
      </c>
      <c r="O10" s="52">
        <f>337639170</f>
        <v>337639170</v>
      </c>
      <c r="P10" s="52">
        <v>337773347</v>
      </c>
      <c r="Q10" s="52">
        <v>338738930</v>
      </c>
      <c r="R10" s="52">
        <v>339670153</v>
      </c>
      <c r="S10" s="52">
        <v>339550000</v>
      </c>
      <c r="T10" s="52">
        <v>343040000</v>
      </c>
      <c r="U10" s="52">
        <v>343017500</v>
      </c>
      <c r="V10" s="52">
        <v>342389100</v>
      </c>
      <c r="W10" s="52">
        <v>342312000</v>
      </c>
      <c r="X10" s="52">
        <f>342312000+50000000</f>
        <v>392312000</v>
      </c>
    </row>
    <row r="11" spans="1:24" ht="12">
      <c r="A11" s="48" t="s">
        <v>77</v>
      </c>
      <c r="B11" s="49">
        <v>2204829.18</v>
      </c>
      <c r="C11" s="51">
        <v>3410877.07</v>
      </c>
      <c r="D11" s="51">
        <v>2570274.26</v>
      </c>
      <c r="E11" s="51">
        <v>3153000</v>
      </c>
      <c r="F11" s="51">
        <v>4800000</v>
      </c>
      <c r="G11" s="51">
        <v>5800000</v>
      </c>
      <c r="H11" s="51">
        <v>6500000</v>
      </c>
      <c r="I11" s="52">
        <v>5900000</v>
      </c>
      <c r="J11" s="52">
        <v>5500000</v>
      </c>
      <c r="K11" s="52">
        <v>4700000</v>
      </c>
      <c r="L11" s="52">
        <v>4300000</v>
      </c>
      <c r="M11" s="52">
        <v>3800000</v>
      </c>
      <c r="N11" s="52">
        <v>3500000</v>
      </c>
      <c r="O11" s="52">
        <v>3050000</v>
      </c>
      <c r="P11" s="52">
        <v>2620000</v>
      </c>
      <c r="Q11" s="52">
        <v>2250000</v>
      </c>
      <c r="R11" s="52">
        <v>1850000</v>
      </c>
      <c r="S11" s="52">
        <v>1400000</v>
      </c>
      <c r="T11" s="52">
        <v>1080000</v>
      </c>
      <c r="U11" s="52">
        <v>850000</v>
      </c>
      <c r="V11" s="52">
        <v>430000</v>
      </c>
      <c r="W11" s="52">
        <v>310000</v>
      </c>
      <c r="X11" s="37">
        <v>0</v>
      </c>
    </row>
    <row r="12" spans="1:24" ht="12">
      <c r="A12" s="48" t="s">
        <v>78</v>
      </c>
      <c r="B12" s="49">
        <v>202611909.88</v>
      </c>
      <c r="C12" s="51">
        <f>7709540.51+9395724.55</f>
        <v>17105265.060000002</v>
      </c>
      <c r="D12" s="51">
        <v>12989748.92</v>
      </c>
      <c r="E12" s="51">
        <v>15855299.24</v>
      </c>
      <c r="F12" s="51">
        <v>20263684.84</v>
      </c>
      <c r="G12" s="51">
        <v>21162404.84</v>
      </c>
      <c r="H12" s="51">
        <v>23585724.84</v>
      </c>
      <c r="I12" s="52">
        <v>16076524.84</v>
      </c>
      <c r="J12" s="52">
        <v>19616525.72</v>
      </c>
      <c r="K12" s="52">
        <v>9778580</v>
      </c>
      <c r="L12" s="52">
        <v>10278580</v>
      </c>
      <c r="M12" s="52">
        <v>8550000</v>
      </c>
      <c r="N12" s="52">
        <v>8550000</v>
      </c>
      <c r="O12" s="52">
        <v>9050000</v>
      </c>
      <c r="P12" s="52">
        <v>9050000</v>
      </c>
      <c r="Q12" s="52">
        <v>9050000</v>
      </c>
      <c r="R12" s="52">
        <v>9850000</v>
      </c>
      <c r="S12" s="52">
        <v>7050000</v>
      </c>
      <c r="T12" s="52">
        <v>5550000</v>
      </c>
      <c r="U12" s="52">
        <v>5550000</v>
      </c>
      <c r="V12" s="52">
        <v>3050000</v>
      </c>
      <c r="W12" s="52">
        <v>4700000</v>
      </c>
      <c r="X12" s="37">
        <v>0</v>
      </c>
    </row>
    <row r="13" spans="1:24" ht="12">
      <c r="A13" s="48" t="s">
        <v>79</v>
      </c>
      <c r="B13" s="49">
        <v>62644492.79</v>
      </c>
      <c r="C13" s="51">
        <v>69290393.24</v>
      </c>
      <c r="D13" s="51">
        <v>67291324.32</v>
      </c>
      <c r="E13" s="51">
        <v>89162025.08</v>
      </c>
      <c r="F13" s="51">
        <f>89162025.08-20263684.84+44000000</f>
        <v>112898340.24</v>
      </c>
      <c r="G13" s="51">
        <v>132335935.4</v>
      </c>
      <c r="H13" s="51">
        <v>125200210.56</v>
      </c>
      <c r="I13" s="52">
        <v>119123685.72</v>
      </c>
      <c r="J13" s="52">
        <v>109507160</v>
      </c>
      <c r="K13" s="52">
        <v>99728580</v>
      </c>
      <c r="L13" s="52">
        <v>89450000</v>
      </c>
      <c r="M13" s="52">
        <v>80900000</v>
      </c>
      <c r="N13" s="52">
        <v>72350000</v>
      </c>
      <c r="O13" s="52">
        <v>63800000</v>
      </c>
      <c r="P13" s="52">
        <v>55250000</v>
      </c>
      <c r="Q13" s="52">
        <v>46700000</v>
      </c>
      <c r="R13" s="52">
        <v>38150000</v>
      </c>
      <c r="S13" s="52">
        <v>28100000</v>
      </c>
      <c r="T13" s="52">
        <v>20050000</v>
      </c>
      <c r="U13" s="52">
        <v>10200000</v>
      </c>
      <c r="V13" s="52">
        <v>4700000</v>
      </c>
      <c r="W13" s="52">
        <v>0</v>
      </c>
      <c r="X13" s="37">
        <v>0</v>
      </c>
    </row>
    <row r="14" spans="1:23" ht="12" hidden="1">
      <c r="A14" s="48"/>
      <c r="B14" s="49"/>
      <c r="C14" s="44">
        <v>2008</v>
      </c>
      <c r="D14" s="44">
        <v>2009</v>
      </c>
      <c r="E14" s="45">
        <v>2010</v>
      </c>
      <c r="F14" s="45">
        <v>2011</v>
      </c>
      <c r="G14" s="45">
        <v>2012</v>
      </c>
      <c r="H14" s="45">
        <v>2013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4" ht="12">
      <c r="A15" s="48" t="s">
        <v>80</v>
      </c>
      <c r="B15" s="54">
        <f aca="true" t="shared" si="0" ref="B15:S15">+B13/B9</f>
        <v>0.17498868553161112</v>
      </c>
      <c r="C15" s="54">
        <f t="shared" si="0"/>
        <v>0.23744683464039631</v>
      </c>
      <c r="D15" s="54">
        <f t="shared" si="0"/>
        <v>0.2138708037546728</v>
      </c>
      <c r="E15" s="54">
        <f t="shared" si="0"/>
        <v>0.25720200547169475</v>
      </c>
      <c r="F15" s="54">
        <f t="shared" si="0"/>
        <v>0.3443633403514118</v>
      </c>
      <c r="G15" s="54">
        <f t="shared" si="0"/>
        <v>0.37998178673038613</v>
      </c>
      <c r="H15" s="54">
        <f t="shared" si="0"/>
        <v>0.35756191006989235</v>
      </c>
      <c r="I15" s="54">
        <f t="shared" si="0"/>
        <v>0.33191008362596425</v>
      </c>
      <c r="J15" s="54">
        <f t="shared" si="0"/>
        <v>0.2976740493195219</v>
      </c>
      <c r="K15" s="54">
        <f t="shared" si="0"/>
        <v>0.2670895846166207</v>
      </c>
      <c r="L15" s="54">
        <f t="shared" si="0"/>
        <v>0.23602152927966466</v>
      </c>
      <c r="M15" s="54">
        <f t="shared" si="0"/>
        <v>0.210307019653178</v>
      </c>
      <c r="N15" s="54">
        <f t="shared" si="0"/>
        <v>0.18530100720765852</v>
      </c>
      <c r="O15" s="54">
        <f t="shared" si="0"/>
        <v>0.1609850874315561</v>
      </c>
      <c r="P15" s="54">
        <f t="shared" si="0"/>
        <v>0.13735080501866168</v>
      </c>
      <c r="Q15" s="54">
        <f t="shared" si="0"/>
        <v>0.1143799165913237</v>
      </c>
      <c r="R15" s="54">
        <f t="shared" si="0"/>
        <v>0.09205747861443239</v>
      </c>
      <c r="S15" s="55">
        <f t="shared" si="0"/>
        <v>0.06682584376545793</v>
      </c>
      <c r="T15" s="55">
        <f>+T13/T9</f>
        <v>0.04697695668982322</v>
      </c>
      <c r="U15" s="55">
        <f>+U13/U9</f>
        <v>0.02354513567884435</v>
      </c>
      <c r="V15" s="55">
        <f>+V13/V9</f>
        <v>0.01068889593143096</v>
      </c>
      <c r="W15" s="55">
        <f>+W13/W9</f>
        <v>0</v>
      </c>
      <c r="X15" s="55">
        <f>+X13/X9</f>
        <v>0</v>
      </c>
    </row>
    <row r="16" spans="1:24" ht="12">
      <c r="A16" s="48" t="s">
        <v>81</v>
      </c>
      <c r="B16" s="54">
        <f aca="true" t="shared" si="1" ref="B16:S16">(B12+B11)/B9</f>
        <v>0.5721270992348375</v>
      </c>
      <c r="C16" s="54">
        <f t="shared" si="1"/>
        <v>0.07030546054093918</v>
      </c>
      <c r="D16" s="54">
        <f t="shared" si="1"/>
        <v>0.049454141341053345</v>
      </c>
      <c r="E16" s="54">
        <f t="shared" si="1"/>
        <v>0.05483245452026796</v>
      </c>
      <c r="F16" s="54">
        <f t="shared" si="1"/>
        <v>0.0764494341960172</v>
      </c>
      <c r="G16" s="54">
        <f t="shared" si="1"/>
        <v>0.07741829711396146</v>
      </c>
      <c r="H16" s="54">
        <f t="shared" si="1"/>
        <v>0.08592245325715533</v>
      </c>
      <c r="I16" s="54">
        <f t="shared" si="1"/>
        <v>0.06123240859586526</v>
      </c>
      <c r="J16" s="54">
        <f t="shared" si="1"/>
        <v>0.06827442074025407</v>
      </c>
      <c r="K16" s="54">
        <f t="shared" si="1"/>
        <v>0.03877602506762366</v>
      </c>
      <c r="L16" s="54">
        <f t="shared" si="1"/>
        <v>0.038466838975136204</v>
      </c>
      <c r="M16" s="54">
        <f t="shared" si="1"/>
        <v>0.03210496529934176</v>
      </c>
      <c r="N16" s="54">
        <f t="shared" si="1"/>
        <v>0.030862158076742023</v>
      </c>
      <c r="O16" s="54">
        <f t="shared" si="1"/>
        <v>0.03053165451288133</v>
      </c>
      <c r="P16" s="54">
        <f t="shared" si="1"/>
        <v>0.02901147320484673</v>
      </c>
      <c r="Q16" s="54">
        <f t="shared" si="1"/>
        <v>0.027676510866851342</v>
      </c>
      <c r="R16" s="54">
        <f t="shared" si="1"/>
        <v>0.028232568801804955</v>
      </c>
      <c r="S16" s="55">
        <f t="shared" si="1"/>
        <v>0.02009531600776226</v>
      </c>
      <c r="T16" s="55">
        <f>(T12+T11)/T9</f>
        <v>0.015534026077482692</v>
      </c>
      <c r="U16" s="55">
        <f>(U12+U11)/U9</f>
        <v>0.014773418465157239</v>
      </c>
      <c r="V16" s="55">
        <f>(V12+V11)/V9</f>
        <v>0.007914331455612711</v>
      </c>
      <c r="W16" s="55">
        <f>(W12+W11)/W9</f>
        <v>0.011225381461316125</v>
      </c>
      <c r="X16" s="55">
        <f>(X12+X11)/X9</f>
        <v>0</v>
      </c>
    </row>
    <row r="17" spans="1:23" s="59" customFormat="1" ht="12">
      <c r="A17" s="56"/>
      <c r="B17" s="56"/>
      <c r="C17" s="57">
        <v>0.15</v>
      </c>
      <c r="D17" s="57">
        <v>0.15</v>
      </c>
      <c r="E17" s="57">
        <v>0.15</v>
      </c>
      <c r="F17" s="57">
        <v>0.15</v>
      </c>
      <c r="G17" s="57">
        <v>0.15</v>
      </c>
      <c r="H17" s="57">
        <v>0.15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s="59" customFormat="1" ht="12">
      <c r="A18" s="56"/>
      <c r="B18" s="56"/>
      <c r="C18" s="57"/>
      <c r="D18" s="57"/>
      <c r="E18" s="57">
        <v>0.4176343881717706</v>
      </c>
      <c r="F18" s="57">
        <v>0.359118696394821</v>
      </c>
      <c r="G18" s="57">
        <v>0.28223931010760267</v>
      </c>
      <c r="H18" s="57">
        <v>0.25194397417038006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20" spans="1:24" ht="12">
      <c r="A20" s="60" t="s">
        <v>82</v>
      </c>
      <c r="B20" s="61">
        <f aca="true" t="shared" si="2" ref="B20:S20">+B7+B8-B10</f>
        <v>128598075.96999997</v>
      </c>
      <c r="C20" s="61">
        <f t="shared" si="2"/>
        <v>36987804.06</v>
      </c>
      <c r="D20" s="61">
        <f t="shared" si="2"/>
        <v>33781585.619999945</v>
      </c>
      <c r="E20" s="62">
        <f t="shared" si="2"/>
        <v>15382544.430000007</v>
      </c>
      <c r="F20" s="62">
        <f t="shared" si="2"/>
        <v>11881903.840000033</v>
      </c>
      <c r="G20" s="62">
        <f t="shared" si="2"/>
        <v>30062404.839999974</v>
      </c>
      <c r="H20" s="62">
        <f t="shared" si="2"/>
        <v>26235724.839999974</v>
      </c>
      <c r="I20" s="62">
        <f t="shared" si="2"/>
        <v>28726524.839999974</v>
      </c>
      <c r="J20" s="62">
        <f t="shared" si="2"/>
        <v>37416525.72000003</v>
      </c>
      <c r="K20" s="62">
        <f t="shared" si="2"/>
        <v>42895607</v>
      </c>
      <c r="L20" s="62">
        <f t="shared" si="2"/>
        <v>45969633</v>
      </c>
      <c r="M20" s="62">
        <f t="shared" si="2"/>
        <v>51093410</v>
      </c>
      <c r="N20" s="62">
        <f t="shared" si="2"/>
        <v>56390460</v>
      </c>
      <c r="O20" s="62">
        <f t="shared" si="2"/>
        <v>78578730</v>
      </c>
      <c r="P20" s="62">
        <f t="shared" si="2"/>
        <v>88850000</v>
      </c>
      <c r="Q20" s="62">
        <f t="shared" si="2"/>
        <v>69549530</v>
      </c>
      <c r="R20" s="62">
        <f t="shared" si="2"/>
        <v>74744847</v>
      </c>
      <c r="S20" s="62">
        <f t="shared" si="2"/>
        <v>80946000</v>
      </c>
      <c r="T20" s="62">
        <f>+T7+T8-T10</f>
        <v>83765000</v>
      </c>
      <c r="U20" s="62">
        <f>+U7+U8-U10</f>
        <v>139850000</v>
      </c>
      <c r="V20" s="62">
        <f>+V7+V8-V10</f>
        <v>152550000</v>
      </c>
      <c r="W20" s="62">
        <f>+W7+W8-W10</f>
        <v>165000000</v>
      </c>
      <c r="X20" s="62">
        <f>+X7+X8-X10</f>
        <v>115000000</v>
      </c>
    </row>
    <row r="21" spans="1:24" ht="12">
      <c r="A21" s="60" t="s">
        <v>83</v>
      </c>
      <c r="B21" s="63">
        <f>+B20/B9</f>
        <v>0.3592208552365639</v>
      </c>
      <c r="C21" s="63">
        <f aca="true" t="shared" si="3" ref="C21:R21">+C20/C9</f>
        <v>0.12675114952697591</v>
      </c>
      <c r="D21" s="63">
        <f t="shared" si="3"/>
        <v>0.10736740496143479</v>
      </c>
      <c r="E21" s="64">
        <f t="shared" si="3"/>
        <v>0.04437338960284469</v>
      </c>
      <c r="F21" s="64">
        <f t="shared" si="3"/>
        <v>0.03624226970368682</v>
      </c>
      <c r="G21" s="64">
        <f t="shared" si="3"/>
        <v>0.08631945865639302</v>
      </c>
      <c r="H21" s="64">
        <f t="shared" si="3"/>
        <v>0.07492715742169524</v>
      </c>
      <c r="I21" s="64">
        <f t="shared" si="3"/>
        <v>0.08003969323396226</v>
      </c>
      <c r="J21" s="64">
        <f t="shared" si="3"/>
        <v>0.10170959344156537</v>
      </c>
      <c r="K21" s="64">
        <f t="shared" si="3"/>
        <v>0.11488150994938268</v>
      </c>
      <c r="L21" s="64">
        <f t="shared" si="3"/>
        <v>0.12129483600989312</v>
      </c>
      <c r="M21" s="64">
        <f t="shared" si="3"/>
        <v>0.13282203684818147</v>
      </c>
      <c r="N21" s="64">
        <f t="shared" si="3"/>
        <v>0.14442583323985045</v>
      </c>
      <c r="O21" s="64">
        <f t="shared" si="3"/>
        <v>0.19827592036537053</v>
      </c>
      <c r="P21" s="64">
        <f t="shared" si="3"/>
        <v>0.2208799823693772</v>
      </c>
      <c r="Q21" s="64">
        <f t="shared" si="3"/>
        <v>0.17034409936543393</v>
      </c>
      <c r="R21" s="64">
        <f t="shared" si="3"/>
        <v>0.18036231072716963</v>
      </c>
      <c r="S21" s="64">
        <f aca="true" t="shared" si="4" ref="S21:X21">+S20/S9</f>
        <v>0.19250123663483124</v>
      </c>
      <c r="T21" s="64">
        <f t="shared" si="4"/>
        <v>0.1962605873876829</v>
      </c>
      <c r="U21" s="64">
        <f t="shared" si="4"/>
        <v>0.32282227693003746</v>
      </c>
      <c r="V21" s="64">
        <f t="shared" si="4"/>
        <v>0.3469342711361262</v>
      </c>
      <c r="W21" s="64">
        <f t="shared" si="4"/>
        <v>0.36969819183975267</v>
      </c>
      <c r="X21" s="64">
        <f t="shared" si="4"/>
        <v>0.22668495915728387</v>
      </c>
    </row>
    <row r="22" spans="1:24" ht="12">
      <c r="A22" s="60" t="s">
        <v>84</v>
      </c>
      <c r="B22" s="60"/>
      <c r="C22" s="65">
        <f aca="true" t="shared" si="5" ref="C22:R22">+C21</f>
        <v>0.12675114952697591</v>
      </c>
      <c r="D22" s="65">
        <f t="shared" si="5"/>
        <v>0.10736740496143479</v>
      </c>
      <c r="E22" s="66">
        <f t="shared" si="5"/>
        <v>0.04437338960284469</v>
      </c>
      <c r="F22" s="66">
        <f t="shared" si="5"/>
        <v>0.03624226970368682</v>
      </c>
      <c r="G22" s="66">
        <f t="shared" si="5"/>
        <v>0.08631945865639302</v>
      </c>
      <c r="H22" s="66">
        <f t="shared" si="5"/>
        <v>0.07492715742169524</v>
      </c>
      <c r="I22" s="66">
        <f t="shared" si="5"/>
        <v>0.08003969323396226</v>
      </c>
      <c r="J22" s="66">
        <f t="shared" si="5"/>
        <v>0.10170959344156537</v>
      </c>
      <c r="K22" s="66">
        <f t="shared" si="5"/>
        <v>0.11488150994938268</v>
      </c>
      <c r="L22" s="66">
        <f t="shared" si="5"/>
        <v>0.12129483600989312</v>
      </c>
      <c r="M22" s="66">
        <f t="shared" si="5"/>
        <v>0.13282203684818147</v>
      </c>
      <c r="N22" s="66">
        <f t="shared" si="5"/>
        <v>0.14442583323985045</v>
      </c>
      <c r="O22" s="66">
        <f t="shared" si="5"/>
        <v>0.19827592036537053</v>
      </c>
      <c r="P22" s="66">
        <f t="shared" si="5"/>
        <v>0.2208799823693772</v>
      </c>
      <c r="Q22" s="66">
        <f t="shared" si="5"/>
        <v>0.17034409936543393</v>
      </c>
      <c r="R22" s="66">
        <f t="shared" si="5"/>
        <v>0.18036231072716963</v>
      </c>
      <c r="S22" s="66">
        <f aca="true" t="shared" si="6" ref="S22:X22">+S21</f>
        <v>0.19250123663483124</v>
      </c>
      <c r="T22" s="66">
        <f t="shared" si="6"/>
        <v>0.1962605873876829</v>
      </c>
      <c r="U22" s="66">
        <f t="shared" si="6"/>
        <v>0.32282227693003746</v>
      </c>
      <c r="V22" s="66">
        <f t="shared" si="6"/>
        <v>0.3469342711361262</v>
      </c>
      <c r="W22" s="66">
        <f t="shared" si="6"/>
        <v>0.36969819183975267</v>
      </c>
      <c r="X22" s="66">
        <f t="shared" si="6"/>
        <v>0.22668495915728387</v>
      </c>
    </row>
    <row r="23" spans="1:8" ht="12">
      <c r="A23" s="60"/>
      <c r="B23" s="60"/>
      <c r="C23" s="63"/>
      <c r="D23" s="63"/>
      <c r="E23" s="64"/>
      <c r="F23" s="64"/>
      <c r="G23" s="64"/>
      <c r="H23" s="64"/>
    </row>
    <row r="24" spans="1:24" ht="12">
      <c r="A24" s="67" t="s">
        <v>85</v>
      </c>
      <c r="B24" s="68"/>
      <c r="C24" s="68"/>
      <c r="D24" s="68"/>
      <c r="E24" s="69">
        <f>(+B22+C22+D22)/3</f>
        <v>0.07803951816280356</v>
      </c>
      <c r="F24" s="69">
        <f aca="true" t="shared" si="7" ref="F24:R24">(+C22+D22+E22)/3</f>
        <v>0.09283064803041846</v>
      </c>
      <c r="G24" s="69">
        <f t="shared" si="7"/>
        <v>0.06266102142265544</v>
      </c>
      <c r="H24" s="69">
        <f t="shared" si="7"/>
        <v>0.055645039320974844</v>
      </c>
      <c r="I24" s="69">
        <f t="shared" si="7"/>
        <v>0.06582962859392504</v>
      </c>
      <c r="J24" s="69">
        <f t="shared" si="7"/>
        <v>0.08042876977068351</v>
      </c>
      <c r="K24" s="69">
        <f t="shared" si="7"/>
        <v>0.0855588146990743</v>
      </c>
      <c r="L24" s="69">
        <f t="shared" si="7"/>
        <v>0.09887693220830344</v>
      </c>
      <c r="M24" s="69">
        <f t="shared" si="7"/>
        <v>0.11262864646694705</v>
      </c>
      <c r="N24" s="69">
        <f t="shared" si="7"/>
        <v>0.12299946093581908</v>
      </c>
      <c r="O24" s="69">
        <f t="shared" si="7"/>
        <v>0.13284756869930836</v>
      </c>
      <c r="P24" s="69">
        <f t="shared" si="7"/>
        <v>0.15850793015113415</v>
      </c>
      <c r="Q24" s="69">
        <f t="shared" si="7"/>
        <v>0.18786057865819938</v>
      </c>
      <c r="R24" s="69">
        <f t="shared" si="7"/>
        <v>0.19650000070006057</v>
      </c>
      <c r="S24" s="69">
        <f aca="true" t="shared" si="8" ref="S24:X24">(+P22+Q22+R22)/3</f>
        <v>0.19052879748732696</v>
      </c>
      <c r="T24" s="69">
        <f t="shared" si="8"/>
        <v>0.1810692155758116</v>
      </c>
      <c r="U24" s="69">
        <f t="shared" si="8"/>
        <v>0.18970804491656126</v>
      </c>
      <c r="V24" s="69">
        <f t="shared" si="8"/>
        <v>0.23719470031751722</v>
      </c>
      <c r="W24" s="69">
        <f t="shared" si="8"/>
        <v>0.2886723784846155</v>
      </c>
      <c r="X24" s="69">
        <f t="shared" si="8"/>
        <v>0.34648491330197206</v>
      </c>
    </row>
    <row r="25" spans="1:24" ht="12">
      <c r="A25" s="67" t="s">
        <v>84</v>
      </c>
      <c r="B25" s="70"/>
      <c r="C25" s="70"/>
      <c r="D25" s="70"/>
      <c r="E25" s="71">
        <f>+E24</f>
        <v>0.07803951816280356</v>
      </c>
      <c r="F25" s="71">
        <f aca="true" t="shared" si="9" ref="F25:R25">+F24</f>
        <v>0.09283064803041846</v>
      </c>
      <c r="G25" s="71">
        <f t="shared" si="9"/>
        <v>0.06266102142265544</v>
      </c>
      <c r="H25" s="71">
        <f t="shared" si="9"/>
        <v>0.055645039320974844</v>
      </c>
      <c r="I25" s="71">
        <f t="shared" si="9"/>
        <v>0.06582962859392504</v>
      </c>
      <c r="J25" s="71">
        <f t="shared" si="9"/>
        <v>0.08042876977068351</v>
      </c>
      <c r="K25" s="71">
        <f t="shared" si="9"/>
        <v>0.0855588146990743</v>
      </c>
      <c r="L25" s="71">
        <f t="shared" si="9"/>
        <v>0.09887693220830344</v>
      </c>
      <c r="M25" s="71">
        <f t="shared" si="9"/>
        <v>0.11262864646694705</v>
      </c>
      <c r="N25" s="71">
        <f t="shared" si="9"/>
        <v>0.12299946093581908</v>
      </c>
      <c r="O25" s="71">
        <f t="shared" si="9"/>
        <v>0.13284756869930836</v>
      </c>
      <c r="P25" s="71">
        <f t="shared" si="9"/>
        <v>0.15850793015113415</v>
      </c>
      <c r="Q25" s="71">
        <f t="shared" si="9"/>
        <v>0.18786057865819938</v>
      </c>
      <c r="R25" s="71">
        <f t="shared" si="9"/>
        <v>0.19650000070006057</v>
      </c>
      <c r="S25" s="71">
        <f aca="true" t="shared" si="10" ref="S25:X25">+S24</f>
        <v>0.19052879748732696</v>
      </c>
      <c r="T25" s="71">
        <f t="shared" si="10"/>
        <v>0.1810692155758116</v>
      </c>
      <c r="U25" s="71">
        <f t="shared" si="10"/>
        <v>0.18970804491656126</v>
      </c>
      <c r="V25" s="71">
        <f t="shared" si="10"/>
        <v>0.23719470031751722</v>
      </c>
      <c r="W25" s="71">
        <f t="shared" si="10"/>
        <v>0.2886723784846155</v>
      </c>
      <c r="X25" s="71">
        <f t="shared" si="10"/>
        <v>0.34648491330197206</v>
      </c>
    </row>
    <row r="27" spans="1:24" ht="12">
      <c r="A27" s="38" t="s">
        <v>86</v>
      </c>
      <c r="B27" s="61"/>
      <c r="C27" s="61"/>
      <c r="D27" s="61"/>
      <c r="E27" s="62">
        <f>+E24*E9</f>
        <v>27053294.0165148</v>
      </c>
      <c r="F27" s="62">
        <f>+F24*F9</f>
        <v>30434209.620986164</v>
      </c>
      <c r="G27" s="62">
        <f>+G24*G9</f>
        <v>21822900.919644084</v>
      </c>
      <c r="H27" s="62">
        <f>+H24*H9</f>
        <v>19484096.161819197</v>
      </c>
      <c r="I27" s="62">
        <f aca="true" t="shared" si="11" ref="I27:X27">+I24*I9</f>
        <v>23626483.118615344</v>
      </c>
      <c r="J27" s="62">
        <f t="shared" si="11"/>
        <v>29587819.899031393</v>
      </c>
      <c r="K27" s="62">
        <f t="shared" si="11"/>
        <v>31946805.82048735</v>
      </c>
      <c r="L27" s="62">
        <f t="shared" si="11"/>
        <v>37473452.5830173</v>
      </c>
      <c r="M27" s="62">
        <f t="shared" si="11"/>
        <v>43325503.41972538</v>
      </c>
      <c r="N27" s="62">
        <f t="shared" si="11"/>
        <v>48024622.92465463</v>
      </c>
      <c r="O27" s="62">
        <f t="shared" si="11"/>
        <v>52648819.9512229</v>
      </c>
      <c r="P27" s="62">
        <f t="shared" si="11"/>
        <v>63760551.965168916</v>
      </c>
      <c r="Q27" s="62">
        <f t="shared" si="11"/>
        <v>76701306.35506509</v>
      </c>
      <c r="R27" s="62">
        <f t="shared" si="11"/>
        <v>81432547.79011561</v>
      </c>
      <c r="S27" s="62">
        <f t="shared" si="11"/>
        <v>80116597.22823104</v>
      </c>
      <c r="T27" s="62">
        <f t="shared" si="11"/>
        <v>77281246.55383427</v>
      </c>
      <c r="U27" s="62">
        <f t="shared" si="11"/>
        <v>82183516.99232596</v>
      </c>
      <c r="V27" s="62">
        <f t="shared" si="11"/>
        <v>104296561.46377006</v>
      </c>
      <c r="W27" s="62">
        <f t="shared" si="11"/>
        <v>128837369.24146876</v>
      </c>
      <c r="X27" s="62">
        <f t="shared" si="11"/>
        <v>175775954.33705005</v>
      </c>
    </row>
    <row r="28" spans="1:24" ht="12">
      <c r="A28" s="38" t="s">
        <v>87</v>
      </c>
      <c r="B28" s="61"/>
      <c r="C28" s="61"/>
      <c r="D28" s="61"/>
      <c r="E28" s="62">
        <f>0.15*E9</f>
        <v>51999220.3695</v>
      </c>
      <c r="F28" s="62">
        <f>0.15*F9</f>
        <v>49176985.6185</v>
      </c>
      <c r="G28" s="62">
        <f>0.15*G9</f>
        <v>52240373.1</v>
      </c>
      <c r="H28" s="62">
        <f>0.15*H9</f>
        <v>52522461.3</v>
      </c>
      <c r="I28" s="62">
        <f aca="true" t="shared" si="12" ref="I28:S28">0.15*I9</f>
        <v>53835522.75</v>
      </c>
      <c r="J28" s="62">
        <f t="shared" si="12"/>
        <v>55181410.8</v>
      </c>
      <c r="K28" s="62">
        <f t="shared" si="12"/>
        <v>56008500</v>
      </c>
      <c r="L28" s="62">
        <f t="shared" si="12"/>
        <v>56848627.5</v>
      </c>
      <c r="M28" s="62">
        <f t="shared" si="12"/>
        <v>57701355</v>
      </c>
      <c r="N28" s="62">
        <f t="shared" si="12"/>
        <v>58566870</v>
      </c>
      <c r="O28" s="62">
        <f t="shared" si="12"/>
        <v>59446500</v>
      </c>
      <c r="P28" s="62">
        <f t="shared" si="12"/>
        <v>60338197.5</v>
      </c>
      <c r="Q28" s="62">
        <f t="shared" si="12"/>
        <v>61243269</v>
      </c>
      <c r="R28" s="62">
        <f t="shared" si="12"/>
        <v>62162250</v>
      </c>
      <c r="S28" s="62">
        <f t="shared" si="12"/>
        <v>63074400</v>
      </c>
      <c r="T28" s="62">
        <f>0.15*T9</f>
        <v>64020750</v>
      </c>
      <c r="U28" s="62">
        <f>0.15*U9</f>
        <v>64981575</v>
      </c>
      <c r="V28" s="62">
        <f>0.15*V9</f>
        <v>65956297.5</v>
      </c>
      <c r="W28" s="62">
        <f>0.15*W9</f>
        <v>66946500</v>
      </c>
      <c r="X28" s="62">
        <f>0.15*X9</f>
        <v>76096800</v>
      </c>
    </row>
    <row r="29" spans="1:2" ht="12">
      <c r="A29" s="38"/>
      <c r="B29" s="38"/>
    </row>
    <row r="30" spans="2:23" ht="12">
      <c r="B30" s="65"/>
      <c r="C30" s="65"/>
      <c r="D30" s="65"/>
      <c r="E30" s="66"/>
      <c r="F30" s="66"/>
      <c r="G30" s="66"/>
      <c r="H30" s="66"/>
      <c r="I30" s="66"/>
      <c r="J30" s="65"/>
      <c r="K30" s="65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6:23" ht="12">
      <c r="F31" s="66">
        <f>F25-F16</f>
        <v>0.016381213834401262</v>
      </c>
      <c r="G31" s="66">
        <f aca="true" t="shared" si="13" ref="G31:W31">G25-G16</f>
        <v>-0.014757275691306027</v>
      </c>
      <c r="H31" s="66">
        <f t="shared" si="13"/>
        <v>-0.03027741393618049</v>
      </c>
      <c r="I31" s="66">
        <f t="shared" si="13"/>
        <v>0.004597219998059773</v>
      </c>
      <c r="J31" s="66">
        <f t="shared" si="13"/>
        <v>0.012154349030429445</v>
      </c>
      <c r="K31" s="66">
        <f t="shared" si="13"/>
        <v>0.04678278963145063</v>
      </c>
      <c r="L31" s="66">
        <f t="shared" si="13"/>
        <v>0.06041009323316724</v>
      </c>
      <c r="M31" s="66">
        <f t="shared" si="13"/>
        <v>0.08052368116760529</v>
      </c>
      <c r="N31" s="66">
        <f t="shared" si="13"/>
        <v>0.09213730285907706</v>
      </c>
      <c r="O31" s="66">
        <f t="shared" si="13"/>
        <v>0.10231591418642703</v>
      </c>
      <c r="P31" s="66">
        <f t="shared" si="13"/>
        <v>0.12949645694628742</v>
      </c>
      <c r="Q31" s="66">
        <f t="shared" si="13"/>
        <v>0.16018406779134803</v>
      </c>
      <c r="R31" s="66">
        <f t="shared" si="13"/>
        <v>0.1682674318982556</v>
      </c>
      <c r="S31" s="66">
        <f t="shared" si="13"/>
        <v>0.1704334814795647</v>
      </c>
      <c r="T31" s="66">
        <f t="shared" si="13"/>
        <v>0.1655351894983289</v>
      </c>
      <c r="U31" s="66">
        <f t="shared" si="13"/>
        <v>0.17493462645140403</v>
      </c>
      <c r="V31" s="66">
        <f t="shared" si="13"/>
        <v>0.2292803688619045</v>
      </c>
      <c r="W31" s="66">
        <f t="shared" si="13"/>
        <v>0.2774469970232994</v>
      </c>
    </row>
    <row r="34" spans="4:23" ht="12">
      <c r="D34" s="72">
        <f aca="true" t="shared" si="14" ref="D34:I34">D9/C9*100</f>
        <v>107.82039841592572</v>
      </c>
      <c r="E34" s="72">
        <f t="shared" si="14"/>
        <v>110.1787901825749</v>
      </c>
      <c r="F34" s="72">
        <f t="shared" si="14"/>
        <v>94.572544105574</v>
      </c>
      <c r="G34" s="72">
        <f t="shared" si="14"/>
        <v>106.22931121737477</v>
      </c>
      <c r="H34" s="72">
        <f t="shared" si="14"/>
        <v>100.53998121234704</v>
      </c>
      <c r="I34" s="72">
        <f t="shared" si="14"/>
        <v>102.49999984292435</v>
      </c>
      <c r="J34" s="72">
        <f aca="true" t="shared" si="15" ref="J34:W34">J9/I9*100</f>
        <v>102.4999999651717</v>
      </c>
      <c r="K34" s="72">
        <f t="shared" si="15"/>
        <v>101.49885475563084</v>
      </c>
      <c r="L34" s="72">
        <f t="shared" si="15"/>
        <v>101.49999999999999</v>
      </c>
      <c r="M34" s="72">
        <f t="shared" si="15"/>
        <v>101.49999663580269</v>
      </c>
      <c r="N34" s="72">
        <f t="shared" si="15"/>
        <v>101.49999077144723</v>
      </c>
      <c r="O34" s="72">
        <f t="shared" si="15"/>
        <v>101.50192421073552</v>
      </c>
      <c r="P34" s="72">
        <f t="shared" si="15"/>
        <v>101.49999999999999</v>
      </c>
      <c r="Q34" s="72">
        <f t="shared" si="15"/>
        <v>101.49999757616226</v>
      </c>
      <c r="R34" s="72">
        <f t="shared" si="15"/>
        <v>101.5005420432407</v>
      </c>
      <c r="S34" s="72">
        <f t="shared" si="15"/>
        <v>101.46736966567329</v>
      </c>
      <c r="T34" s="72">
        <f t="shared" si="15"/>
        <v>101.50037099044937</v>
      </c>
      <c r="U34" s="72">
        <f t="shared" si="15"/>
        <v>101.50080247419781</v>
      </c>
      <c r="V34" s="72">
        <f t="shared" si="15"/>
        <v>101.49999826874003</v>
      </c>
      <c r="W34" s="72">
        <f t="shared" si="15"/>
        <v>101.50130091823301</v>
      </c>
    </row>
    <row r="35" spans="5:7" ht="12">
      <c r="E35" s="73"/>
      <c r="F35" s="72"/>
      <c r="G35" s="72"/>
    </row>
    <row r="36" ht="12">
      <c r="K36" s="72"/>
    </row>
    <row r="38" ht="12">
      <c r="K38" s="72"/>
    </row>
  </sheetData>
  <sheetProtection/>
  <mergeCells count="2">
    <mergeCell ref="G1:H1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30" zoomScaleNormal="130" zoomScalePageLayoutView="0" workbookViewId="0" topLeftCell="G31">
      <selection activeCell="G33" sqref="A33:IV33"/>
    </sheetView>
  </sheetViews>
  <sheetFormatPr defaultColWidth="9.140625" defaultRowHeight="12.75"/>
  <cols>
    <col min="1" max="1" width="3.8515625" style="4" customWidth="1"/>
    <col min="2" max="2" width="29.421875" style="4" customWidth="1"/>
    <col min="3" max="3" width="11.28125" style="5" customWidth="1"/>
    <col min="4" max="4" width="10.8515625" style="5" customWidth="1"/>
    <col min="5" max="5" width="10.7109375" style="5" customWidth="1"/>
    <col min="6" max="6" width="11.140625" style="5" customWidth="1"/>
    <col min="7" max="8" width="10.421875" style="5" customWidth="1"/>
    <col min="9" max="9" width="10.8515625" style="5" customWidth="1"/>
    <col min="10" max="11" width="10.57421875" style="5" customWidth="1"/>
    <col min="12" max="13" width="10.8515625" style="5" customWidth="1"/>
    <col min="14" max="14" width="10.57421875" style="5" customWidth="1"/>
    <col min="15" max="36" width="9.140625" style="6" customWidth="1"/>
    <col min="37" max="16384" width="9.140625" style="4" customWidth="1"/>
  </cols>
  <sheetData>
    <row r="1" spans="5:12" ht="12.75" customHeight="1">
      <c r="E1" s="99" t="s">
        <v>50</v>
      </c>
      <c r="F1" s="100"/>
      <c r="G1" s="100"/>
      <c r="H1" s="100"/>
      <c r="I1" s="100"/>
      <c r="J1" s="100"/>
      <c r="K1" s="100"/>
      <c r="L1" s="100"/>
    </row>
    <row r="2" spans="5:12" ht="15.75">
      <c r="E2" s="101" t="s">
        <v>92</v>
      </c>
      <c r="F2" s="102"/>
      <c r="G2" s="102"/>
      <c r="H2" s="102"/>
      <c r="I2" s="102"/>
      <c r="J2" s="102"/>
      <c r="K2" s="102"/>
      <c r="L2" s="102"/>
    </row>
    <row r="3" spans="1:12" ht="15.75">
      <c r="A3" s="3"/>
      <c r="E3" s="101" t="s">
        <v>49</v>
      </c>
      <c r="F3" s="102"/>
      <c r="G3" s="102"/>
      <c r="H3" s="102"/>
      <c r="I3" s="102"/>
      <c r="J3" s="102"/>
      <c r="K3" s="102"/>
      <c r="L3" s="102"/>
    </row>
    <row r="4" spans="1:12" ht="15.75">
      <c r="A4" s="3"/>
      <c r="E4" s="101" t="s">
        <v>91</v>
      </c>
      <c r="F4" s="102"/>
      <c r="G4" s="102"/>
      <c r="H4" s="102"/>
      <c r="I4" s="102"/>
      <c r="J4" s="102"/>
      <c r="K4" s="102"/>
      <c r="L4" s="102"/>
    </row>
    <row r="5" spans="1:7" ht="12.75">
      <c r="A5" s="7"/>
      <c r="G5" s="75"/>
    </row>
    <row r="6" spans="1:23" ht="15.75">
      <c r="A6" s="7"/>
      <c r="B6" s="97" t="s">
        <v>90</v>
      </c>
      <c r="C6" s="98"/>
      <c r="D6" s="98"/>
      <c r="E6" s="98"/>
      <c r="F6" s="98"/>
      <c r="G6" s="7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5:14" ht="12.75">
      <c r="E7" s="76"/>
      <c r="N7" s="34" t="s">
        <v>71</v>
      </c>
    </row>
    <row r="8" spans="1:14" ht="17.25" customHeight="1">
      <c r="A8" s="2" t="s">
        <v>0</v>
      </c>
      <c r="B8" s="17" t="s">
        <v>1</v>
      </c>
      <c r="C8" s="77" t="s">
        <v>2</v>
      </c>
      <c r="D8" s="78" t="s">
        <v>3</v>
      </c>
      <c r="E8" s="79" t="s">
        <v>48</v>
      </c>
      <c r="F8" s="78" t="s">
        <v>4</v>
      </c>
      <c r="G8" s="78" t="s">
        <v>40</v>
      </c>
      <c r="H8" s="78" t="s">
        <v>41</v>
      </c>
      <c r="I8" s="79" t="s">
        <v>42</v>
      </c>
      <c r="J8" s="79" t="s">
        <v>43</v>
      </c>
      <c r="K8" s="79" t="s">
        <v>44</v>
      </c>
      <c r="L8" s="80" t="s">
        <v>45</v>
      </c>
      <c r="M8" s="81" t="s">
        <v>46</v>
      </c>
      <c r="N8" s="81" t="s">
        <v>47</v>
      </c>
    </row>
    <row r="9" spans="1:36" s="10" customFormat="1" ht="13.5">
      <c r="A9" s="11">
        <v>1</v>
      </c>
      <c r="B9" s="18" t="s">
        <v>51</v>
      </c>
      <c r="C9" s="30">
        <f aca="true" t="shared" si="0" ref="C9:N9">+C10+C11</f>
        <v>355373346.84</v>
      </c>
      <c r="D9" s="30">
        <f t="shared" si="0"/>
        <v>341419154</v>
      </c>
      <c r="E9" s="30">
        <f t="shared" si="0"/>
        <v>351299742</v>
      </c>
      <c r="F9" s="30">
        <f t="shared" si="0"/>
        <v>354903845</v>
      </c>
      <c r="G9" s="30">
        <f t="shared" si="0"/>
        <v>356876072</v>
      </c>
      <c r="H9" s="30">
        <f t="shared" si="0"/>
        <v>356876072</v>
      </c>
      <c r="I9" s="31">
        <f t="shared" si="0"/>
        <v>356876072</v>
      </c>
      <c r="J9" s="31">
        <f t="shared" si="0"/>
        <v>356876072</v>
      </c>
      <c r="K9" s="31">
        <f t="shared" si="0"/>
        <v>356876072</v>
      </c>
      <c r="L9" s="31">
        <f t="shared" si="0"/>
        <v>356876072</v>
      </c>
      <c r="M9" s="31">
        <f t="shared" si="0"/>
        <v>356876072</v>
      </c>
      <c r="N9" s="31">
        <f t="shared" si="0"/>
        <v>356876072</v>
      </c>
      <c r="O9" s="32"/>
      <c r="P9" s="32"/>
      <c r="Q9" s="3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0" customFormat="1" ht="13.5" customHeight="1">
      <c r="A10" s="8" t="s">
        <v>5</v>
      </c>
      <c r="B10" s="19" t="s">
        <v>28</v>
      </c>
      <c r="C10" s="31">
        <v>329638095.09</v>
      </c>
      <c r="D10" s="31">
        <v>338469154</v>
      </c>
      <c r="E10" s="31">
        <v>348449742</v>
      </c>
      <c r="F10" s="31">
        <v>352753845</v>
      </c>
      <c r="G10" s="31">
        <v>355876072</v>
      </c>
      <c r="H10" s="31">
        <v>355876072</v>
      </c>
      <c r="I10" s="31">
        <v>355876072</v>
      </c>
      <c r="J10" s="31">
        <v>356876072</v>
      </c>
      <c r="K10" s="31">
        <v>356876072</v>
      </c>
      <c r="L10" s="31">
        <v>356876072</v>
      </c>
      <c r="M10" s="31">
        <v>356876072</v>
      </c>
      <c r="N10" s="31">
        <v>356876072</v>
      </c>
      <c r="O10" s="32"/>
      <c r="P10" s="32"/>
      <c r="Q10" s="3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10" customFormat="1" ht="13.5" customHeight="1">
      <c r="A11" s="8" t="s">
        <v>6</v>
      </c>
      <c r="B11" s="19" t="s">
        <v>29</v>
      </c>
      <c r="C11" s="31">
        <f>22644243.34+2884950.41+206058</f>
        <v>25735251.75</v>
      </c>
      <c r="D11" s="31">
        <v>2950000</v>
      </c>
      <c r="E11" s="31">
        <v>2850000</v>
      </c>
      <c r="F11" s="31">
        <v>2150000</v>
      </c>
      <c r="G11" s="31">
        <v>1000000</v>
      </c>
      <c r="H11" s="31">
        <v>1000000</v>
      </c>
      <c r="I11" s="31">
        <v>1000000</v>
      </c>
      <c r="J11" s="31"/>
      <c r="K11" s="31"/>
      <c r="L11" s="31"/>
      <c r="M11" s="31"/>
      <c r="N11" s="31">
        <v>0</v>
      </c>
      <c r="O11" s="32"/>
      <c r="P11" s="32"/>
      <c r="Q11" s="3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10" customFormat="1" ht="13.5" customHeight="1">
      <c r="A12" s="12" t="s">
        <v>7</v>
      </c>
      <c r="B12" s="20" t="s">
        <v>30</v>
      </c>
      <c r="C12" s="31">
        <v>2500000</v>
      </c>
      <c r="D12" s="31">
        <v>2950000</v>
      </c>
      <c r="E12" s="31">
        <v>2850000</v>
      </c>
      <c r="F12" s="31">
        <v>2150000</v>
      </c>
      <c r="G12" s="31">
        <v>1000000</v>
      </c>
      <c r="H12" s="31">
        <v>1000000</v>
      </c>
      <c r="I12" s="31">
        <v>1000000</v>
      </c>
      <c r="J12" s="31"/>
      <c r="K12" s="31"/>
      <c r="L12" s="31"/>
      <c r="M12" s="31"/>
      <c r="N12" s="31">
        <v>0</v>
      </c>
      <c r="O12" s="32"/>
      <c r="P12" s="32"/>
      <c r="Q12" s="3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10" customFormat="1" ht="55.5" customHeight="1">
      <c r="A13" s="11">
        <v>2</v>
      </c>
      <c r="B13" s="21" t="s">
        <v>52</v>
      </c>
      <c r="C13" s="31">
        <f>213214410.84+105115803.29-4800000+15800-276000</f>
        <v>313270014.13</v>
      </c>
      <c r="D13" s="31">
        <v>312396749.16</v>
      </c>
      <c r="E13" s="31">
        <v>314914017.16</v>
      </c>
      <c r="F13" s="31">
        <v>320677320.16</v>
      </c>
      <c r="G13" s="31">
        <v>324759546.28</v>
      </c>
      <c r="H13" s="31">
        <v>325757492</v>
      </c>
      <c r="I13" s="82">
        <v>326767492</v>
      </c>
      <c r="J13" s="82">
        <v>327766072</v>
      </c>
      <c r="K13" s="82">
        <v>328466072</v>
      </c>
      <c r="L13" s="82">
        <v>329166072</v>
      </c>
      <c r="M13" s="82">
        <v>329866072</v>
      </c>
      <c r="N13" s="82">
        <v>330466072</v>
      </c>
      <c r="O13" s="33"/>
      <c r="P13" s="33"/>
      <c r="Q13" s="33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10" customFormat="1" ht="29.25" customHeight="1">
      <c r="A14" s="8" t="s">
        <v>5</v>
      </c>
      <c r="B14" s="22" t="s">
        <v>53</v>
      </c>
      <c r="C14" s="30">
        <v>166067810.8</v>
      </c>
      <c r="D14" s="30">
        <v>169892477</v>
      </c>
      <c r="E14" s="30">
        <v>174139788</v>
      </c>
      <c r="F14" s="30">
        <v>178493282</v>
      </c>
      <c r="G14" s="30"/>
      <c r="H14" s="30"/>
      <c r="I14" s="31"/>
      <c r="J14" s="31"/>
      <c r="K14" s="31"/>
      <c r="L14" s="31"/>
      <c r="M14" s="31"/>
      <c r="N14" s="31"/>
      <c r="O14" s="32"/>
      <c r="P14" s="32"/>
      <c r="Q14" s="32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10" customFormat="1" ht="28.5" customHeight="1">
      <c r="A15" s="8" t="s">
        <v>6</v>
      </c>
      <c r="B15" s="22" t="s">
        <v>54</v>
      </c>
      <c r="C15" s="30">
        <f>27186991+102506.71</f>
        <v>27289497.71</v>
      </c>
      <c r="D15" s="30">
        <v>27594795</v>
      </c>
      <c r="E15" s="30">
        <v>28008716</v>
      </c>
      <c r="F15" s="30">
        <v>28428846</v>
      </c>
      <c r="G15" s="30"/>
      <c r="H15" s="30"/>
      <c r="I15" s="31"/>
      <c r="J15" s="31"/>
      <c r="K15" s="31"/>
      <c r="L15" s="31"/>
      <c r="M15" s="31"/>
      <c r="N15" s="31"/>
      <c r="O15" s="32"/>
      <c r="P15" s="32"/>
      <c r="Q15" s="32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10" customFormat="1" ht="17.25" customHeight="1">
      <c r="A16" s="8" t="s">
        <v>7</v>
      </c>
      <c r="B16" s="19" t="s">
        <v>8</v>
      </c>
      <c r="C16" s="30"/>
      <c r="D16" s="30"/>
      <c r="E16" s="30"/>
      <c r="F16" s="30"/>
      <c r="G16" s="30"/>
      <c r="H16" s="83"/>
      <c r="I16" s="83"/>
      <c r="J16" s="83"/>
      <c r="K16" s="83"/>
      <c r="L16" s="83"/>
      <c r="M16" s="83"/>
      <c r="N16" s="83"/>
      <c r="O16" s="32"/>
      <c r="P16" s="32"/>
      <c r="Q16" s="32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10" customFormat="1" ht="40.5" customHeight="1">
      <c r="A17" s="8" t="s">
        <v>9</v>
      </c>
      <c r="B17" s="19" t="s">
        <v>55</v>
      </c>
      <c r="C17" s="30"/>
      <c r="D17" s="30"/>
      <c r="E17" s="30"/>
      <c r="F17" s="30"/>
      <c r="G17" s="30"/>
      <c r="H17" s="83"/>
      <c r="I17" s="83"/>
      <c r="J17" s="83"/>
      <c r="K17" s="83"/>
      <c r="L17" s="83"/>
      <c r="M17" s="83"/>
      <c r="N17" s="83"/>
      <c r="O17" s="32"/>
      <c r="P17" s="32"/>
      <c r="Q17" s="3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10" customFormat="1" ht="33.75" customHeight="1">
      <c r="A18" s="12" t="s">
        <v>10</v>
      </c>
      <c r="B18" s="23" t="s">
        <v>56</v>
      </c>
      <c r="C18" s="30">
        <v>9551258.55</v>
      </c>
      <c r="D18" s="92">
        <f>3849122.96+108000</f>
        <v>3957122.96</v>
      </c>
      <c r="E18" s="30">
        <v>245880</v>
      </c>
      <c r="F18" s="30"/>
      <c r="G18" s="30"/>
      <c r="H18" s="30">
        <v>0</v>
      </c>
      <c r="I18" s="31">
        <v>0</v>
      </c>
      <c r="J18" s="31">
        <v>0</v>
      </c>
      <c r="K18" s="31">
        <v>0</v>
      </c>
      <c r="L18" s="31">
        <v>0</v>
      </c>
      <c r="M18" s="31"/>
      <c r="N18" s="83"/>
      <c r="O18" s="32"/>
      <c r="P18" s="32"/>
      <c r="Q18" s="32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10" customFormat="1" ht="31.5" customHeight="1">
      <c r="A19" s="13">
        <v>3</v>
      </c>
      <c r="B19" s="24" t="s">
        <v>26</v>
      </c>
      <c r="C19" s="31">
        <f aca="true" t="shared" si="1" ref="C19:N19">+C9-C13</f>
        <v>42103332.70999998</v>
      </c>
      <c r="D19" s="31">
        <f t="shared" si="1"/>
        <v>29022404.839999974</v>
      </c>
      <c r="E19" s="31">
        <f t="shared" si="1"/>
        <v>36385724.839999974</v>
      </c>
      <c r="F19" s="31">
        <f t="shared" si="1"/>
        <v>34226524.839999974</v>
      </c>
      <c r="G19" s="31">
        <f t="shared" si="1"/>
        <v>32116525.72000003</v>
      </c>
      <c r="H19" s="31">
        <f t="shared" si="1"/>
        <v>31118580</v>
      </c>
      <c r="I19" s="31">
        <f t="shared" si="1"/>
        <v>30108580</v>
      </c>
      <c r="J19" s="31">
        <f t="shared" si="1"/>
        <v>29110000</v>
      </c>
      <c r="K19" s="31">
        <f t="shared" si="1"/>
        <v>28410000</v>
      </c>
      <c r="L19" s="31">
        <f t="shared" si="1"/>
        <v>27710000</v>
      </c>
      <c r="M19" s="31">
        <f t="shared" si="1"/>
        <v>27010000</v>
      </c>
      <c r="N19" s="31">
        <f t="shared" si="1"/>
        <v>26410000</v>
      </c>
      <c r="O19" s="32"/>
      <c r="P19" s="32"/>
      <c r="Q19" s="3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10" customFormat="1" ht="29.25" customHeight="1">
      <c r="A20" s="11">
        <v>4</v>
      </c>
      <c r="B20" s="25" t="s">
        <v>31</v>
      </c>
      <c r="C20" s="30">
        <v>2770000</v>
      </c>
      <c r="D20" s="30"/>
      <c r="E20" s="30"/>
      <c r="F20" s="30"/>
      <c r="G20" s="30"/>
      <c r="H20" s="83"/>
      <c r="I20" s="83"/>
      <c r="J20" s="83"/>
      <c r="K20" s="83"/>
      <c r="L20" s="83"/>
      <c r="M20" s="83"/>
      <c r="N20" s="83"/>
      <c r="O20" s="32"/>
      <c r="P20" s="32"/>
      <c r="Q20" s="32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10" customFormat="1" ht="52.5" customHeight="1">
      <c r="A21" s="12" t="s">
        <v>5</v>
      </c>
      <c r="B21" s="16" t="s">
        <v>32</v>
      </c>
      <c r="C21" s="30">
        <v>2770000</v>
      </c>
      <c r="D21" s="30"/>
      <c r="E21" s="30"/>
      <c r="F21" s="30"/>
      <c r="G21" s="30"/>
      <c r="H21" s="83"/>
      <c r="I21" s="83"/>
      <c r="J21" s="83"/>
      <c r="K21" s="83"/>
      <c r="L21" s="83"/>
      <c r="M21" s="83"/>
      <c r="N21" s="83"/>
      <c r="O21" s="32"/>
      <c r="P21" s="32"/>
      <c r="Q21" s="32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10" customFormat="1" ht="29.25" customHeight="1">
      <c r="A22" s="13">
        <v>5</v>
      </c>
      <c r="B22" s="26" t="s">
        <v>57</v>
      </c>
      <c r="C22" s="30"/>
      <c r="D22" s="30"/>
      <c r="E22" s="30"/>
      <c r="F22" s="30"/>
      <c r="G22" s="30"/>
      <c r="H22" s="83"/>
      <c r="I22" s="83"/>
      <c r="J22" s="83"/>
      <c r="K22" s="83"/>
      <c r="L22" s="83"/>
      <c r="M22" s="83"/>
      <c r="N22" s="83"/>
      <c r="O22" s="32"/>
      <c r="P22" s="32"/>
      <c r="Q22" s="3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10" customFormat="1" ht="13.5" customHeight="1">
      <c r="A23" s="13">
        <v>6</v>
      </c>
      <c r="B23" s="24" t="s">
        <v>11</v>
      </c>
      <c r="C23" s="30">
        <f aca="true" t="shared" si="2" ref="C23:L23">+C19+C20+C22</f>
        <v>44873332.70999998</v>
      </c>
      <c r="D23" s="30">
        <f t="shared" si="2"/>
        <v>29022404.839999974</v>
      </c>
      <c r="E23" s="30">
        <f t="shared" si="2"/>
        <v>36385724.839999974</v>
      </c>
      <c r="F23" s="30">
        <f t="shared" si="2"/>
        <v>34226524.839999974</v>
      </c>
      <c r="G23" s="30">
        <f t="shared" si="2"/>
        <v>32116525.72000003</v>
      </c>
      <c r="H23" s="30">
        <f t="shared" si="2"/>
        <v>31118580</v>
      </c>
      <c r="I23" s="31">
        <f t="shared" si="2"/>
        <v>30108580</v>
      </c>
      <c r="J23" s="31">
        <f t="shared" si="2"/>
        <v>29110000</v>
      </c>
      <c r="K23" s="31">
        <f t="shared" si="2"/>
        <v>28410000</v>
      </c>
      <c r="L23" s="31">
        <f t="shared" si="2"/>
        <v>27710000</v>
      </c>
      <c r="M23" s="31">
        <f>+M19+M20+M22</f>
        <v>27010000</v>
      </c>
      <c r="N23" s="31">
        <f>+N19+N20+N22</f>
        <v>26410000</v>
      </c>
      <c r="O23" s="32"/>
      <c r="P23" s="32"/>
      <c r="Q23" s="32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10" customFormat="1" ht="13.5" customHeight="1">
      <c r="A24" s="11">
        <v>7</v>
      </c>
      <c r="B24" s="25" t="s">
        <v>27</v>
      </c>
      <c r="C24" s="31">
        <f aca="true" t="shared" si="3" ref="C24:N24">+C25+C26</f>
        <v>25063684.84</v>
      </c>
      <c r="D24" s="31">
        <f t="shared" si="3"/>
        <v>26962404.84</v>
      </c>
      <c r="E24" s="31">
        <f t="shared" si="3"/>
        <v>30085724.84</v>
      </c>
      <c r="F24" s="31">
        <f t="shared" si="3"/>
        <v>22576524.84</v>
      </c>
      <c r="G24" s="31">
        <f t="shared" si="3"/>
        <v>24116525.72</v>
      </c>
      <c r="H24" s="31">
        <f t="shared" si="3"/>
        <v>23028580</v>
      </c>
      <c r="I24" s="31">
        <f t="shared" si="3"/>
        <v>22178580</v>
      </c>
      <c r="J24" s="31">
        <f t="shared" si="3"/>
        <v>18650000</v>
      </c>
      <c r="K24" s="31">
        <f t="shared" si="3"/>
        <v>17950000</v>
      </c>
      <c r="L24" s="31">
        <f t="shared" si="3"/>
        <v>16700000</v>
      </c>
      <c r="M24" s="31">
        <f t="shared" si="3"/>
        <v>14500000</v>
      </c>
      <c r="N24" s="31">
        <f t="shared" si="3"/>
        <v>7650000</v>
      </c>
      <c r="O24" s="32"/>
      <c r="P24" s="32"/>
      <c r="Q24" s="3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10" customFormat="1" ht="25.5" customHeight="1">
      <c r="A25" s="8" t="s">
        <v>5</v>
      </c>
      <c r="B25" s="19" t="s">
        <v>33</v>
      </c>
      <c r="C25" s="31">
        <v>20263684.84</v>
      </c>
      <c r="D25" s="31">
        <v>21162404.84</v>
      </c>
      <c r="E25" s="31">
        <v>23585724.84</v>
      </c>
      <c r="F25" s="31">
        <v>16676524.84</v>
      </c>
      <c r="G25" s="31">
        <v>18616525.72</v>
      </c>
      <c r="H25" s="82">
        <v>18278580</v>
      </c>
      <c r="I25" s="82">
        <v>18278580</v>
      </c>
      <c r="J25" s="82">
        <v>15550000</v>
      </c>
      <c r="K25" s="82">
        <v>15550000</v>
      </c>
      <c r="L25" s="82">
        <v>15000000</v>
      </c>
      <c r="M25" s="82">
        <v>13500000</v>
      </c>
      <c r="N25" s="82">
        <v>7250000</v>
      </c>
      <c r="O25" s="33"/>
      <c r="P25" s="33"/>
      <c r="Q25" s="3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10" customFormat="1" ht="13.5" customHeight="1">
      <c r="A26" s="12" t="s">
        <v>6</v>
      </c>
      <c r="B26" s="20" t="s">
        <v>34</v>
      </c>
      <c r="C26" s="31">
        <v>4800000</v>
      </c>
      <c r="D26" s="31">
        <v>5800000</v>
      </c>
      <c r="E26" s="31">
        <v>6500000</v>
      </c>
      <c r="F26" s="30">
        <v>5900000</v>
      </c>
      <c r="G26" s="30">
        <v>5500000</v>
      </c>
      <c r="H26" s="82">
        <v>4750000</v>
      </c>
      <c r="I26" s="82">
        <v>3900000</v>
      </c>
      <c r="J26" s="82">
        <v>3100000</v>
      </c>
      <c r="K26" s="82">
        <v>2400000</v>
      </c>
      <c r="L26" s="82">
        <v>1700000</v>
      </c>
      <c r="M26" s="82">
        <v>1000000</v>
      </c>
      <c r="N26" s="82">
        <v>400000</v>
      </c>
      <c r="O26" s="33"/>
      <c r="P26" s="33"/>
      <c r="Q26" s="33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10" customFormat="1" ht="30.75" customHeight="1">
      <c r="A27" s="13">
        <v>8</v>
      </c>
      <c r="B27" s="24" t="s">
        <v>12</v>
      </c>
      <c r="C27" s="30"/>
      <c r="D27" s="30"/>
      <c r="E27" s="30"/>
      <c r="F27" s="30"/>
      <c r="G27" s="30"/>
      <c r="H27" s="82"/>
      <c r="I27" s="82"/>
      <c r="J27" s="82"/>
      <c r="K27" s="82"/>
      <c r="L27" s="82"/>
      <c r="M27" s="82"/>
      <c r="N27" s="82"/>
      <c r="O27" s="33"/>
      <c r="P27" s="33"/>
      <c r="Q27" s="3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10" customFormat="1" ht="21.75" customHeight="1">
      <c r="A28" s="13">
        <v>9</v>
      </c>
      <c r="B28" s="24" t="s">
        <v>13</v>
      </c>
      <c r="C28" s="30">
        <f aca="true" t="shared" si="4" ref="C28:L28">+C23-C24-C27</f>
        <v>19809647.86999998</v>
      </c>
      <c r="D28" s="30">
        <f t="shared" si="4"/>
        <v>2059999.999999974</v>
      </c>
      <c r="E28" s="30">
        <f t="shared" si="4"/>
        <v>6299999.999999974</v>
      </c>
      <c r="F28" s="30">
        <f t="shared" si="4"/>
        <v>11649999.999999974</v>
      </c>
      <c r="G28" s="30">
        <f t="shared" si="4"/>
        <v>8000000.00000003</v>
      </c>
      <c r="H28" s="30">
        <f t="shared" si="4"/>
        <v>8090000</v>
      </c>
      <c r="I28" s="31">
        <f>+I23-I24-I27</f>
        <v>7930000</v>
      </c>
      <c r="J28" s="31">
        <f t="shared" si="4"/>
        <v>10460000</v>
      </c>
      <c r="K28" s="31">
        <f t="shared" si="4"/>
        <v>10460000</v>
      </c>
      <c r="L28" s="31">
        <f t="shared" si="4"/>
        <v>11010000</v>
      </c>
      <c r="M28" s="31">
        <f>+M23-M24-M27</f>
        <v>12510000</v>
      </c>
      <c r="N28" s="31">
        <f>+N23-N24-N27</f>
        <v>18760000</v>
      </c>
      <c r="O28" s="32"/>
      <c r="P28" s="32"/>
      <c r="Q28" s="32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17" s="9" customFormat="1" ht="17.25" customHeight="1">
      <c r="A29" s="35">
        <v>10</v>
      </c>
      <c r="B29" s="36" t="s">
        <v>58</v>
      </c>
      <c r="C29" s="30">
        <f>34415991+20927398.87+466258</f>
        <v>55809647.870000005</v>
      </c>
      <c r="D29" s="30">
        <v>44160000</v>
      </c>
      <c r="E29" s="30">
        <v>22750000</v>
      </c>
      <c r="F29" s="30">
        <v>21650000</v>
      </c>
      <c r="G29" s="30">
        <v>18000000</v>
      </c>
      <c r="H29" s="30">
        <v>8090000</v>
      </c>
      <c r="I29" s="82">
        <v>7930000</v>
      </c>
      <c r="J29" s="82">
        <v>10460000</v>
      </c>
      <c r="K29" s="82">
        <v>10460000</v>
      </c>
      <c r="L29" s="82">
        <v>11010000</v>
      </c>
      <c r="M29" s="82">
        <v>12510000</v>
      </c>
      <c r="N29" s="82">
        <v>18760000</v>
      </c>
      <c r="O29" s="32"/>
      <c r="P29" s="32"/>
      <c r="Q29" s="32"/>
    </row>
    <row r="30" spans="1:36" s="10" customFormat="1" ht="27.75" customHeight="1">
      <c r="A30" s="12" t="s">
        <v>5</v>
      </c>
      <c r="B30" s="20" t="s">
        <v>35</v>
      </c>
      <c r="C30" s="30">
        <v>13261538</v>
      </c>
      <c r="D30" s="30">
        <v>28504297</v>
      </c>
      <c r="E30" s="30">
        <v>676500</v>
      </c>
      <c r="F30" s="30"/>
      <c r="G30" s="30"/>
      <c r="H30" s="82"/>
      <c r="I30" s="82"/>
      <c r="J30" s="82"/>
      <c r="K30" s="82"/>
      <c r="L30" s="82"/>
      <c r="M30" s="82"/>
      <c r="N30" s="82"/>
      <c r="O30" s="32"/>
      <c r="P30" s="32"/>
      <c r="Q30" s="32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10" customFormat="1" ht="25.5">
      <c r="A31" s="13">
        <v>11</v>
      </c>
      <c r="B31" s="26" t="s">
        <v>59</v>
      </c>
      <c r="C31" s="30">
        <v>36000000</v>
      </c>
      <c r="D31" s="30">
        <v>42100000</v>
      </c>
      <c r="E31" s="30">
        <v>16450000</v>
      </c>
      <c r="F31" s="30">
        <v>10000000</v>
      </c>
      <c r="G31" s="30">
        <v>10000000</v>
      </c>
      <c r="H31" s="82"/>
      <c r="I31" s="82"/>
      <c r="J31" s="82"/>
      <c r="K31" s="82"/>
      <c r="L31" s="82"/>
      <c r="M31" s="82"/>
      <c r="N31" s="82"/>
      <c r="O31" s="32"/>
      <c r="P31" s="32"/>
      <c r="Q31" s="3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s="10" customFormat="1" ht="13.5">
      <c r="A32" s="13">
        <v>12</v>
      </c>
      <c r="B32" s="26" t="s">
        <v>60</v>
      </c>
      <c r="C32" s="30">
        <f>+C28-C29+C31</f>
        <v>0</v>
      </c>
      <c r="D32" s="30">
        <f>+D28-D29+D31</f>
        <v>0</v>
      </c>
      <c r="E32" s="30">
        <f aca="true" t="shared" si="5" ref="E32:L32">+E28-E29+E31</f>
        <v>-2.60770320892334E-08</v>
      </c>
      <c r="F32" s="30">
        <f t="shared" si="5"/>
        <v>-2.60770320892334E-08</v>
      </c>
      <c r="G32" s="30">
        <f t="shared" si="5"/>
        <v>2.9802322387695312E-08</v>
      </c>
      <c r="H32" s="30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>+M28-M29+M31</f>
        <v>0</v>
      </c>
      <c r="N32" s="31">
        <f>+N28-N29+N31</f>
        <v>0</v>
      </c>
      <c r="O32" s="32"/>
      <c r="P32" s="32"/>
      <c r="Q32" s="32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s="10" customFormat="1" ht="13.5">
      <c r="A33" s="11">
        <v>13</v>
      </c>
      <c r="B33" s="18" t="s">
        <v>61</v>
      </c>
      <c r="C33" s="31">
        <v>104898340.24</v>
      </c>
      <c r="D33" s="31">
        <v>125835935.4</v>
      </c>
      <c r="E33" s="31">
        <v>118700210.56</v>
      </c>
      <c r="F33" s="31">
        <v>112023685.72</v>
      </c>
      <c r="G33" s="31">
        <v>103407160</v>
      </c>
      <c r="H33" s="82">
        <v>85128580</v>
      </c>
      <c r="I33" s="82">
        <v>66850000</v>
      </c>
      <c r="J33" s="82">
        <v>51300000</v>
      </c>
      <c r="K33" s="82">
        <v>35750000</v>
      </c>
      <c r="L33" s="82">
        <v>20750000</v>
      </c>
      <c r="M33" s="82">
        <v>7250000</v>
      </c>
      <c r="N33" s="82">
        <v>0</v>
      </c>
      <c r="O33" s="32"/>
      <c r="P33" s="32"/>
      <c r="Q33" s="32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10" customFormat="1" ht="25.5">
      <c r="A34" s="8" t="s">
        <v>5</v>
      </c>
      <c r="B34" s="22" t="s">
        <v>62</v>
      </c>
      <c r="C34" s="84"/>
      <c r="D34" s="84"/>
      <c r="E34" s="85"/>
      <c r="F34" s="85"/>
      <c r="G34" s="85"/>
      <c r="H34" s="82"/>
      <c r="I34" s="82"/>
      <c r="J34" s="82"/>
      <c r="K34" s="82"/>
      <c r="L34" s="82"/>
      <c r="M34" s="83"/>
      <c r="N34" s="83"/>
      <c r="O34" s="32"/>
      <c r="P34" s="32"/>
      <c r="Q34" s="32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s="10" customFormat="1" ht="36">
      <c r="A35" s="12" t="s">
        <v>6</v>
      </c>
      <c r="B35" s="16" t="s">
        <v>36</v>
      </c>
      <c r="C35" s="84"/>
      <c r="D35" s="84"/>
      <c r="E35" s="85"/>
      <c r="F35" s="85"/>
      <c r="G35" s="85"/>
      <c r="H35" s="82"/>
      <c r="I35" s="82"/>
      <c r="J35" s="82"/>
      <c r="K35" s="82"/>
      <c r="L35" s="82"/>
      <c r="M35" s="83"/>
      <c r="N35" s="83"/>
      <c r="O35" s="32"/>
      <c r="P35" s="32"/>
      <c r="Q35" s="32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s="10" customFormat="1" ht="61.5">
      <c r="A36" s="13">
        <v>14</v>
      </c>
      <c r="B36" s="26" t="s">
        <v>63</v>
      </c>
      <c r="C36" s="84"/>
      <c r="D36" s="84"/>
      <c r="E36" s="85"/>
      <c r="F36" s="85"/>
      <c r="G36" s="85"/>
      <c r="H36" s="82"/>
      <c r="I36" s="82"/>
      <c r="J36" s="82"/>
      <c r="K36" s="82"/>
      <c r="L36" s="82"/>
      <c r="M36" s="83"/>
      <c r="N36" s="83"/>
      <c r="O36" s="32"/>
      <c r="P36" s="32"/>
      <c r="Q36" s="32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s="10" customFormat="1" ht="21.75" customHeight="1">
      <c r="A37" s="11" t="s">
        <v>14</v>
      </c>
      <c r="B37" s="18" t="s">
        <v>64</v>
      </c>
      <c r="C37" s="31"/>
      <c r="D37" s="31"/>
      <c r="E37" s="31"/>
      <c r="F37" s="31"/>
      <c r="G37" s="31"/>
      <c r="H37" s="82"/>
      <c r="I37" s="82"/>
      <c r="J37" s="82"/>
      <c r="K37" s="82"/>
      <c r="L37" s="82"/>
      <c r="M37" s="83"/>
      <c r="N37" s="83"/>
      <c r="O37" s="32"/>
      <c r="P37" s="32"/>
      <c r="Q37" s="32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s="10" customFormat="1" ht="25.5">
      <c r="A38" s="12" t="s">
        <v>5</v>
      </c>
      <c r="B38" s="23" t="s">
        <v>65</v>
      </c>
      <c r="C38" s="31"/>
      <c r="D38" s="31"/>
      <c r="E38" s="31"/>
      <c r="F38" s="31"/>
      <c r="G38" s="31"/>
      <c r="H38" s="82"/>
      <c r="I38" s="82"/>
      <c r="J38" s="82"/>
      <c r="K38" s="82"/>
      <c r="L38" s="82"/>
      <c r="M38" s="83"/>
      <c r="N38" s="83"/>
      <c r="O38" s="32"/>
      <c r="P38" s="32"/>
      <c r="Q38" s="32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s="10" customFormat="1" ht="51.75" customHeight="1">
      <c r="A39" s="13">
        <v>16</v>
      </c>
      <c r="B39" s="26" t="s">
        <v>66</v>
      </c>
      <c r="C39" s="86" t="s">
        <v>69</v>
      </c>
      <c r="D39" s="86" t="s">
        <v>89</v>
      </c>
      <c r="E39" s="87" t="s">
        <v>70</v>
      </c>
      <c r="F39" s="86" t="s">
        <v>69</v>
      </c>
      <c r="G39" s="86" t="s">
        <v>69</v>
      </c>
      <c r="H39" s="86" t="s">
        <v>69</v>
      </c>
      <c r="I39" s="86" t="s">
        <v>69</v>
      </c>
      <c r="J39" s="86" t="s">
        <v>69</v>
      </c>
      <c r="K39" s="86" t="s">
        <v>69</v>
      </c>
      <c r="L39" s="86" t="s">
        <v>69</v>
      </c>
      <c r="M39" s="86" t="s">
        <v>69</v>
      </c>
      <c r="N39" s="86" t="s">
        <v>69</v>
      </c>
      <c r="O39" s="32"/>
      <c r="P39" s="32"/>
      <c r="Q39" s="32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s="10" customFormat="1" ht="36.75" customHeight="1">
      <c r="A40" s="13">
        <v>17</v>
      </c>
      <c r="B40" s="26" t="s">
        <v>67</v>
      </c>
      <c r="C40" s="88">
        <f>+(C24-C34+C16-C17)/C9</f>
        <v>0.07052775640848621</v>
      </c>
      <c r="D40" s="88">
        <f>+(D24-D34+D16-D17)/D9</f>
        <v>0.07897156478807278</v>
      </c>
      <c r="E40" s="88">
        <f>+(E24-E34+E16-E17)/E9</f>
        <v>0.08564118114268356</v>
      </c>
      <c r="F40" s="88">
        <f>+(F24-F34+F16-F17)/F9</f>
        <v>0.06361307480340203</v>
      </c>
      <c r="G40" s="88">
        <f>+(G24-G34+G16-G17)/G9</f>
        <v>0.06757675174142803</v>
      </c>
      <c r="H40" s="88">
        <f>+(H24-H34+H16-H17)/H9</f>
        <v>0.06452822648193685</v>
      </c>
      <c r="I40" s="88">
        <f>+(I24-I34+I16-I17)/I9</f>
        <v>0.062146447296696314</v>
      </c>
      <c r="J40" s="88">
        <f>+(J24-J34+J16-J17)/J9</f>
        <v>0.05225903741733629</v>
      </c>
      <c r="K40" s="88">
        <f>+(K24-K34+K16-K17)/K9</f>
        <v>0.05029757220596174</v>
      </c>
      <c r="L40" s="88">
        <f>+(L24-L34+L16-L17)/L9</f>
        <v>0.04679495575707861</v>
      </c>
      <c r="M40" s="88">
        <f>+(M24-M34+M16-M17)/M9</f>
        <v>0.0406303508070443</v>
      </c>
      <c r="N40" s="88">
        <f>+(N24-N34+N16-N17)/N9</f>
        <v>0.02143601266716475</v>
      </c>
      <c r="O40" s="32"/>
      <c r="P40" s="32"/>
      <c r="Q40" s="32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10" customFormat="1" ht="35.25" customHeight="1">
      <c r="A41" s="13">
        <v>18</v>
      </c>
      <c r="B41" s="26" t="s">
        <v>68</v>
      </c>
      <c r="C41" s="88">
        <f>+(C33-C34)/C9</f>
        <v>0.2951778493597283</v>
      </c>
      <c r="D41" s="88">
        <f>+(D33-D34)/D9</f>
        <v>0.3685672989512475</v>
      </c>
      <c r="E41" s="88">
        <f>+(E33-E34)/E9</f>
        <v>0.33788869267088734</v>
      </c>
      <c r="F41" s="88">
        <f>+(F33-F34)/F9</f>
        <v>0.3156451734694506</v>
      </c>
      <c r="G41" s="88">
        <f>+(G33-G34)/G9</f>
        <v>0.28975649563863165</v>
      </c>
      <c r="H41" s="88">
        <f>+(H33-H34)/H9</f>
        <v>0.2385382116624507</v>
      </c>
      <c r="I41" s="88">
        <f>+(I33-I34)/I9</f>
        <v>0.18731992768626976</v>
      </c>
      <c r="J41" s="88">
        <f>+(J33-J34)/J9</f>
        <v>0.14374737906216362</v>
      </c>
      <c r="K41" s="88">
        <f>+(K33-K34)/K9</f>
        <v>0.1001748304380575</v>
      </c>
      <c r="L41" s="88">
        <f>+(L33-L34)/L9</f>
        <v>0.05814343305145995</v>
      </c>
      <c r="M41" s="88">
        <f>+(M33-M34)/M9</f>
        <v>0.02031517540352215</v>
      </c>
      <c r="N41" s="88">
        <f>+(N33-N34)/N9</f>
        <v>0</v>
      </c>
      <c r="O41" s="32"/>
      <c r="P41" s="32"/>
      <c r="Q41" s="32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0" customFormat="1" ht="13.5" customHeight="1">
      <c r="A42" s="13">
        <v>19</v>
      </c>
      <c r="B42" s="24" t="s">
        <v>15</v>
      </c>
      <c r="C42" s="30">
        <f>+C13+C26</f>
        <v>318070014.13</v>
      </c>
      <c r="D42" s="30">
        <f>+D13+D26</f>
        <v>318196749.16</v>
      </c>
      <c r="E42" s="30">
        <f aca="true" t="shared" si="6" ref="E42:N42">+E13+E26</f>
        <v>321414017.16</v>
      </c>
      <c r="F42" s="30">
        <f t="shared" si="6"/>
        <v>326577320.16</v>
      </c>
      <c r="G42" s="30">
        <f t="shared" si="6"/>
        <v>330259546.28</v>
      </c>
      <c r="H42" s="30">
        <f t="shared" si="6"/>
        <v>330507492</v>
      </c>
      <c r="I42" s="31">
        <f t="shared" si="6"/>
        <v>330667492</v>
      </c>
      <c r="J42" s="31">
        <f t="shared" si="6"/>
        <v>330866072</v>
      </c>
      <c r="K42" s="31">
        <f t="shared" si="6"/>
        <v>330866072</v>
      </c>
      <c r="L42" s="31">
        <f t="shared" si="6"/>
        <v>330866072</v>
      </c>
      <c r="M42" s="31">
        <f t="shared" si="6"/>
        <v>330866072</v>
      </c>
      <c r="N42" s="31">
        <f t="shared" si="6"/>
        <v>330866072</v>
      </c>
      <c r="O42" s="32"/>
      <c r="P42" s="32"/>
      <c r="Q42" s="32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10" customFormat="1" ht="13.5" customHeight="1">
      <c r="A43" s="13">
        <v>20</v>
      </c>
      <c r="B43" s="24" t="s">
        <v>16</v>
      </c>
      <c r="C43" s="30">
        <f>+C29+C42</f>
        <v>373879662</v>
      </c>
      <c r="D43" s="30">
        <f>+D29+D42</f>
        <v>362356749.16</v>
      </c>
      <c r="E43" s="30">
        <f>+E29+E42</f>
        <v>344164017.16</v>
      </c>
      <c r="F43" s="30">
        <f>+F29+F42</f>
        <v>348227320.16</v>
      </c>
      <c r="G43" s="30">
        <f>+G29+G42</f>
        <v>348259546.28</v>
      </c>
      <c r="H43" s="30">
        <f>+H29+H42</f>
        <v>338597492</v>
      </c>
      <c r="I43" s="31">
        <f>+I29+I42</f>
        <v>338597492</v>
      </c>
      <c r="J43" s="31">
        <f>+J29+J42</f>
        <v>341326072</v>
      </c>
      <c r="K43" s="31">
        <f>+K29+K42</f>
        <v>341326072</v>
      </c>
      <c r="L43" s="31">
        <f>+L29+L42</f>
        <v>341876072</v>
      </c>
      <c r="M43" s="31">
        <f>+M29+M42</f>
        <v>343376072</v>
      </c>
      <c r="N43" s="31">
        <f>+N29+N42</f>
        <v>349626072</v>
      </c>
      <c r="O43" s="32"/>
      <c r="P43" s="32"/>
      <c r="Q43" s="32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10" customFormat="1" ht="13.5" customHeight="1">
      <c r="A44" s="13">
        <v>21</v>
      </c>
      <c r="B44" s="24" t="s">
        <v>17</v>
      </c>
      <c r="C44" s="30">
        <f>+C9-C43</f>
        <v>-18506315.160000026</v>
      </c>
      <c r="D44" s="30">
        <f>+D9-D43</f>
        <v>-20937595.160000026</v>
      </c>
      <c r="E44" s="30">
        <f>+E9-E43</f>
        <v>7135724.839999974</v>
      </c>
      <c r="F44" s="30">
        <f>+F9-F43</f>
        <v>6676524.839999974</v>
      </c>
      <c r="G44" s="30">
        <f>+G9-G43</f>
        <v>8616525.720000029</v>
      </c>
      <c r="H44" s="30">
        <f>+H9-H43</f>
        <v>18278580</v>
      </c>
      <c r="I44" s="31">
        <f>+I9-I43</f>
        <v>18278580</v>
      </c>
      <c r="J44" s="31">
        <f>+J9-J43</f>
        <v>15550000</v>
      </c>
      <c r="K44" s="31">
        <f>+K9-K43</f>
        <v>15550000</v>
      </c>
      <c r="L44" s="31">
        <f>+L9-L43</f>
        <v>15000000</v>
      </c>
      <c r="M44" s="31">
        <f>+M9-M43</f>
        <v>13500000</v>
      </c>
      <c r="N44" s="31">
        <f>+N9-N43</f>
        <v>7250000</v>
      </c>
      <c r="O44" s="32"/>
      <c r="P44" s="32"/>
      <c r="Q44" s="32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s="10" customFormat="1" ht="13.5" customHeight="1">
      <c r="A45" s="13">
        <v>22</v>
      </c>
      <c r="B45" s="24" t="s">
        <v>18</v>
      </c>
      <c r="C45" s="30">
        <f>+C22+C31+C20</f>
        <v>38770000</v>
      </c>
      <c r="D45" s="30">
        <f>+D22+D31+D20</f>
        <v>42100000</v>
      </c>
      <c r="E45" s="30">
        <f aca="true" t="shared" si="7" ref="E45:N45">+E22+E31+E20</f>
        <v>16450000</v>
      </c>
      <c r="F45" s="30">
        <f t="shared" si="7"/>
        <v>10000000</v>
      </c>
      <c r="G45" s="30">
        <f t="shared" si="7"/>
        <v>10000000</v>
      </c>
      <c r="H45" s="30">
        <f t="shared" si="7"/>
        <v>0</v>
      </c>
      <c r="I45" s="31">
        <f t="shared" si="7"/>
        <v>0</v>
      </c>
      <c r="J45" s="31">
        <f t="shared" si="7"/>
        <v>0</v>
      </c>
      <c r="K45" s="31">
        <f t="shared" si="7"/>
        <v>0</v>
      </c>
      <c r="L45" s="31">
        <f t="shared" si="7"/>
        <v>0</v>
      </c>
      <c r="M45" s="31">
        <f t="shared" si="7"/>
        <v>0</v>
      </c>
      <c r="N45" s="31">
        <f t="shared" si="7"/>
        <v>0</v>
      </c>
      <c r="O45" s="32"/>
      <c r="P45" s="32"/>
      <c r="Q45" s="32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10" customFormat="1" ht="13.5" customHeight="1">
      <c r="A46" s="13">
        <v>23</v>
      </c>
      <c r="B46" s="24" t="s">
        <v>19</v>
      </c>
      <c r="C46" s="30">
        <f>+C25+C27</f>
        <v>20263684.84</v>
      </c>
      <c r="D46" s="30">
        <f>+D25+D27</f>
        <v>21162404.84</v>
      </c>
      <c r="E46" s="30">
        <f aca="true" t="shared" si="8" ref="E46:N46">+E25+E27</f>
        <v>23585724.84</v>
      </c>
      <c r="F46" s="30">
        <f t="shared" si="8"/>
        <v>16676524.84</v>
      </c>
      <c r="G46" s="30">
        <f t="shared" si="8"/>
        <v>18616525.72</v>
      </c>
      <c r="H46" s="30">
        <f t="shared" si="8"/>
        <v>18278580</v>
      </c>
      <c r="I46" s="31">
        <f t="shared" si="8"/>
        <v>18278580</v>
      </c>
      <c r="J46" s="31">
        <f t="shared" si="8"/>
        <v>15550000</v>
      </c>
      <c r="K46" s="31">
        <f t="shared" si="8"/>
        <v>15550000</v>
      </c>
      <c r="L46" s="31">
        <f t="shared" si="8"/>
        <v>15000000</v>
      </c>
      <c r="M46" s="31">
        <f t="shared" si="8"/>
        <v>13500000</v>
      </c>
      <c r="N46" s="31">
        <f t="shared" si="8"/>
        <v>7250000</v>
      </c>
      <c r="O46" s="32"/>
      <c r="P46" s="32"/>
      <c r="Q46" s="32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s="10" customFormat="1" ht="49.5" customHeight="1">
      <c r="A47" s="11">
        <v>24</v>
      </c>
      <c r="B47" s="25" t="s">
        <v>37</v>
      </c>
      <c r="C47" s="30">
        <f aca="true" t="shared" si="9" ref="C47:N47">SUM(C48:C53)</f>
        <v>20263684.84</v>
      </c>
      <c r="D47" s="30">
        <f t="shared" si="9"/>
        <v>21162404.84</v>
      </c>
      <c r="E47" s="30">
        <f t="shared" si="9"/>
        <v>23585724.84</v>
      </c>
      <c r="F47" s="30">
        <f t="shared" si="9"/>
        <v>16676524.84</v>
      </c>
      <c r="G47" s="30">
        <f t="shared" si="9"/>
        <v>18616525.72</v>
      </c>
      <c r="H47" s="30">
        <f t="shared" si="9"/>
        <v>18278580</v>
      </c>
      <c r="I47" s="31">
        <f t="shared" si="9"/>
        <v>18278580</v>
      </c>
      <c r="J47" s="31">
        <f t="shared" si="9"/>
        <v>15550000</v>
      </c>
      <c r="K47" s="31">
        <f t="shared" si="9"/>
        <v>15550000</v>
      </c>
      <c r="L47" s="31">
        <f t="shared" si="9"/>
        <v>15000000</v>
      </c>
      <c r="M47" s="31">
        <f t="shared" si="9"/>
        <v>13500000</v>
      </c>
      <c r="N47" s="31">
        <f t="shared" si="9"/>
        <v>7250000</v>
      </c>
      <c r="O47" s="32"/>
      <c r="P47" s="32"/>
      <c r="Q47" s="32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s="10" customFormat="1" ht="13.5" customHeight="1">
      <c r="A48" s="8" t="s">
        <v>5</v>
      </c>
      <c r="B48" s="19" t="s">
        <v>20</v>
      </c>
      <c r="C48" s="30"/>
      <c r="D48" s="30"/>
      <c r="E48" s="30"/>
      <c r="F48" s="30"/>
      <c r="G48" s="30"/>
      <c r="H48" s="82"/>
      <c r="I48" s="82"/>
      <c r="J48" s="82"/>
      <c r="K48" s="82"/>
      <c r="L48" s="82"/>
      <c r="M48" s="82"/>
      <c r="N48" s="82"/>
      <c r="O48" s="33"/>
      <c r="P48" s="32"/>
      <c r="Q48" s="32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s="10" customFormat="1" ht="13.5" customHeight="1">
      <c r="A49" s="8" t="s">
        <v>6</v>
      </c>
      <c r="B49" s="19" t="s">
        <v>21</v>
      </c>
      <c r="C49" s="30"/>
      <c r="D49" s="30"/>
      <c r="E49" s="30"/>
      <c r="F49" s="30"/>
      <c r="G49" s="30"/>
      <c r="H49" s="82"/>
      <c r="I49" s="82"/>
      <c r="J49" s="82"/>
      <c r="K49" s="82"/>
      <c r="L49" s="82"/>
      <c r="M49" s="82"/>
      <c r="N49" s="82"/>
      <c r="O49" s="33"/>
      <c r="P49" s="32"/>
      <c r="Q49" s="32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s="10" customFormat="1" ht="27.75" customHeight="1">
      <c r="A50" s="8" t="s">
        <v>7</v>
      </c>
      <c r="B50" s="19" t="s">
        <v>22</v>
      </c>
      <c r="C50" s="30">
        <v>20263684.84</v>
      </c>
      <c r="D50" s="30">
        <v>21162404.84</v>
      </c>
      <c r="E50" s="30">
        <v>16450000</v>
      </c>
      <c r="F50" s="30">
        <v>10000000</v>
      </c>
      <c r="G50" s="30">
        <v>10000000</v>
      </c>
      <c r="H50" s="82"/>
      <c r="I50" s="82"/>
      <c r="J50" s="82"/>
      <c r="K50" s="82"/>
      <c r="L50" s="82"/>
      <c r="M50" s="82"/>
      <c r="N50" s="82"/>
      <c r="O50" s="33"/>
      <c r="P50" s="32"/>
      <c r="Q50" s="32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10" customFormat="1" ht="13.5" customHeight="1">
      <c r="A51" s="8" t="s">
        <v>9</v>
      </c>
      <c r="B51" s="19" t="s">
        <v>23</v>
      </c>
      <c r="C51" s="30"/>
      <c r="D51" s="30"/>
      <c r="E51" s="30"/>
      <c r="F51" s="30"/>
      <c r="G51" s="30"/>
      <c r="H51" s="82"/>
      <c r="I51" s="82"/>
      <c r="J51" s="82"/>
      <c r="K51" s="82"/>
      <c r="L51" s="82"/>
      <c r="M51" s="82"/>
      <c r="N51" s="82"/>
      <c r="O51" s="33"/>
      <c r="P51" s="32"/>
      <c r="Q51" s="32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10" customFormat="1" ht="13.5" customHeight="1">
      <c r="A52" s="8" t="s">
        <v>10</v>
      </c>
      <c r="B52" s="19" t="s">
        <v>24</v>
      </c>
      <c r="C52" s="30"/>
      <c r="D52" s="30"/>
      <c r="E52" s="30"/>
      <c r="F52" s="30"/>
      <c r="G52" s="30"/>
      <c r="H52" s="82"/>
      <c r="I52" s="82"/>
      <c r="J52" s="82"/>
      <c r="K52" s="82"/>
      <c r="L52" s="82"/>
      <c r="M52" s="82"/>
      <c r="N52" s="82"/>
      <c r="O52" s="33"/>
      <c r="P52" s="32"/>
      <c r="Q52" s="32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s="10" customFormat="1" ht="13.5" customHeight="1">
      <c r="A53" s="12" t="s">
        <v>38</v>
      </c>
      <c r="B53" s="20" t="s">
        <v>39</v>
      </c>
      <c r="C53" s="30"/>
      <c r="D53" s="30"/>
      <c r="E53" s="30">
        <v>7135724.84</v>
      </c>
      <c r="F53" s="30">
        <v>6676524.84</v>
      </c>
      <c r="G53" s="30">
        <v>8616525.72</v>
      </c>
      <c r="H53" s="82">
        <v>18278580</v>
      </c>
      <c r="I53" s="82">
        <v>18278580</v>
      </c>
      <c r="J53" s="82">
        <v>15550000</v>
      </c>
      <c r="K53" s="82">
        <v>15550000</v>
      </c>
      <c r="L53" s="82">
        <v>15000000</v>
      </c>
      <c r="M53" s="82">
        <v>13500000</v>
      </c>
      <c r="N53" s="82">
        <v>7250000</v>
      </c>
      <c r="O53" s="33"/>
      <c r="P53" s="32"/>
      <c r="Q53" s="32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s="10" customFormat="1" ht="36">
      <c r="A54" s="14"/>
      <c r="B54" s="27" t="s">
        <v>25</v>
      </c>
      <c r="C54" s="89"/>
      <c r="D54" s="89"/>
      <c r="E54" s="89"/>
      <c r="F54" s="89"/>
      <c r="G54" s="89"/>
      <c r="H54" s="83"/>
      <c r="I54" s="83"/>
      <c r="J54" s="83"/>
      <c r="K54" s="83"/>
      <c r="L54" s="83"/>
      <c r="M54" s="83"/>
      <c r="N54" s="83"/>
      <c r="O54" s="32"/>
      <c r="P54" s="32"/>
      <c r="Q54" s="32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s="10" customFormat="1" ht="12.75">
      <c r="A55" s="15"/>
      <c r="B55" s="28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32"/>
      <c r="P55" s="32"/>
      <c r="Q55" s="32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17" ht="9.75" customHeight="1">
      <c r="A56" s="1"/>
      <c r="B56" s="29"/>
      <c r="C56" s="90"/>
      <c r="D56" s="90"/>
      <c r="E56" s="90"/>
      <c r="F56" s="90"/>
      <c r="G56" s="90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9.75" customHeight="1">
      <c r="A57" s="1"/>
      <c r="B57" s="29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34"/>
      <c r="P57" s="34"/>
      <c r="Q57" s="34"/>
    </row>
    <row r="58" spans="1:17" ht="9.75" customHeight="1">
      <c r="A58" s="1"/>
      <c r="B58" s="29"/>
      <c r="C58" s="90"/>
      <c r="D58" s="90"/>
      <c r="E58" s="90"/>
      <c r="F58" s="90"/>
      <c r="G58" s="90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9.75" customHeight="1">
      <c r="A59" s="1"/>
      <c r="B59" s="29"/>
      <c r="C59" s="90"/>
      <c r="D59" s="91"/>
      <c r="E59" s="90"/>
      <c r="F59" s="90"/>
      <c r="G59" s="90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9.75" customHeight="1">
      <c r="A60" s="1"/>
      <c r="B60" s="29"/>
      <c r="C60" s="90"/>
      <c r="D60" s="90"/>
      <c r="E60" s="90"/>
      <c r="F60" s="90"/>
      <c r="G60" s="90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9.75" customHeight="1">
      <c r="A61" s="1"/>
      <c r="B61" s="29"/>
      <c r="C61" s="90"/>
      <c r="D61" s="90"/>
      <c r="E61" s="91"/>
      <c r="F61" s="90"/>
      <c r="G61" s="90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9.75" customHeight="1">
      <c r="A62" s="1"/>
      <c r="B62" s="29"/>
      <c r="C62" s="90"/>
      <c r="D62" s="90"/>
      <c r="E62" s="90"/>
      <c r="F62" s="90"/>
      <c r="G62" s="90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9.75" customHeight="1">
      <c r="A63" s="1"/>
      <c r="B63" s="29"/>
      <c r="C63" s="90"/>
      <c r="D63" s="90"/>
      <c r="E63" s="90"/>
      <c r="F63" s="90"/>
      <c r="G63" s="90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9.75" customHeight="1">
      <c r="A64" s="1"/>
      <c r="B64" s="29"/>
      <c r="C64" s="90"/>
      <c r="D64" s="90"/>
      <c r="E64" s="90"/>
      <c r="F64" s="90"/>
      <c r="G64" s="90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ht="9.75" customHeight="1">
      <c r="A65" s="1"/>
      <c r="B65" s="29"/>
      <c r="C65" s="90"/>
      <c r="D65" s="90"/>
      <c r="E65" s="90"/>
      <c r="F65" s="90"/>
      <c r="G65" s="90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9.75" customHeight="1">
      <c r="A66" s="1"/>
      <c r="B66" s="29"/>
      <c r="C66" s="90"/>
      <c r="D66" s="90"/>
      <c r="E66" s="90"/>
      <c r="F66" s="90"/>
      <c r="G66" s="90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9.75" customHeight="1">
      <c r="A67" s="1"/>
      <c r="B67" s="29"/>
      <c r="C67" s="90"/>
      <c r="D67" s="90"/>
      <c r="E67" s="90"/>
      <c r="F67" s="90"/>
      <c r="G67" s="90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9.75" customHeight="1">
      <c r="A68" s="1"/>
      <c r="B68" s="29"/>
      <c r="C68" s="90"/>
      <c r="D68" s="90"/>
      <c r="E68" s="90"/>
      <c r="F68" s="90"/>
      <c r="G68" s="90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3:17" ht="12.7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3:17" ht="12.7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3:17" ht="12.7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3:17" ht="12.7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3:17" ht="12.7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3:17" ht="12.7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3:17" ht="12.7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3:17" ht="12.7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3:17" ht="12.7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3:17" ht="12.7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3:17" ht="12.7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3:17" ht="12.7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3:17" ht="12.7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3:17" ht="12.7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3:17" ht="12.7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3:17" ht="12.7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3:17" ht="12.7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3:17" ht="12.7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3:17" ht="12.7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3:17" ht="12.7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3:17" ht="12.7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3:17" ht="12.7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3:17" ht="12.7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3:17" ht="12.7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3:17" ht="12.7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3:17" ht="12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3:17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3:17" ht="12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3:17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</sheetData>
  <sheetProtection/>
  <mergeCells count="6">
    <mergeCell ref="M6:W6"/>
    <mergeCell ref="B6:F6"/>
    <mergeCell ref="E1:L1"/>
    <mergeCell ref="E2:L2"/>
    <mergeCell ref="E3:L3"/>
    <mergeCell ref="E4:L4"/>
  </mergeCells>
  <hyperlinks>
    <hyperlink ref="B9" r:id="rId1" display="_edn1"/>
    <hyperlink ref="B13" r:id="rId2" display="_edn2"/>
    <hyperlink ref="B14" r:id="rId3" display="_edn3"/>
    <hyperlink ref="B15" r:id="rId4" display="_edn4"/>
    <hyperlink ref="B18" r:id="rId5" display="_edn5"/>
    <hyperlink ref="B22" r:id="rId6" display="_edn6"/>
    <hyperlink ref="B29" r:id="rId7" display="_edn7"/>
    <hyperlink ref="B31" r:id="rId8" display="_edn8"/>
    <hyperlink ref="B32" r:id="rId9" display="_edn9"/>
    <hyperlink ref="B33" r:id="rId10" display="_edn10"/>
    <hyperlink ref="B34" r:id="rId11" display="_edn11"/>
    <hyperlink ref="B36" r:id="rId12" display="_edn12"/>
    <hyperlink ref="B37" r:id="rId13" display="_edn13"/>
    <hyperlink ref="B38" r:id="rId14" display="_edn14"/>
    <hyperlink ref="B39" r:id="rId15" display="_edn15"/>
    <hyperlink ref="B40" r:id="rId16" display="_edn16"/>
    <hyperlink ref="B41" r:id="rId17" display="_edn17"/>
  </hyperlinks>
  <printOptions/>
  <pageMargins left="0.25" right="0.25" top="0.75" bottom="0.75" header="0.3" footer="0.3"/>
  <pageSetup horizontalDpi="300" verticalDpi="300" orientation="landscape" paperSize="9" r:id="rId18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mtrzcielinska</cp:lastModifiedBy>
  <cp:lastPrinted>2011-08-04T07:14:12Z</cp:lastPrinted>
  <dcterms:created xsi:type="dcterms:W3CDTF">2010-09-24T07:39:40Z</dcterms:created>
  <dcterms:modified xsi:type="dcterms:W3CDTF">2011-08-05T08:10:33Z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